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drawings/drawing2.xml" ContentType="application/vnd.openxmlformats-officedocument.drawing+xml"/>
  <Override PartName="/xl/embeddings/oleObject2.bin" ContentType="application/vnd.openxmlformats-officedocument.oleObject"/>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autoCompressPictures="0"/>
  <mc:AlternateContent xmlns:mc="http://schemas.openxmlformats.org/markup-compatibility/2006">
    <mc:Choice Requires="x15">
      <x15ac:absPath xmlns:x15ac="http://schemas.microsoft.com/office/spreadsheetml/2010/11/ac" url="E:\Spaggiari\Presup\Precios 2025\"/>
    </mc:Choice>
  </mc:AlternateContent>
  <xr:revisionPtr revIDLastSave="0" documentId="13_ncr:1_{04D25C98-50DE-4941-AABA-E566C287DC29}" xr6:coauthVersionLast="36" xr6:coauthVersionMax="36" xr10:uidLastSave="{00000000-0000-0000-0000-000000000000}"/>
  <bookViews>
    <workbookView xWindow="0" yWindow="0" windowWidth="28800" windowHeight="12225" tabRatio="836" activeTab="1" xr2:uid="{00000000-000D-0000-FFFF-FFFF00000000}"/>
  </bookViews>
  <sheets>
    <sheet name="BASE DE DATOS" sheetId="4" r:id="rId1"/>
    <sheet name="CONSTRUCCION" sheetId="19" r:id="rId2"/>
    <sheet name=" VÍAS" sheetId="10" r:id="rId3"/>
    <sheet name="ANÁLISIS MANO DE OBRA" sheetId="6" r:id="rId4"/>
    <sheet name="ELÉCTRICOS NUEVOS" sheetId="25" r:id="rId5"/>
  </sheets>
  <externalReferences>
    <externalReference r:id="rId6"/>
    <externalReference r:id="rId7"/>
  </externalReferences>
  <definedNames>
    <definedName name="_xlnm._FilterDatabase" localSheetId="2" hidden="1">' VÍAS'!$A$8:$H$8</definedName>
    <definedName name="_xlnm._FilterDatabase" localSheetId="0" hidden="1">'BASE DE DATOS'!$A$4:$E$997</definedName>
    <definedName name="_xlnm._FilterDatabase" localSheetId="1" hidden="1">CONSTRUCCION!$A$9:$H$4054</definedName>
    <definedName name="Analis" localSheetId="1">#REF!</definedName>
    <definedName name="Analis">#REF!</definedName>
    <definedName name="Andres123">#REF!</definedName>
    <definedName name="_xlnm.Print_Area" localSheetId="2">' VÍAS'!$A$1:$H$1131</definedName>
    <definedName name="_xlnm.Print_Area" localSheetId="3">'ANÁLISIS MANO DE OBRA'!$B$1:$F$66</definedName>
    <definedName name="_xlnm.Print_Area" localSheetId="0">'BASE DE DATOS'!$A$1:$E$997</definedName>
    <definedName name="_xlnm.Print_Area" localSheetId="1">CONSTRUCCION!$A$1:$H$4054</definedName>
    <definedName name="CompanyAddress" localSheetId="2">#REF!</definedName>
    <definedName name="CompanyAddress" localSheetId="3">#REF!</definedName>
    <definedName name="CompanyAddress" localSheetId="1">#REF!</definedName>
    <definedName name="CompanyAddress">#REF!</definedName>
    <definedName name="CompanyCity" localSheetId="2">#REF!</definedName>
    <definedName name="CompanyCity" localSheetId="3">#REF!</definedName>
    <definedName name="CompanyCity" localSheetId="1">#REF!</definedName>
    <definedName name="CompanyCity">#REF!</definedName>
    <definedName name="CompanyContactsHeader">#REF!</definedName>
    <definedName name="CompanyCountry" localSheetId="2">#REF!</definedName>
    <definedName name="CompanyCountry" localSheetId="3">#REF!</definedName>
    <definedName name="CompanyCountry" localSheetId="1">#REF!</definedName>
    <definedName name="CompanyCountry">#REF!</definedName>
    <definedName name="CompanyName" localSheetId="2">#REF!</definedName>
    <definedName name="CompanyName" localSheetId="3">#REF!</definedName>
    <definedName name="CompanyName" localSheetId="1">#REF!</definedName>
    <definedName name="CompanyName">#REF!</definedName>
    <definedName name="CompanyState" localSheetId="2">#REF!</definedName>
    <definedName name="CompanyState" localSheetId="3">#REF!</definedName>
    <definedName name="CompanyState" localSheetId="1">#REF!</definedName>
    <definedName name="CompanyState">#REF!</definedName>
    <definedName name="CompanyZip" localSheetId="2">#REF!</definedName>
    <definedName name="CompanyZip" localSheetId="3">#REF!</definedName>
    <definedName name="CompanyZip" localSheetId="1">#REF!</definedName>
    <definedName name="CompanyZip">#REF!</definedName>
    <definedName name="DataDisplayed">"Ejemplo"</definedName>
    <definedName name="Slicer_Contact_Type">#N/A</definedName>
    <definedName name="tablonx" localSheetId="2">'BASE DE DATOS'!#REF!</definedName>
    <definedName name="tablonx" localSheetId="1">'BASE DE DATOS'!#REF!</definedName>
    <definedName name="tablonx">'BASE DE DATOS'!#REF!</definedName>
    <definedName name="_xlnm.Print_Titles" localSheetId="2">' VÍAS'!$8:$8</definedName>
    <definedName name="_xlnm.Print_Titles" localSheetId="3">'ANÁLISIS MANO DE OBRA'!$1:$1</definedName>
    <definedName name="_xlnm.Print_Titles" localSheetId="0">'BASE DE DATOS'!$A:$B,'BASE DE DATOS'!$4:$4</definedName>
    <definedName name="_xlnm.Print_Titles" localSheetId="1">CONSTRUCCION!$9:$9</definedName>
    <definedName name="xt">#REF!</definedName>
  </definedNames>
  <calcPr calcId="191029"/>
  <fileRecoveryPr autoRecover="0"/>
</workbook>
</file>

<file path=xl/calcChain.xml><?xml version="1.0" encoding="utf-8"?>
<calcChain xmlns="http://schemas.openxmlformats.org/spreadsheetml/2006/main">
  <c r="I1680" i="25" l="1"/>
  <c r="E954" i="4"/>
  <c r="F595" i="25"/>
  <c r="G130" i="19"/>
  <c r="F17" i="10" l="1"/>
  <c r="H17" i="10" l="1"/>
  <c r="F1597" i="25"/>
  <c r="F1582" i="25"/>
  <c r="F1567" i="25"/>
  <c r="F1552" i="25"/>
  <c r="F1539" i="25"/>
  <c r="F1527" i="25"/>
  <c r="F1459" i="25"/>
  <c r="F1444" i="25"/>
  <c r="F1430" i="25"/>
  <c r="F1360" i="25"/>
  <c r="F1659" i="25"/>
  <c r="F1628" i="25"/>
  <c r="F16" i="10" l="1"/>
  <c r="G1523" i="25"/>
  <c r="D502" i="25"/>
  <c r="F502" i="25"/>
  <c r="H502" i="25" s="1"/>
  <c r="G1921" i="19"/>
  <c r="G408" i="25" l="1"/>
  <c r="G396" i="25"/>
  <c r="G387" i="25"/>
  <c r="D386" i="25"/>
  <c r="G379" i="25"/>
  <c r="D377" i="25"/>
  <c r="G370" i="25"/>
  <c r="D369" i="25"/>
  <c r="G362" i="25"/>
  <c r="D352" i="25"/>
  <c r="G353" i="25"/>
  <c r="G345" i="25"/>
  <c r="I1679" i="25"/>
  <c r="G336" i="25"/>
  <c r="G328" i="25"/>
  <c r="G319" i="25"/>
  <c r="G311" i="25"/>
  <c r="G1677" i="25"/>
  <c r="F1677" i="25"/>
  <c r="F1676" i="25"/>
  <c r="H1676" i="25" s="1"/>
  <c r="F1675" i="25"/>
  <c r="H1675" i="25" s="1"/>
  <c r="F1674" i="25"/>
  <c r="H1674" i="25" s="1"/>
  <c r="F1673" i="25"/>
  <c r="H1673" i="25" s="1"/>
  <c r="F1672" i="25"/>
  <c r="H1672" i="25" s="1"/>
  <c r="G1669" i="25"/>
  <c r="F1669" i="25"/>
  <c r="F1668" i="25"/>
  <c r="H1668" i="25" s="1"/>
  <c r="F1667" i="25"/>
  <c r="H1667" i="25" s="1"/>
  <c r="F1666" i="25"/>
  <c r="H1666" i="25" s="1"/>
  <c r="F1665" i="25"/>
  <c r="H1665" i="25" s="1"/>
  <c r="F1664" i="25"/>
  <c r="H1664" i="25" s="1"/>
  <c r="F1663" i="25"/>
  <c r="H1663" i="25" s="1"/>
  <c r="F1662" i="25"/>
  <c r="H1662" i="25" s="1"/>
  <c r="F1661" i="25"/>
  <c r="H1661" i="25" s="1"/>
  <c r="F1660" i="25"/>
  <c r="H1660" i="25" s="1"/>
  <c r="H1659" i="25"/>
  <c r="G1656" i="25"/>
  <c r="F1656" i="25"/>
  <c r="F1655" i="25"/>
  <c r="H1655" i="25" s="1"/>
  <c r="F1654" i="25"/>
  <c r="H1654" i="25" s="1"/>
  <c r="F1653" i="25"/>
  <c r="H1653" i="25" s="1"/>
  <c r="F1652" i="25"/>
  <c r="H1652" i="25" s="1"/>
  <c r="F1651" i="25"/>
  <c r="H1651" i="25" s="1"/>
  <c r="F1650" i="25"/>
  <c r="H1650" i="25" s="1"/>
  <c r="F1649" i="25"/>
  <c r="H1649" i="25" s="1"/>
  <c r="F1648" i="25"/>
  <c r="H1648" i="25" s="1"/>
  <c r="F1647" i="25"/>
  <c r="H1647" i="25" s="1"/>
  <c r="G1644" i="25"/>
  <c r="F1644" i="25"/>
  <c r="F1643" i="25"/>
  <c r="H1643" i="25" s="1"/>
  <c r="F1642" i="25"/>
  <c r="H1642" i="25" s="1"/>
  <c r="F1641" i="25"/>
  <c r="H1641" i="25" s="1"/>
  <c r="F1640" i="25"/>
  <c r="H1640" i="25" s="1"/>
  <c r="F1639" i="25"/>
  <c r="H1639" i="25" s="1"/>
  <c r="F1638" i="25"/>
  <c r="H1638" i="25" s="1"/>
  <c r="F1637" i="25"/>
  <c r="H1637" i="25" s="1"/>
  <c r="F1636" i="25"/>
  <c r="H1636" i="25" s="1"/>
  <c r="F1635" i="25"/>
  <c r="H1635" i="25" s="1"/>
  <c r="F1634" i="25"/>
  <c r="H1634" i="25" s="1"/>
  <c r="F1633" i="25"/>
  <c r="H1633" i="25" s="1"/>
  <c r="G1630" i="25"/>
  <c r="F1630" i="25"/>
  <c r="F1629" i="25"/>
  <c r="H1629" i="25" s="1"/>
  <c r="H1628" i="25"/>
  <c r="F1624" i="25" s="1"/>
  <c r="H1624" i="25" s="1"/>
  <c r="F1627" i="25"/>
  <c r="H1627" i="25" s="1"/>
  <c r="F1626" i="25"/>
  <c r="H1626" i="25" s="1"/>
  <c r="F1625" i="25"/>
  <c r="H1625" i="25" s="1"/>
  <c r="G1621" i="25"/>
  <c r="F1621" i="25"/>
  <c r="F1620" i="25"/>
  <c r="H1620" i="25" s="1"/>
  <c r="F1619" i="25"/>
  <c r="H1619" i="25" s="1"/>
  <c r="F1618" i="25"/>
  <c r="H1618" i="25" s="1"/>
  <c r="F1617" i="25"/>
  <c r="H1617" i="25" s="1"/>
  <c r="F1616" i="25"/>
  <c r="H1616" i="25" s="1"/>
  <c r="F1615" i="25"/>
  <c r="H1615" i="25" s="1"/>
  <c r="G1612" i="25"/>
  <c r="F1612" i="25"/>
  <c r="F1611" i="25"/>
  <c r="H1611" i="25" s="1"/>
  <c r="F1610" i="25"/>
  <c r="H1610" i="25" s="1"/>
  <c r="F1609" i="25"/>
  <c r="H1609" i="25" s="1"/>
  <c r="F1608" i="25"/>
  <c r="H1608" i="25" s="1"/>
  <c r="G1607" i="25"/>
  <c r="F1607" i="25"/>
  <c r="F1606" i="25"/>
  <c r="H1606" i="25" s="1"/>
  <c r="G1605" i="25"/>
  <c r="F1605" i="25"/>
  <c r="F1604" i="25"/>
  <c r="H1604" i="25" s="1"/>
  <c r="G1601" i="25"/>
  <c r="F1601" i="25"/>
  <c r="F1600" i="25"/>
  <c r="H1600" i="25" s="1"/>
  <c r="F1599" i="25"/>
  <c r="H1599" i="25" s="1"/>
  <c r="F1598" i="25"/>
  <c r="H1598" i="25" s="1"/>
  <c r="H1597" i="25"/>
  <c r="F1596" i="25"/>
  <c r="H1596" i="25" s="1"/>
  <c r="F1595" i="25"/>
  <c r="H1595" i="25" s="1"/>
  <c r="F1594" i="25"/>
  <c r="H1594" i="25" s="1"/>
  <c r="F1593" i="25"/>
  <c r="H1593" i="25" s="1"/>
  <c r="F1592" i="25"/>
  <c r="H1592" i="25" s="1"/>
  <c r="F1591" i="25"/>
  <c r="H1591" i="25" s="1"/>
  <c r="F1590" i="25"/>
  <c r="H1590" i="25" s="1"/>
  <c r="F1589" i="25"/>
  <c r="H1589" i="25" s="1"/>
  <c r="F1588" i="25"/>
  <c r="H1588" i="25" s="1"/>
  <c r="G1585" i="25"/>
  <c r="F1585" i="25"/>
  <c r="F1584" i="25"/>
  <c r="H1584" i="25" s="1"/>
  <c r="F1583" i="25"/>
  <c r="H1583" i="25" s="1"/>
  <c r="H1582" i="25"/>
  <c r="F1581" i="25"/>
  <c r="H1581" i="25" s="1"/>
  <c r="F1580" i="25"/>
  <c r="H1580" i="25" s="1"/>
  <c r="F1579" i="25"/>
  <c r="H1579" i="25" s="1"/>
  <c r="F1578" i="25"/>
  <c r="H1578" i="25" s="1"/>
  <c r="F1577" i="25"/>
  <c r="H1577" i="25" s="1"/>
  <c r="F1576" i="25"/>
  <c r="H1576" i="25" s="1"/>
  <c r="F1575" i="25"/>
  <c r="H1575" i="25" s="1"/>
  <c r="F1574" i="25"/>
  <c r="H1574" i="25" s="1"/>
  <c r="G1571" i="25"/>
  <c r="F1571" i="25"/>
  <c r="F1570" i="25"/>
  <c r="H1570" i="25" s="1"/>
  <c r="F1569" i="25"/>
  <c r="H1569" i="25" s="1"/>
  <c r="F1568" i="25"/>
  <c r="H1568" i="25" s="1"/>
  <c r="H1567" i="25"/>
  <c r="F1566" i="25"/>
  <c r="H1566" i="25" s="1"/>
  <c r="F1565" i="25"/>
  <c r="H1565" i="25" s="1"/>
  <c r="F1564" i="25"/>
  <c r="H1564" i="25" s="1"/>
  <c r="F1563" i="25"/>
  <c r="H1563" i="25" s="1"/>
  <c r="F1562" i="25"/>
  <c r="H1562" i="25" s="1"/>
  <c r="F1561" i="25"/>
  <c r="H1561" i="25" s="1"/>
  <c r="F1560" i="25"/>
  <c r="H1560" i="25" s="1"/>
  <c r="F1559" i="25"/>
  <c r="H1559" i="25" s="1"/>
  <c r="G1556" i="25"/>
  <c r="F1556" i="25"/>
  <c r="F1555" i="25"/>
  <c r="H1555" i="25" s="1"/>
  <c r="F1554" i="25"/>
  <c r="H1554" i="25" s="1"/>
  <c r="F1553" i="25"/>
  <c r="H1553" i="25" s="1"/>
  <c r="H1552" i="25"/>
  <c r="F1551" i="25"/>
  <c r="H1551" i="25" s="1"/>
  <c r="F1550" i="25"/>
  <c r="H1550" i="25" s="1"/>
  <c r="F1549" i="25"/>
  <c r="H1549" i="25" s="1"/>
  <c r="F1548" i="25"/>
  <c r="H1548" i="25" s="1"/>
  <c r="F1547" i="25"/>
  <c r="H1547" i="25" s="1"/>
  <c r="F1546" i="25"/>
  <c r="H1546" i="25" s="1"/>
  <c r="F1545" i="25"/>
  <c r="H1545" i="25" s="1"/>
  <c r="F1544" i="25"/>
  <c r="H1544" i="25" s="1"/>
  <c r="G1541" i="25"/>
  <c r="F1541" i="25"/>
  <c r="F1540" i="25"/>
  <c r="H1540" i="25" s="1"/>
  <c r="H1539" i="25"/>
  <c r="F1538" i="25"/>
  <c r="H1538" i="25" s="1"/>
  <c r="G1535" i="25"/>
  <c r="F1535" i="25"/>
  <c r="F1534" i="25"/>
  <c r="H1534" i="25" s="1"/>
  <c r="F1533" i="25"/>
  <c r="H1533" i="25" s="1"/>
  <c r="G1530" i="25"/>
  <c r="F1530" i="25"/>
  <c r="F1529" i="25"/>
  <c r="H1529" i="25" s="1"/>
  <c r="F1528" i="25"/>
  <c r="H1528" i="25" s="1"/>
  <c r="H1527" i="25"/>
  <c r="F1526" i="25"/>
  <c r="H1526" i="25" s="1"/>
  <c r="F1523" i="25"/>
  <c r="F1522" i="25"/>
  <c r="H1522" i="25" s="1"/>
  <c r="F1521" i="25"/>
  <c r="H1521" i="25" s="1"/>
  <c r="G1518" i="25"/>
  <c r="F1518" i="25"/>
  <c r="F1517" i="25"/>
  <c r="H1517" i="25" s="1"/>
  <c r="F1516" i="25"/>
  <c r="H1516" i="25" s="1"/>
  <c r="H1515" i="25"/>
  <c r="F1514" i="25"/>
  <c r="H1514" i="25" s="1"/>
  <c r="G1511" i="25"/>
  <c r="F1511" i="25"/>
  <c r="F1510" i="25"/>
  <c r="H1510" i="25" s="1"/>
  <c r="F1509" i="25"/>
  <c r="H1509" i="25" s="1"/>
  <c r="F1508" i="25"/>
  <c r="H1508" i="25" s="1"/>
  <c r="F1507" i="25"/>
  <c r="H1507" i="25" s="1"/>
  <c r="F1506" i="25"/>
  <c r="H1506" i="25" s="1"/>
  <c r="F1505" i="25"/>
  <c r="H1505" i="25" s="1"/>
  <c r="F1504" i="25"/>
  <c r="H1504" i="25" s="1"/>
  <c r="F1503" i="25"/>
  <c r="H1503" i="25" s="1"/>
  <c r="G1500" i="25"/>
  <c r="F1500" i="25"/>
  <c r="F1499" i="25"/>
  <c r="H1499" i="25" s="1"/>
  <c r="G1496" i="25"/>
  <c r="F1496" i="25"/>
  <c r="F1495" i="25"/>
  <c r="H1495" i="25" s="1"/>
  <c r="F1494" i="25"/>
  <c r="H1494" i="25" s="1"/>
  <c r="G1491" i="25"/>
  <c r="F1491" i="25"/>
  <c r="F1490" i="25"/>
  <c r="H1490" i="25" s="1"/>
  <c r="F1489" i="25"/>
  <c r="H1489" i="25" s="1"/>
  <c r="F1488" i="25"/>
  <c r="H1488" i="25" s="1"/>
  <c r="F1487" i="25"/>
  <c r="H1487" i="25" s="1"/>
  <c r="F1486" i="25"/>
  <c r="H1486" i="25" s="1"/>
  <c r="G1483" i="25"/>
  <c r="F1483" i="25"/>
  <c r="F1482" i="25"/>
  <c r="E1482" i="25"/>
  <c r="F1481" i="25"/>
  <c r="E1481" i="25"/>
  <c r="F1480" i="25"/>
  <c r="H1480" i="25" s="1"/>
  <c r="G1477" i="25"/>
  <c r="F1477" i="25"/>
  <c r="F1476" i="25"/>
  <c r="H1476" i="25" s="1"/>
  <c r="F1475" i="25"/>
  <c r="H1475" i="25" s="1"/>
  <c r="F1474" i="25"/>
  <c r="H1474" i="25" s="1"/>
  <c r="F1473" i="25"/>
  <c r="H1473" i="25" s="1"/>
  <c r="F1472" i="25" s="1"/>
  <c r="H1472" i="25" s="1"/>
  <c r="G1469" i="25"/>
  <c r="F1469" i="25"/>
  <c r="F1468" i="25"/>
  <c r="H1468" i="25" s="1"/>
  <c r="F1467" i="25"/>
  <c r="H1467" i="25" s="1"/>
  <c r="F1466" i="25" s="1"/>
  <c r="H1466" i="25" s="1"/>
  <c r="G1463" i="25"/>
  <c r="F1463" i="25"/>
  <c r="F1462" i="25"/>
  <c r="H1462" i="25" s="1"/>
  <c r="F1461" i="25"/>
  <c r="H1461" i="25" s="1"/>
  <c r="F1460" i="25"/>
  <c r="H1460" i="25" s="1"/>
  <c r="H1459" i="25"/>
  <c r="F1458" i="25"/>
  <c r="H1458" i="25" s="1"/>
  <c r="F1457" i="25"/>
  <c r="H1457" i="25" s="1"/>
  <c r="F1456" i="25"/>
  <c r="H1456" i="25" s="1"/>
  <c r="F1455" i="25"/>
  <c r="H1455" i="25" s="1"/>
  <c r="F1454" i="25"/>
  <c r="H1454" i="25" s="1"/>
  <c r="F1453" i="25"/>
  <c r="H1453" i="25" s="1"/>
  <c r="F1452" i="25"/>
  <c r="H1452" i="25" s="1"/>
  <c r="F1451" i="25"/>
  <c r="H1451" i="25" s="1"/>
  <c r="F1450" i="25"/>
  <c r="H1450" i="25" s="1"/>
  <c r="G1447" i="25"/>
  <c r="F1447" i="25"/>
  <c r="F1446" i="25"/>
  <c r="H1446" i="25" s="1"/>
  <c r="F1445" i="25"/>
  <c r="H1445" i="25" s="1"/>
  <c r="H1444" i="25"/>
  <c r="F1443" i="25"/>
  <c r="H1443" i="25" s="1"/>
  <c r="F1442" i="25"/>
  <c r="H1442" i="25" s="1"/>
  <c r="F1441" i="25"/>
  <c r="H1441" i="25" s="1"/>
  <c r="F1440" i="25"/>
  <c r="H1440" i="25" s="1"/>
  <c r="F1439" i="25"/>
  <c r="H1439" i="25" s="1"/>
  <c r="F1438" i="25"/>
  <c r="H1438" i="25" s="1"/>
  <c r="F1437" i="25"/>
  <c r="H1437" i="25" s="1"/>
  <c r="F1436" i="25"/>
  <c r="H1436" i="25" s="1"/>
  <c r="G1433" i="25"/>
  <c r="F1433" i="25"/>
  <c r="F1432" i="25"/>
  <c r="H1432" i="25" s="1"/>
  <c r="F1431" i="25"/>
  <c r="H1431" i="25" s="1"/>
  <c r="H1430" i="25"/>
  <c r="F1429" i="25"/>
  <c r="H1429" i="25" s="1"/>
  <c r="F1428" i="25"/>
  <c r="H1428" i="25" s="1"/>
  <c r="F1427" i="25"/>
  <c r="H1427" i="25" s="1"/>
  <c r="F1426" i="25"/>
  <c r="H1426" i="25" s="1"/>
  <c r="F1425" i="25"/>
  <c r="H1425" i="25" s="1"/>
  <c r="F1424" i="25"/>
  <c r="H1424" i="25" s="1"/>
  <c r="F1423" i="25"/>
  <c r="H1423" i="25" s="1"/>
  <c r="C1423" i="25"/>
  <c r="F1422" i="25"/>
  <c r="H1422" i="25" s="1"/>
  <c r="G1419" i="25"/>
  <c r="F1419" i="25"/>
  <c r="F1418" i="25"/>
  <c r="H1418" i="25" s="1"/>
  <c r="F1417" i="25"/>
  <c r="H1417" i="25" s="1"/>
  <c r="F1416" i="25"/>
  <c r="H1416" i="25" s="1"/>
  <c r="F1415" i="25"/>
  <c r="H1415" i="25" s="1"/>
  <c r="F1414" i="25"/>
  <c r="H1414" i="25" s="1"/>
  <c r="F1413" i="25"/>
  <c r="H1413" i="25" s="1"/>
  <c r="F1412" i="25"/>
  <c r="H1412" i="25" s="1"/>
  <c r="F1411" i="25"/>
  <c r="H1411" i="25" s="1"/>
  <c r="F1410" i="25"/>
  <c r="H1410" i="25" s="1"/>
  <c r="F1409" i="25"/>
  <c r="H1409" i="25" s="1"/>
  <c r="F1408" i="25"/>
  <c r="H1408" i="25" s="1"/>
  <c r="G1405" i="25"/>
  <c r="F1405" i="25"/>
  <c r="F1404" i="25"/>
  <c r="H1404" i="25" s="1"/>
  <c r="F1403" i="25"/>
  <c r="H1403" i="25" s="1"/>
  <c r="F1402" i="25"/>
  <c r="H1402" i="25" s="1"/>
  <c r="F1401" i="25"/>
  <c r="H1401" i="25" s="1"/>
  <c r="F1400" i="25"/>
  <c r="H1400" i="25" s="1"/>
  <c r="F1399" i="25"/>
  <c r="H1399" i="25" s="1"/>
  <c r="F1398" i="25"/>
  <c r="H1398" i="25" s="1"/>
  <c r="F1397" i="25"/>
  <c r="H1397" i="25" s="1"/>
  <c r="F1396" i="25"/>
  <c r="H1396" i="25" s="1"/>
  <c r="F1395" i="25"/>
  <c r="H1395" i="25" s="1"/>
  <c r="F1394" i="25"/>
  <c r="H1394" i="25" s="1"/>
  <c r="G1391" i="25"/>
  <c r="F1391" i="25"/>
  <c r="F1390" i="25"/>
  <c r="H1390" i="25" s="1"/>
  <c r="F1389" i="25"/>
  <c r="H1389" i="25" s="1"/>
  <c r="F1388" i="25"/>
  <c r="H1388" i="25" s="1"/>
  <c r="F1387" i="25"/>
  <c r="H1387" i="25" s="1"/>
  <c r="F1386" i="25"/>
  <c r="H1386" i="25" s="1"/>
  <c r="F1385" i="25"/>
  <c r="H1385" i="25" s="1"/>
  <c r="F1384" i="25"/>
  <c r="H1384" i="25" s="1"/>
  <c r="F1383" i="25"/>
  <c r="H1383" i="25" s="1"/>
  <c r="F1382" i="25"/>
  <c r="H1382" i="25" s="1"/>
  <c r="F1381" i="25"/>
  <c r="H1381" i="25" s="1"/>
  <c r="F1380" i="25"/>
  <c r="H1380" i="25" s="1"/>
  <c r="G1377" i="25"/>
  <c r="F1377" i="25"/>
  <c r="F1376" i="25"/>
  <c r="H1376" i="25" s="1"/>
  <c r="F1375" i="25"/>
  <c r="H1375" i="25" s="1"/>
  <c r="F1374" i="25"/>
  <c r="H1374" i="25" s="1"/>
  <c r="F1373" i="25"/>
  <c r="H1373" i="25" s="1"/>
  <c r="F1372" i="25"/>
  <c r="H1372" i="25" s="1"/>
  <c r="F1371" i="25"/>
  <c r="H1371" i="25" s="1"/>
  <c r="F1370" i="25"/>
  <c r="H1370" i="25" s="1"/>
  <c r="F1369" i="25"/>
  <c r="H1369" i="25" s="1"/>
  <c r="F1368" i="25"/>
  <c r="H1368" i="25" s="1"/>
  <c r="F1367" i="25"/>
  <c r="H1367" i="25" s="1"/>
  <c r="F1366" i="25"/>
  <c r="H1366" i="25" s="1"/>
  <c r="G1363" i="25"/>
  <c r="F1363" i="25"/>
  <c r="F1362" i="25"/>
  <c r="H1362" i="25" s="1"/>
  <c r="F1358" i="25"/>
  <c r="H1358" i="25" s="1"/>
  <c r="F1355" i="25"/>
  <c r="H1355" i="25" s="1"/>
  <c r="F1356" i="25"/>
  <c r="H1356" i="25" s="1"/>
  <c r="F1353" i="25"/>
  <c r="H1353" i="25" s="1"/>
  <c r="F1354" i="25"/>
  <c r="H1354" i="25" s="1"/>
  <c r="H1360" i="25"/>
  <c r="F1359" i="25"/>
  <c r="H1359" i="25" s="1"/>
  <c r="F1352" i="25"/>
  <c r="H1352" i="25" s="1"/>
  <c r="F1357" i="25"/>
  <c r="H1357" i="25" s="1"/>
  <c r="F1361" i="25"/>
  <c r="H1361" i="25" s="1"/>
  <c r="G1349" i="25"/>
  <c r="F1349" i="25"/>
  <c r="F1348" i="25"/>
  <c r="H1348" i="25" s="1"/>
  <c r="F1347" i="25"/>
  <c r="H1347" i="25" s="1"/>
  <c r="F1341" i="25" s="1"/>
  <c r="H1341" i="25" s="1"/>
  <c r="F1346" i="25"/>
  <c r="H1346" i="25" s="1"/>
  <c r="F1345" i="25"/>
  <c r="H1345" i="25" s="1"/>
  <c r="F1344" i="25"/>
  <c r="H1344" i="25" s="1"/>
  <c r="F1343" i="25"/>
  <c r="H1343" i="25" s="1"/>
  <c r="F1342" i="25"/>
  <c r="H1342" i="25" s="1"/>
  <c r="G1338" i="25"/>
  <c r="F1338" i="25"/>
  <c r="F1337" i="25"/>
  <c r="H1337" i="25" s="1"/>
  <c r="F1336" i="25"/>
  <c r="H1336" i="25" s="1"/>
  <c r="F1330" i="25" s="1"/>
  <c r="H1330" i="25" s="1"/>
  <c r="F1335" i="25"/>
  <c r="H1335" i="25" s="1"/>
  <c r="F1334" i="25"/>
  <c r="H1334" i="25" s="1"/>
  <c r="F1333" i="25"/>
  <c r="H1333" i="25" s="1"/>
  <c r="F1332" i="25"/>
  <c r="H1332" i="25" s="1"/>
  <c r="F1331" i="25"/>
  <c r="H1331" i="25" s="1"/>
  <c r="G1327" i="25"/>
  <c r="F1327" i="25"/>
  <c r="F1326" i="25"/>
  <c r="H1326" i="25" s="1"/>
  <c r="F1325" i="25"/>
  <c r="H1325" i="25" s="1"/>
  <c r="F1319" i="25" s="1"/>
  <c r="H1319" i="25" s="1"/>
  <c r="F1324" i="25"/>
  <c r="H1324" i="25" s="1"/>
  <c r="F1323" i="25"/>
  <c r="H1323" i="25" s="1"/>
  <c r="F1322" i="25"/>
  <c r="H1322" i="25" s="1"/>
  <c r="F1321" i="25"/>
  <c r="H1321" i="25" s="1"/>
  <c r="F1320" i="25"/>
  <c r="H1320" i="25" s="1"/>
  <c r="G1316" i="25"/>
  <c r="F1316" i="25"/>
  <c r="F1315" i="25"/>
  <c r="H1315" i="25" s="1"/>
  <c r="F1314" i="25"/>
  <c r="H1314" i="25" s="1"/>
  <c r="F1309" i="25" s="1"/>
  <c r="H1309" i="25" s="1"/>
  <c r="F1313" i="25"/>
  <c r="H1313" i="25" s="1"/>
  <c r="F1312" i="25"/>
  <c r="H1312" i="25" s="1"/>
  <c r="F1311" i="25"/>
  <c r="H1311" i="25" s="1"/>
  <c r="F1310" i="25"/>
  <c r="H1310" i="25" s="1"/>
  <c r="G1306" i="25"/>
  <c r="F1306" i="25"/>
  <c r="F1305" i="25"/>
  <c r="H1305" i="25" s="1"/>
  <c r="F1304" i="25"/>
  <c r="H1304" i="25" s="1"/>
  <c r="F1300" i="25" s="1"/>
  <c r="H1300" i="25" s="1"/>
  <c r="F1303" i="25"/>
  <c r="H1303" i="25" s="1"/>
  <c r="F1302" i="25"/>
  <c r="H1302" i="25" s="1"/>
  <c r="F1301" i="25"/>
  <c r="H1301" i="25" s="1"/>
  <c r="G1297" i="25"/>
  <c r="F1297" i="25"/>
  <c r="F1296" i="25"/>
  <c r="H1296" i="25" s="1"/>
  <c r="F1295" i="25"/>
  <c r="H1295" i="25" s="1"/>
  <c r="F1291" i="25" s="1"/>
  <c r="H1291" i="25" s="1"/>
  <c r="F1294" i="25"/>
  <c r="H1294" i="25" s="1"/>
  <c r="F1293" i="25"/>
  <c r="H1293" i="25" s="1"/>
  <c r="F1292" i="25"/>
  <c r="H1292" i="25" s="1"/>
  <c r="F1287" i="25"/>
  <c r="H1287" i="25" s="1"/>
  <c r="F1286" i="25"/>
  <c r="H1286" i="25" s="1"/>
  <c r="G1284" i="25"/>
  <c r="F1284" i="25"/>
  <c r="F1283" i="25"/>
  <c r="H1283" i="25" s="1"/>
  <c r="F1278" i="25"/>
  <c r="H1278" i="25" s="1"/>
  <c r="F1279" i="25" s="1"/>
  <c r="H1279" i="25" s="1"/>
  <c r="F1277" i="25"/>
  <c r="H1277" i="25" s="1"/>
  <c r="G1272" i="25"/>
  <c r="F1272" i="25"/>
  <c r="F1271" i="25"/>
  <c r="H1271" i="25" s="1"/>
  <c r="F1270" i="25"/>
  <c r="H1270" i="25" s="1"/>
  <c r="F1269" i="25"/>
  <c r="H1269" i="25" s="1"/>
  <c r="F1268" i="25"/>
  <c r="H1268" i="25" s="1"/>
  <c r="F1267" i="25"/>
  <c r="H1267" i="25" s="1"/>
  <c r="G1264" i="25"/>
  <c r="F1264" i="25"/>
  <c r="F1263" i="25"/>
  <c r="H1263" i="25" s="1"/>
  <c r="G1260" i="25"/>
  <c r="F1260" i="25"/>
  <c r="F1259" i="25"/>
  <c r="H1259" i="25" s="1"/>
  <c r="F1258" i="25"/>
  <c r="H1258" i="25" s="1"/>
  <c r="F1257" i="25"/>
  <c r="H1257" i="25" s="1"/>
  <c r="F1256" i="25"/>
  <c r="H1256" i="25" s="1"/>
  <c r="F1255" i="25"/>
  <c r="H1255" i="25" s="1"/>
  <c r="F1254" i="25"/>
  <c r="H1254" i="25" s="1"/>
  <c r="G1251" i="25"/>
  <c r="F1251" i="25"/>
  <c r="F1250" i="25"/>
  <c r="H1250" i="25" s="1"/>
  <c r="F1249" i="25"/>
  <c r="H1249" i="25" s="1"/>
  <c r="F1248" i="25"/>
  <c r="H1248" i="25" s="1"/>
  <c r="F1247" i="25"/>
  <c r="H1247" i="25" s="1"/>
  <c r="F1246" i="25"/>
  <c r="H1246" i="25" s="1"/>
  <c r="G1243" i="25"/>
  <c r="F1243" i="25"/>
  <c r="F1242" i="25"/>
  <c r="H1242" i="25" s="1"/>
  <c r="F1241" i="25"/>
  <c r="H1241" i="25" s="1"/>
  <c r="G1238" i="25"/>
  <c r="F1238" i="25"/>
  <c r="F1237" i="25"/>
  <c r="H1237" i="25" s="1"/>
  <c r="F1232" i="25"/>
  <c r="H1232" i="25" s="1"/>
  <c r="F1233" i="25" s="1"/>
  <c r="H1233" i="25" s="1"/>
  <c r="F1231" i="25"/>
  <c r="H1231" i="25" s="1"/>
  <c r="F1230" i="25"/>
  <c r="H1230" i="25" s="1"/>
  <c r="F1229" i="25"/>
  <c r="H1229" i="25" s="1"/>
  <c r="G1226" i="25"/>
  <c r="F1226" i="25"/>
  <c r="F1225" i="25"/>
  <c r="H1225" i="25" s="1"/>
  <c r="F1224" i="25"/>
  <c r="H1224" i="25" s="1"/>
  <c r="F1223" i="25"/>
  <c r="H1223" i="25" s="1"/>
  <c r="G1220" i="25"/>
  <c r="F1220" i="25"/>
  <c r="F1219" i="25"/>
  <c r="H1219" i="25" s="1"/>
  <c r="F1218" i="25"/>
  <c r="H1218" i="25" s="1"/>
  <c r="F1217" i="25"/>
  <c r="H1217" i="25" s="1"/>
  <c r="F1216" i="25"/>
  <c r="H1216" i="25" s="1"/>
  <c r="F1215" i="25"/>
  <c r="H1215" i="25" s="1"/>
  <c r="F1214" i="25"/>
  <c r="H1214" i="25" s="1"/>
  <c r="F1213" i="25"/>
  <c r="H1213" i="25" s="1"/>
  <c r="G1208" i="25"/>
  <c r="F1208" i="25"/>
  <c r="F1207" i="25"/>
  <c r="H1207" i="25" s="1"/>
  <c r="F1206" i="25"/>
  <c r="H1206" i="25" s="1"/>
  <c r="F1205" i="25"/>
  <c r="H1205" i="25" s="1"/>
  <c r="F1204" i="25"/>
  <c r="H1204" i="25" s="1"/>
  <c r="D1200" i="25"/>
  <c r="C1200" i="25"/>
  <c r="G1199" i="25"/>
  <c r="F1199" i="25"/>
  <c r="D1199" i="25"/>
  <c r="C1199" i="25"/>
  <c r="F1198" i="25"/>
  <c r="H1198" i="25" s="1"/>
  <c r="D1198" i="25"/>
  <c r="C1198" i="25"/>
  <c r="F1197" i="25"/>
  <c r="H1197" i="25" s="1"/>
  <c r="D1197" i="25"/>
  <c r="C1197" i="25"/>
  <c r="F1196" i="25"/>
  <c r="H1196" i="25" s="1"/>
  <c r="D1196" i="25"/>
  <c r="C1196" i="25"/>
  <c r="F1195" i="25"/>
  <c r="H1195" i="25" s="1"/>
  <c r="D1195" i="25"/>
  <c r="C1195" i="25"/>
  <c r="F1194" i="25"/>
  <c r="H1194" i="25" s="1"/>
  <c r="D1194" i="25"/>
  <c r="C1194" i="25"/>
  <c r="G1191" i="25"/>
  <c r="F1191" i="25"/>
  <c r="F1190" i="25"/>
  <c r="H1190" i="25" s="1"/>
  <c r="F1189" i="25"/>
  <c r="H1189" i="25" s="1"/>
  <c r="F1188" i="25"/>
  <c r="H1188" i="25" s="1"/>
  <c r="F1187" i="25"/>
  <c r="H1187" i="25" s="1"/>
  <c r="F1186" i="25"/>
  <c r="H1186" i="25" s="1"/>
  <c r="F1185" i="25"/>
  <c r="H1185" i="25" s="1"/>
  <c r="F1184" i="25"/>
  <c r="H1184" i="25" s="1"/>
  <c r="G1179" i="25"/>
  <c r="F1179" i="25"/>
  <c r="F1178" i="25"/>
  <c r="H1178" i="25" s="1"/>
  <c r="F1177" i="25"/>
  <c r="H1177" i="25" s="1"/>
  <c r="F1176" i="25"/>
  <c r="H1176" i="25" s="1"/>
  <c r="F1175" i="25"/>
  <c r="H1175" i="25" s="1"/>
  <c r="F1174" i="25"/>
  <c r="H1174" i="25" s="1"/>
  <c r="G1171" i="25"/>
  <c r="F1171" i="25"/>
  <c r="F1170" i="25"/>
  <c r="H1170" i="25" s="1"/>
  <c r="F1169" i="25"/>
  <c r="H1169" i="25" s="1"/>
  <c r="F1168" i="25"/>
  <c r="H1168" i="25" s="1"/>
  <c r="F1167" i="25"/>
  <c r="H1167" i="25" s="1"/>
  <c r="F1166" i="25"/>
  <c r="H1166" i="25" s="1"/>
  <c r="G1161" i="25"/>
  <c r="F1161" i="25"/>
  <c r="F1160" i="25"/>
  <c r="H1160" i="25" s="1"/>
  <c r="F1157" i="25"/>
  <c r="H1157" i="25" s="1"/>
  <c r="F1158" i="25" s="1"/>
  <c r="H1158" i="25" s="1"/>
  <c r="F1156" i="25"/>
  <c r="H1156" i="25" s="1"/>
  <c r="F1153" i="25"/>
  <c r="H1153" i="25" s="1"/>
  <c r="F1154" i="25" s="1"/>
  <c r="H1154" i="25" s="1"/>
  <c r="F1152" i="25"/>
  <c r="H1152" i="25" s="1"/>
  <c r="F1151" i="25"/>
  <c r="H1151" i="25" s="1"/>
  <c r="F1150" i="25"/>
  <c r="H1150" i="25" s="1"/>
  <c r="F1147" i="25"/>
  <c r="H1147" i="25" s="1"/>
  <c r="F1148" i="25" s="1"/>
  <c r="H1148" i="25" s="1"/>
  <c r="F1146" i="25"/>
  <c r="H1146" i="25" s="1"/>
  <c r="F1145" i="25"/>
  <c r="H1145" i="25" s="1"/>
  <c r="F1144" i="25"/>
  <c r="H1144" i="25" s="1"/>
  <c r="F1143" i="25"/>
  <c r="H1143" i="25" s="1"/>
  <c r="F1142" i="25"/>
  <c r="H1142" i="25" s="1"/>
  <c r="F1141" i="25"/>
  <c r="H1141" i="25" s="1"/>
  <c r="F1140" i="25"/>
  <c r="H1140" i="25" s="1"/>
  <c r="G1135" i="25"/>
  <c r="F1135" i="25"/>
  <c r="F1134" i="25"/>
  <c r="H1134" i="25" s="1"/>
  <c r="F1133" i="25"/>
  <c r="H1133" i="25" s="1"/>
  <c r="F1132" i="25"/>
  <c r="H1132" i="25" s="1"/>
  <c r="F1131" i="25"/>
  <c r="H1131" i="25" s="1"/>
  <c r="F1130" i="25"/>
  <c r="H1130" i="25" s="1"/>
  <c r="F1129" i="25"/>
  <c r="H1129" i="25" s="1"/>
  <c r="G1126" i="25"/>
  <c r="F1126" i="25"/>
  <c r="F1125" i="25"/>
  <c r="H1125" i="25" s="1"/>
  <c r="F1124" i="25"/>
  <c r="H1124" i="25" s="1"/>
  <c r="F1123" i="25"/>
  <c r="H1123" i="25" s="1"/>
  <c r="F1122" i="25"/>
  <c r="H1122" i="25" s="1"/>
  <c r="F1121" i="25"/>
  <c r="H1121" i="25" s="1"/>
  <c r="F1117" i="25"/>
  <c r="H1117" i="25" s="1"/>
  <c r="F1116" i="25" s="1"/>
  <c r="G1114" i="25"/>
  <c r="F1114" i="25"/>
  <c r="F1113" i="25"/>
  <c r="H1113" i="25" s="1"/>
  <c r="G1110" i="25"/>
  <c r="F1110" i="25"/>
  <c r="F1109" i="25"/>
  <c r="H1109" i="25" s="1"/>
  <c r="G1106" i="25"/>
  <c r="F1106" i="25"/>
  <c r="F1105" i="25"/>
  <c r="H1105" i="25" s="1"/>
  <c r="F1104" i="25"/>
  <c r="H1104" i="25" s="1"/>
  <c r="G1101" i="25"/>
  <c r="F1101" i="25"/>
  <c r="F1100" i="25"/>
  <c r="H1100" i="25" s="1"/>
  <c r="F1099" i="25"/>
  <c r="H1099" i="25" s="1"/>
  <c r="F1098" i="25"/>
  <c r="H1098" i="25" s="1"/>
  <c r="F1097" i="25"/>
  <c r="H1097" i="25" s="1"/>
  <c r="F1096" i="25"/>
  <c r="H1096" i="25" s="1"/>
  <c r="G1093" i="25"/>
  <c r="F1093" i="25"/>
  <c r="F1092" i="25"/>
  <c r="H1092" i="25" s="1"/>
  <c r="G1089" i="25"/>
  <c r="F1089" i="25"/>
  <c r="F1088" i="25"/>
  <c r="H1088" i="25" s="1"/>
  <c r="F1087" i="25"/>
  <c r="H1087" i="25" s="1"/>
  <c r="F1086" i="25"/>
  <c r="H1086" i="25" s="1"/>
  <c r="F1085" i="25"/>
  <c r="H1085" i="25" s="1"/>
  <c r="F1084" i="25"/>
  <c r="H1084" i="25" s="1"/>
  <c r="F1083" i="25"/>
  <c r="H1083" i="25" s="1"/>
  <c r="F1082" i="25"/>
  <c r="H1082" i="25" s="1"/>
  <c r="G1077" i="25"/>
  <c r="F1077" i="25"/>
  <c r="F1076" i="25"/>
  <c r="H1076" i="25" s="1"/>
  <c r="F1075" i="25"/>
  <c r="H1075" i="25" s="1"/>
  <c r="F1074" i="25"/>
  <c r="H1074" i="25" s="1"/>
  <c r="F1073" i="25"/>
  <c r="H1073" i="25" s="1"/>
  <c r="F1072" i="25"/>
  <c r="H1072" i="25" s="1"/>
  <c r="F1071" i="25"/>
  <c r="H1071" i="25" s="1"/>
  <c r="F1070" i="25"/>
  <c r="H1070" i="25" s="1"/>
  <c r="F1069" i="25"/>
  <c r="H1069" i="25" s="1"/>
  <c r="F1068" i="25"/>
  <c r="H1068" i="25" s="1"/>
  <c r="F1067" i="25"/>
  <c r="H1067" i="25" s="1"/>
  <c r="F1066" i="25"/>
  <c r="H1066" i="25" s="1"/>
  <c r="D1062" i="25"/>
  <c r="C1062" i="25"/>
  <c r="G1061" i="25"/>
  <c r="F1061" i="25"/>
  <c r="D1061" i="25"/>
  <c r="C1061" i="25"/>
  <c r="F1060" i="25"/>
  <c r="H1060" i="25" s="1"/>
  <c r="D1060" i="25"/>
  <c r="C1060" i="25"/>
  <c r="F1059" i="25"/>
  <c r="H1059" i="25" s="1"/>
  <c r="D1059" i="25"/>
  <c r="C1059" i="25"/>
  <c r="F1058" i="25"/>
  <c r="H1058" i="25" s="1"/>
  <c r="D1058" i="25"/>
  <c r="C1058" i="25"/>
  <c r="F1057" i="25"/>
  <c r="H1057" i="25" s="1"/>
  <c r="D1057" i="25"/>
  <c r="C1057" i="25"/>
  <c r="F1056" i="25"/>
  <c r="H1056" i="25" s="1"/>
  <c r="D1056" i="25"/>
  <c r="C1056" i="25"/>
  <c r="F1055" i="25"/>
  <c r="H1055" i="25" s="1"/>
  <c r="D1055" i="25"/>
  <c r="C1055" i="25"/>
  <c r="F1054" i="25"/>
  <c r="H1054" i="25" s="1"/>
  <c r="D1054" i="25"/>
  <c r="C1054" i="25"/>
  <c r="F1053" i="25"/>
  <c r="H1053" i="25" s="1"/>
  <c r="D1053" i="25"/>
  <c r="C1053" i="25"/>
  <c r="F1052" i="25"/>
  <c r="H1052" i="25" s="1"/>
  <c r="D1052" i="25"/>
  <c r="C1052" i="25"/>
  <c r="D1050" i="25"/>
  <c r="C1050" i="25"/>
  <c r="G1049" i="25"/>
  <c r="F1049" i="25"/>
  <c r="D1049" i="25"/>
  <c r="C1049" i="25"/>
  <c r="F1048" i="25"/>
  <c r="H1048" i="25" s="1"/>
  <c r="D1048" i="25"/>
  <c r="C1048" i="25"/>
  <c r="F1047" i="25"/>
  <c r="H1047" i="25" s="1"/>
  <c r="D1047" i="25"/>
  <c r="C1047" i="25"/>
  <c r="F1046" i="25"/>
  <c r="H1046" i="25" s="1"/>
  <c r="D1046" i="25"/>
  <c r="C1046" i="25"/>
  <c r="F1045" i="25"/>
  <c r="H1045" i="25" s="1"/>
  <c r="D1045" i="25"/>
  <c r="C1045" i="25"/>
  <c r="F1044" i="25"/>
  <c r="H1044" i="25" s="1"/>
  <c r="D1044" i="25"/>
  <c r="C1044" i="25"/>
  <c r="F1043" i="25"/>
  <c r="H1043" i="25" s="1"/>
  <c r="D1043" i="25"/>
  <c r="C1043" i="25"/>
  <c r="F1042" i="25"/>
  <c r="H1042" i="25" s="1"/>
  <c r="D1042" i="25"/>
  <c r="C1042" i="25"/>
  <c r="F1041" i="25"/>
  <c r="H1041" i="25" s="1"/>
  <c r="D1041" i="25"/>
  <c r="C1041" i="25"/>
  <c r="F1040" i="25"/>
  <c r="H1040" i="25" s="1"/>
  <c r="D1040" i="25"/>
  <c r="C1040" i="25"/>
  <c r="F1039" i="25"/>
  <c r="H1039" i="25" s="1"/>
  <c r="D1039" i="25"/>
  <c r="C1039" i="25"/>
  <c r="F1038" i="25"/>
  <c r="H1038" i="25" s="1"/>
  <c r="D1038" i="25"/>
  <c r="C1038" i="25"/>
  <c r="F1037" i="25"/>
  <c r="H1037" i="25" s="1"/>
  <c r="D1037" i="25"/>
  <c r="C1037" i="25"/>
  <c r="D1035" i="25"/>
  <c r="C1035" i="25"/>
  <c r="G1034" i="25"/>
  <c r="F1034" i="25"/>
  <c r="D1034" i="25"/>
  <c r="C1034" i="25"/>
  <c r="F1033" i="25"/>
  <c r="H1033" i="25" s="1"/>
  <c r="D1033" i="25"/>
  <c r="C1033" i="25"/>
  <c r="F1032" i="25"/>
  <c r="H1032" i="25" s="1"/>
  <c r="D1032" i="25"/>
  <c r="C1032" i="25"/>
  <c r="F1031" i="25"/>
  <c r="H1031" i="25" s="1"/>
  <c r="D1031" i="25"/>
  <c r="C1031" i="25"/>
  <c r="F1030" i="25"/>
  <c r="H1030" i="25" s="1"/>
  <c r="D1030" i="25"/>
  <c r="C1030" i="25"/>
  <c r="F1029" i="25"/>
  <c r="H1029" i="25" s="1"/>
  <c r="D1029" i="25"/>
  <c r="C1029" i="25"/>
  <c r="F1028" i="25"/>
  <c r="H1028" i="25" s="1"/>
  <c r="D1028" i="25"/>
  <c r="C1028" i="25"/>
  <c r="F1027" i="25"/>
  <c r="H1027" i="25" s="1"/>
  <c r="D1027" i="25"/>
  <c r="C1027" i="25"/>
  <c r="F1026" i="25"/>
  <c r="H1026" i="25" s="1"/>
  <c r="D1026" i="25"/>
  <c r="C1026" i="25"/>
  <c r="F1025" i="25"/>
  <c r="H1025" i="25" s="1"/>
  <c r="D1025" i="25"/>
  <c r="C1025" i="25"/>
  <c r="F1024" i="25"/>
  <c r="H1024" i="25" s="1"/>
  <c r="D1024" i="25"/>
  <c r="C1024" i="25"/>
  <c r="F1023" i="25"/>
  <c r="H1023" i="25" s="1"/>
  <c r="D1023" i="25"/>
  <c r="C1023" i="25"/>
  <c r="F1022" i="25"/>
  <c r="H1022" i="25" s="1"/>
  <c r="D1022" i="25"/>
  <c r="C1022" i="25"/>
  <c r="D1020" i="25"/>
  <c r="C1020" i="25"/>
  <c r="G1019" i="25"/>
  <c r="F1019" i="25"/>
  <c r="D1019" i="25"/>
  <c r="C1019" i="25"/>
  <c r="F1018" i="25"/>
  <c r="H1018" i="25" s="1"/>
  <c r="D1018" i="25"/>
  <c r="C1018" i="25"/>
  <c r="F1017" i="25"/>
  <c r="H1017" i="25" s="1"/>
  <c r="D1017" i="25"/>
  <c r="C1017" i="25"/>
  <c r="F1016" i="25"/>
  <c r="H1016" i="25" s="1"/>
  <c r="D1016" i="25"/>
  <c r="C1016" i="25"/>
  <c r="F1015" i="25"/>
  <c r="H1015" i="25" s="1"/>
  <c r="D1015" i="25"/>
  <c r="C1015" i="25"/>
  <c r="F1014" i="25"/>
  <c r="H1014" i="25" s="1"/>
  <c r="D1014" i="25"/>
  <c r="C1014" i="25"/>
  <c r="F1013" i="25"/>
  <c r="H1013" i="25" s="1"/>
  <c r="D1013" i="25"/>
  <c r="C1013" i="25"/>
  <c r="F1012" i="25"/>
  <c r="H1012" i="25" s="1"/>
  <c r="D1012" i="25"/>
  <c r="C1012" i="25"/>
  <c r="F1011" i="25"/>
  <c r="H1011" i="25" s="1"/>
  <c r="D1011" i="25"/>
  <c r="C1011" i="25"/>
  <c r="F1010" i="25"/>
  <c r="H1010" i="25" s="1"/>
  <c r="D1010" i="25"/>
  <c r="C1010" i="25"/>
  <c r="F1009" i="25"/>
  <c r="H1009" i="25" s="1"/>
  <c r="D1009" i="25"/>
  <c r="C1009" i="25"/>
  <c r="F1008" i="25"/>
  <c r="H1008" i="25" s="1"/>
  <c r="D1008" i="25"/>
  <c r="C1008" i="25"/>
  <c r="D1006" i="25"/>
  <c r="C1006" i="25"/>
  <c r="G1005" i="25"/>
  <c r="F1005" i="25"/>
  <c r="D1005" i="25"/>
  <c r="C1005" i="25"/>
  <c r="F1004" i="25"/>
  <c r="H1004" i="25" s="1"/>
  <c r="D1004" i="25"/>
  <c r="C1004" i="25"/>
  <c r="F1003" i="25"/>
  <c r="H1003" i="25" s="1"/>
  <c r="D1003" i="25"/>
  <c r="C1003" i="25"/>
  <c r="F1002" i="25"/>
  <c r="H1002" i="25" s="1"/>
  <c r="D1002" i="25"/>
  <c r="C1002" i="25"/>
  <c r="F1001" i="25"/>
  <c r="H1001" i="25" s="1"/>
  <c r="D1001" i="25"/>
  <c r="C1001" i="25"/>
  <c r="F1000" i="25"/>
  <c r="H1000" i="25" s="1"/>
  <c r="D1000" i="25"/>
  <c r="C1000" i="25"/>
  <c r="F999" i="25"/>
  <c r="H999" i="25" s="1"/>
  <c r="D999" i="25"/>
  <c r="C999" i="25"/>
  <c r="F998" i="25"/>
  <c r="H998" i="25" s="1"/>
  <c r="D998" i="25"/>
  <c r="C998" i="25"/>
  <c r="F997" i="25"/>
  <c r="H997" i="25" s="1"/>
  <c r="D997" i="25"/>
  <c r="C997" i="25"/>
  <c r="F996" i="25"/>
  <c r="H996" i="25" s="1"/>
  <c r="D996" i="25"/>
  <c r="C996" i="25"/>
  <c r="F995" i="25"/>
  <c r="H995" i="25" s="1"/>
  <c r="D995" i="25"/>
  <c r="C995" i="25"/>
  <c r="F994" i="25"/>
  <c r="H994" i="25" s="1"/>
  <c r="D994" i="25"/>
  <c r="C994" i="25"/>
  <c r="F993" i="25"/>
  <c r="H993" i="25" s="1"/>
  <c r="D993" i="25"/>
  <c r="C993" i="25"/>
  <c r="D991" i="25"/>
  <c r="C991" i="25"/>
  <c r="G990" i="25"/>
  <c r="F990" i="25"/>
  <c r="D990" i="25"/>
  <c r="C990" i="25"/>
  <c r="F989" i="25"/>
  <c r="H989" i="25" s="1"/>
  <c r="D989" i="25"/>
  <c r="C989" i="25"/>
  <c r="F988" i="25"/>
  <c r="H988" i="25" s="1"/>
  <c r="D988" i="25"/>
  <c r="C988" i="25"/>
  <c r="F987" i="25"/>
  <c r="H987" i="25" s="1"/>
  <c r="D987" i="25"/>
  <c r="C987" i="25"/>
  <c r="F986" i="25"/>
  <c r="H986" i="25" s="1"/>
  <c r="D986" i="25"/>
  <c r="C986" i="25"/>
  <c r="F985" i="25"/>
  <c r="H985" i="25" s="1"/>
  <c r="D985" i="25"/>
  <c r="C985" i="25"/>
  <c r="F984" i="25"/>
  <c r="H984" i="25" s="1"/>
  <c r="D984" i="25"/>
  <c r="C984" i="25"/>
  <c r="F983" i="25"/>
  <c r="H983" i="25" s="1"/>
  <c r="D983" i="25"/>
  <c r="C983" i="25"/>
  <c r="F982" i="25"/>
  <c r="H982" i="25" s="1"/>
  <c r="D982" i="25"/>
  <c r="C982" i="25"/>
  <c r="F981" i="25"/>
  <c r="H981" i="25" s="1"/>
  <c r="D981" i="25"/>
  <c r="C981" i="25"/>
  <c r="F980" i="25"/>
  <c r="H980" i="25" s="1"/>
  <c r="D980" i="25"/>
  <c r="C980" i="25"/>
  <c r="D978" i="25"/>
  <c r="C978" i="25"/>
  <c r="G977" i="25"/>
  <c r="F977" i="25"/>
  <c r="D977" i="25"/>
  <c r="C977" i="25"/>
  <c r="F976" i="25"/>
  <c r="H976" i="25" s="1"/>
  <c r="D976" i="25"/>
  <c r="C976" i="25"/>
  <c r="F975" i="25"/>
  <c r="H975" i="25" s="1"/>
  <c r="D975" i="25"/>
  <c r="C975" i="25"/>
  <c r="F974" i="25"/>
  <c r="H974" i="25" s="1"/>
  <c r="D974" i="25"/>
  <c r="C974" i="25"/>
  <c r="F973" i="25"/>
  <c r="H973" i="25" s="1"/>
  <c r="D973" i="25"/>
  <c r="C973" i="25"/>
  <c r="F972" i="25"/>
  <c r="H972" i="25" s="1"/>
  <c r="D972" i="25"/>
  <c r="C972" i="25"/>
  <c r="F971" i="25"/>
  <c r="H971" i="25" s="1"/>
  <c r="D971" i="25"/>
  <c r="C971" i="25"/>
  <c r="F970" i="25"/>
  <c r="H970" i="25" s="1"/>
  <c r="D970" i="25"/>
  <c r="C970" i="25"/>
  <c r="F969" i="25"/>
  <c r="H969" i="25" s="1"/>
  <c r="D969" i="25"/>
  <c r="C969" i="25"/>
  <c r="F968" i="25"/>
  <c r="H968" i="25" s="1"/>
  <c r="D968" i="25"/>
  <c r="C968" i="25"/>
  <c r="F967" i="25"/>
  <c r="H967" i="25" s="1"/>
  <c r="D967" i="25"/>
  <c r="C967" i="25"/>
  <c r="F966" i="25"/>
  <c r="H966" i="25" s="1"/>
  <c r="D966" i="25"/>
  <c r="C966" i="25"/>
  <c r="F965" i="25"/>
  <c r="H965" i="25" s="1"/>
  <c r="D965" i="25"/>
  <c r="C965" i="25"/>
  <c r="G962" i="25"/>
  <c r="F962" i="25"/>
  <c r="F961" i="25"/>
  <c r="H961" i="25" s="1"/>
  <c r="G958" i="25"/>
  <c r="F958" i="25"/>
  <c r="F957" i="25"/>
  <c r="H957" i="25" s="1"/>
  <c r="F956" i="25"/>
  <c r="H956" i="25" s="1"/>
  <c r="F955" i="25"/>
  <c r="H955" i="25" s="1"/>
  <c r="F954" i="25"/>
  <c r="H954" i="25" s="1"/>
  <c r="F953" i="25"/>
  <c r="H953" i="25" s="1"/>
  <c r="F952" i="25"/>
  <c r="H952" i="25" s="1"/>
  <c r="F951" i="25"/>
  <c r="H951" i="25" s="1"/>
  <c r="F950" i="25"/>
  <c r="H950" i="25" s="1"/>
  <c r="G947" i="25"/>
  <c r="F947" i="25"/>
  <c r="F946" i="25"/>
  <c r="H946" i="25" s="1"/>
  <c r="F945" i="25"/>
  <c r="H945" i="25" s="1"/>
  <c r="F944" i="25"/>
  <c r="H944" i="25" s="1"/>
  <c r="F943" i="25"/>
  <c r="H943" i="25" s="1"/>
  <c r="F942" i="25"/>
  <c r="H942" i="25" s="1"/>
  <c r="F941" i="25"/>
  <c r="H941" i="25" s="1"/>
  <c r="F940" i="25"/>
  <c r="H940" i="25" s="1"/>
  <c r="F939" i="25"/>
  <c r="H939" i="25" s="1"/>
  <c r="F938" i="25"/>
  <c r="H938" i="25" s="1"/>
  <c r="F937" i="25"/>
  <c r="H937" i="25" s="1"/>
  <c r="F936" i="25"/>
  <c r="H936" i="25" s="1"/>
  <c r="F935" i="25"/>
  <c r="H935" i="25" s="1"/>
  <c r="G932" i="25"/>
  <c r="F932" i="25"/>
  <c r="F931" i="25"/>
  <c r="H931" i="25" s="1"/>
  <c r="F930" i="25"/>
  <c r="H930" i="25" s="1"/>
  <c r="F929" i="25"/>
  <c r="H929" i="25" s="1"/>
  <c r="F928" i="25"/>
  <c r="H928" i="25" s="1"/>
  <c r="F927" i="25"/>
  <c r="H927" i="25" s="1"/>
  <c r="F926" i="25"/>
  <c r="H926" i="25" s="1"/>
  <c r="F925" i="25"/>
  <c r="H925" i="25" s="1"/>
  <c r="F924" i="25"/>
  <c r="H924" i="25" s="1"/>
  <c r="F923" i="25"/>
  <c r="H923" i="25" s="1"/>
  <c r="F922" i="25"/>
  <c r="H922" i="25" s="1"/>
  <c r="F921" i="25"/>
  <c r="H921" i="25" s="1"/>
  <c r="F920" i="25"/>
  <c r="H920" i="25" s="1"/>
  <c r="G917" i="25"/>
  <c r="F917" i="25"/>
  <c r="F916" i="25"/>
  <c r="H916" i="25" s="1"/>
  <c r="F915" i="25"/>
  <c r="H915" i="25" s="1"/>
  <c r="F914" i="25"/>
  <c r="H914" i="25" s="1"/>
  <c r="F913" i="25"/>
  <c r="H913" i="25" s="1"/>
  <c r="F912" i="25"/>
  <c r="H912" i="25" s="1"/>
  <c r="F911" i="25"/>
  <c r="H911" i="25" s="1"/>
  <c r="F910" i="25"/>
  <c r="H910" i="25" s="1"/>
  <c r="F909" i="25"/>
  <c r="H909" i="25" s="1"/>
  <c r="F908" i="25"/>
  <c r="H908" i="25" s="1"/>
  <c r="F907" i="25"/>
  <c r="H907" i="25" s="1"/>
  <c r="F906" i="25"/>
  <c r="H906" i="25" s="1"/>
  <c r="F905" i="25"/>
  <c r="H905" i="25" s="1"/>
  <c r="G902" i="25"/>
  <c r="F902" i="25"/>
  <c r="F901" i="25"/>
  <c r="H901" i="25" s="1"/>
  <c r="F900" i="25"/>
  <c r="H900" i="25" s="1"/>
  <c r="F899" i="25"/>
  <c r="H899" i="25" s="1"/>
  <c r="F898" i="25"/>
  <c r="H898" i="25" s="1"/>
  <c r="F897" i="25"/>
  <c r="H897" i="25" s="1"/>
  <c r="F896" i="25"/>
  <c r="H896" i="25" s="1"/>
  <c r="F895" i="25"/>
  <c r="H895" i="25" s="1"/>
  <c r="F894" i="25"/>
  <c r="H894" i="25" s="1"/>
  <c r="F893" i="25"/>
  <c r="H893" i="25" s="1"/>
  <c r="F892" i="25"/>
  <c r="H892" i="25" s="1"/>
  <c r="F891" i="25"/>
  <c r="H891" i="25" s="1"/>
  <c r="F890" i="25"/>
  <c r="H890" i="25" s="1"/>
  <c r="G887" i="25"/>
  <c r="F887" i="25"/>
  <c r="F886" i="25"/>
  <c r="H886" i="25" s="1"/>
  <c r="F885" i="25"/>
  <c r="H885" i="25" s="1"/>
  <c r="F884" i="25"/>
  <c r="H884" i="25" s="1"/>
  <c r="F883" i="25"/>
  <c r="H883" i="25" s="1"/>
  <c r="F882" i="25"/>
  <c r="H882" i="25" s="1"/>
  <c r="F881" i="25"/>
  <c r="H881" i="25" s="1"/>
  <c r="F880" i="25"/>
  <c r="H880" i="25" s="1"/>
  <c r="F879" i="25"/>
  <c r="H879" i="25" s="1"/>
  <c r="F878" i="25"/>
  <c r="H878" i="25" s="1"/>
  <c r="F877" i="25"/>
  <c r="H877" i="25" s="1"/>
  <c r="F876" i="25"/>
  <c r="H876" i="25" s="1"/>
  <c r="F875" i="25"/>
  <c r="H875" i="25" s="1"/>
  <c r="G872" i="25"/>
  <c r="F872" i="25"/>
  <c r="F871" i="25"/>
  <c r="H871" i="25" s="1"/>
  <c r="F870" i="25"/>
  <c r="H870" i="25" s="1"/>
  <c r="F869" i="25"/>
  <c r="H869" i="25" s="1"/>
  <c r="F868" i="25"/>
  <c r="H868" i="25" s="1"/>
  <c r="F867" i="25"/>
  <c r="H867" i="25" s="1"/>
  <c r="F866" i="25"/>
  <c r="H866" i="25" s="1"/>
  <c r="F865" i="25"/>
  <c r="H865" i="25" s="1"/>
  <c r="F864" i="25"/>
  <c r="H864" i="25" s="1"/>
  <c r="F863" i="25"/>
  <c r="H863" i="25" s="1"/>
  <c r="F862" i="25"/>
  <c r="H862" i="25" s="1"/>
  <c r="F861" i="25"/>
  <c r="H861" i="25" s="1"/>
  <c r="F860" i="25"/>
  <c r="H860" i="25" s="1"/>
  <c r="G857" i="25"/>
  <c r="F857" i="25"/>
  <c r="F856" i="25"/>
  <c r="H856" i="25" s="1"/>
  <c r="F855" i="25"/>
  <c r="H855" i="25" s="1"/>
  <c r="F854" i="25"/>
  <c r="H854" i="25" s="1"/>
  <c r="F853" i="25"/>
  <c r="H853" i="25" s="1"/>
  <c r="F852" i="25"/>
  <c r="H852" i="25" s="1"/>
  <c r="F851" i="25"/>
  <c r="H851" i="25" s="1"/>
  <c r="F850" i="25"/>
  <c r="H850" i="25" s="1"/>
  <c r="F849" i="25"/>
  <c r="H849" i="25" s="1"/>
  <c r="G846" i="25"/>
  <c r="F846" i="25"/>
  <c r="F845" i="25"/>
  <c r="H845" i="25" s="1"/>
  <c r="F844" i="25"/>
  <c r="H844" i="25" s="1"/>
  <c r="F843" i="25"/>
  <c r="H843" i="25" s="1"/>
  <c r="F842" i="25"/>
  <c r="H842" i="25" s="1"/>
  <c r="F841" i="25"/>
  <c r="H841" i="25" s="1"/>
  <c r="F840" i="25"/>
  <c r="H840" i="25" s="1"/>
  <c r="F839" i="25"/>
  <c r="H839" i="25" s="1"/>
  <c r="F838" i="25"/>
  <c r="H838" i="25" s="1"/>
  <c r="F837" i="25"/>
  <c r="H837" i="25" s="1"/>
  <c r="F836" i="25"/>
  <c r="H836" i="25" s="1"/>
  <c r="F835" i="25"/>
  <c r="H835" i="25" s="1"/>
  <c r="F834" i="25"/>
  <c r="H834" i="25" s="1"/>
  <c r="G829" i="25"/>
  <c r="F829" i="25"/>
  <c r="F828" i="25"/>
  <c r="H828" i="25" s="1"/>
  <c r="G825" i="25"/>
  <c r="F825" i="25"/>
  <c r="F824" i="25"/>
  <c r="H824" i="25" s="1"/>
  <c r="G821" i="25"/>
  <c r="F821" i="25"/>
  <c r="F820" i="25"/>
  <c r="H820" i="25" s="1"/>
  <c r="G817" i="25"/>
  <c r="F817" i="25"/>
  <c r="F816" i="25"/>
  <c r="H816" i="25" s="1"/>
  <c r="G813" i="25"/>
  <c r="F813" i="25"/>
  <c r="F812" i="25"/>
  <c r="H812" i="25" s="1"/>
  <c r="G809" i="25"/>
  <c r="F809" i="25"/>
  <c r="F808" i="25"/>
  <c r="H808" i="25" s="1"/>
  <c r="G805" i="25"/>
  <c r="F805" i="25"/>
  <c r="F804" i="25"/>
  <c r="H804" i="25" s="1"/>
  <c r="G801" i="25"/>
  <c r="F801" i="25"/>
  <c r="F800" i="25"/>
  <c r="H800" i="25" s="1"/>
  <c r="G797" i="25"/>
  <c r="F797" i="25"/>
  <c r="F796" i="25"/>
  <c r="H796" i="25" s="1"/>
  <c r="G793" i="25"/>
  <c r="F793" i="25"/>
  <c r="F792" i="25"/>
  <c r="H792" i="25" s="1"/>
  <c r="G789" i="25"/>
  <c r="F789" i="25"/>
  <c r="F788" i="25"/>
  <c r="H788" i="25" s="1"/>
  <c r="G785" i="25"/>
  <c r="F785" i="25"/>
  <c r="F784" i="25"/>
  <c r="H784" i="25" s="1"/>
  <c r="G781" i="25"/>
  <c r="F781" i="25"/>
  <c r="F780" i="25"/>
  <c r="H780" i="25" s="1"/>
  <c r="G777" i="25"/>
  <c r="F777" i="25"/>
  <c r="F776" i="25"/>
  <c r="H776" i="25" s="1"/>
  <c r="G773" i="25"/>
  <c r="F773" i="25"/>
  <c r="F772" i="25"/>
  <c r="H772" i="25" s="1"/>
  <c r="G769" i="25"/>
  <c r="F769" i="25"/>
  <c r="F768" i="25"/>
  <c r="H768" i="25" s="1"/>
  <c r="G765" i="25"/>
  <c r="F765" i="25"/>
  <c r="F764" i="25"/>
  <c r="H764" i="25" s="1"/>
  <c r="G759" i="25"/>
  <c r="F759" i="25"/>
  <c r="F758" i="25"/>
  <c r="H758" i="25" s="1"/>
  <c r="F757" i="25"/>
  <c r="H757" i="25" s="1"/>
  <c r="F756" i="25"/>
  <c r="H756" i="25" s="1"/>
  <c r="F755" i="25"/>
  <c r="H755" i="25" s="1"/>
  <c r="F754" i="25"/>
  <c r="H754" i="25" s="1"/>
  <c r="F753" i="25"/>
  <c r="H753" i="25" s="1"/>
  <c r="F752" i="25"/>
  <c r="H752" i="25" s="1"/>
  <c r="G749" i="25"/>
  <c r="F749" i="25"/>
  <c r="F748" i="25"/>
  <c r="H748" i="25" s="1"/>
  <c r="F747" i="25"/>
  <c r="H747" i="25" s="1"/>
  <c r="F746" i="25"/>
  <c r="H746" i="25" s="1"/>
  <c r="F745" i="25"/>
  <c r="H745" i="25" s="1"/>
  <c r="F744" i="25"/>
  <c r="H744" i="25" s="1"/>
  <c r="F743" i="25"/>
  <c r="H743" i="25" s="1"/>
  <c r="F742" i="25"/>
  <c r="H742" i="25" s="1"/>
  <c r="F741" i="25"/>
  <c r="H741" i="25" s="1"/>
  <c r="F740" i="25"/>
  <c r="H740" i="25" s="1"/>
  <c r="F739" i="25"/>
  <c r="H739" i="25" s="1"/>
  <c r="F738" i="25"/>
  <c r="H738" i="25" s="1"/>
  <c r="G735" i="25"/>
  <c r="F735" i="25"/>
  <c r="F734" i="25"/>
  <c r="H734" i="25" s="1"/>
  <c r="F733" i="25"/>
  <c r="H733" i="25" s="1"/>
  <c r="F732" i="25"/>
  <c r="H732" i="25" s="1"/>
  <c r="F731" i="25"/>
  <c r="H731" i="25" s="1"/>
  <c r="F730" i="25"/>
  <c r="H730" i="25" s="1"/>
  <c r="F729" i="25"/>
  <c r="H729" i="25" s="1"/>
  <c r="F728" i="25"/>
  <c r="H728" i="25" s="1"/>
  <c r="F727" i="25"/>
  <c r="H727" i="25" s="1"/>
  <c r="F726" i="25"/>
  <c r="H726" i="25" s="1"/>
  <c r="F725" i="25"/>
  <c r="H725" i="25" s="1"/>
  <c r="F724" i="25"/>
  <c r="H724" i="25" s="1"/>
  <c r="F723" i="25"/>
  <c r="H723" i="25" s="1"/>
  <c r="G720" i="25"/>
  <c r="F720" i="25"/>
  <c r="F719" i="25"/>
  <c r="H719" i="25" s="1"/>
  <c r="F718" i="25"/>
  <c r="H718" i="25" s="1"/>
  <c r="F717" i="25"/>
  <c r="H717" i="25" s="1"/>
  <c r="F716" i="25"/>
  <c r="H716" i="25" s="1"/>
  <c r="F715" i="25"/>
  <c r="H715" i="25" s="1"/>
  <c r="F714" i="25"/>
  <c r="H714" i="25" s="1"/>
  <c r="F713" i="25"/>
  <c r="H713" i="25" s="1"/>
  <c r="F712" i="25"/>
  <c r="H712" i="25" s="1"/>
  <c r="F711" i="25"/>
  <c r="H711" i="25" s="1"/>
  <c r="F710" i="25"/>
  <c r="H710" i="25" s="1"/>
  <c r="F709" i="25"/>
  <c r="H709" i="25" s="1"/>
  <c r="G706" i="25"/>
  <c r="F706" i="25"/>
  <c r="F705" i="25"/>
  <c r="H705" i="25" s="1"/>
  <c r="F704" i="25"/>
  <c r="H704" i="25" s="1"/>
  <c r="F703" i="25"/>
  <c r="H703" i="25" s="1"/>
  <c r="F702" i="25"/>
  <c r="H702" i="25" s="1"/>
  <c r="F701" i="25"/>
  <c r="H701" i="25" s="1"/>
  <c r="F700" i="25"/>
  <c r="H700" i="25" s="1"/>
  <c r="F699" i="25"/>
  <c r="H699" i="25" s="1"/>
  <c r="G696" i="25"/>
  <c r="F696" i="25"/>
  <c r="F695" i="25"/>
  <c r="H695" i="25" s="1"/>
  <c r="F694" i="25"/>
  <c r="H694" i="25" s="1"/>
  <c r="F693" i="25"/>
  <c r="H693" i="25" s="1"/>
  <c r="F692" i="25"/>
  <c r="H692" i="25" s="1"/>
  <c r="F691" i="25"/>
  <c r="H691" i="25" s="1"/>
  <c r="F690" i="25"/>
  <c r="H690" i="25" s="1"/>
  <c r="F689" i="25"/>
  <c r="H689" i="25" s="1"/>
  <c r="F688" i="25"/>
  <c r="H688" i="25" s="1"/>
  <c r="F687" i="25"/>
  <c r="H687" i="25" s="1"/>
  <c r="F686" i="25"/>
  <c r="H686" i="25" s="1"/>
  <c r="F685" i="25"/>
  <c r="H685" i="25" s="1"/>
  <c r="G682" i="25"/>
  <c r="F682" i="25"/>
  <c r="F681" i="25"/>
  <c r="H681" i="25" s="1"/>
  <c r="F680" i="25"/>
  <c r="H680" i="25" s="1"/>
  <c r="F679" i="25"/>
  <c r="H679" i="25" s="1"/>
  <c r="F678" i="25"/>
  <c r="H678" i="25" s="1"/>
  <c r="F677" i="25"/>
  <c r="H677" i="25" s="1"/>
  <c r="F676" i="25"/>
  <c r="H676" i="25" s="1"/>
  <c r="F675" i="25"/>
  <c r="H675" i="25" s="1"/>
  <c r="F674" i="25"/>
  <c r="H674" i="25" s="1"/>
  <c r="F673" i="25"/>
  <c r="H673" i="25" s="1"/>
  <c r="F672" i="25"/>
  <c r="H672" i="25" s="1"/>
  <c r="F671" i="25"/>
  <c r="H671" i="25" s="1"/>
  <c r="G668" i="25"/>
  <c r="F668" i="25"/>
  <c r="F667" i="25"/>
  <c r="H667" i="25" s="1"/>
  <c r="F666" i="25"/>
  <c r="H666" i="25" s="1"/>
  <c r="F665" i="25"/>
  <c r="H665" i="25" s="1"/>
  <c r="F664" i="25"/>
  <c r="H664" i="25" s="1"/>
  <c r="F663" i="25"/>
  <c r="H663" i="25" s="1"/>
  <c r="F662" i="25"/>
  <c r="H662" i="25" s="1"/>
  <c r="F661" i="25"/>
  <c r="H661" i="25" s="1"/>
  <c r="F660" i="25"/>
  <c r="H660" i="25" s="1"/>
  <c r="F659" i="25"/>
  <c r="H659" i="25" s="1"/>
  <c r="F658" i="25"/>
  <c r="H658" i="25" s="1"/>
  <c r="F657" i="25"/>
  <c r="H657" i="25" s="1"/>
  <c r="F656" i="25"/>
  <c r="H656" i="25" s="1"/>
  <c r="G653" i="25"/>
  <c r="F653" i="25"/>
  <c r="F652" i="25"/>
  <c r="H652" i="25" s="1"/>
  <c r="F651" i="25"/>
  <c r="H651" i="25" s="1"/>
  <c r="F650" i="25"/>
  <c r="H650" i="25" s="1"/>
  <c r="F649" i="25"/>
  <c r="H649" i="25" s="1"/>
  <c r="F648" i="25"/>
  <c r="H648" i="25" s="1"/>
  <c r="F647" i="25"/>
  <c r="H647" i="25" s="1"/>
  <c r="F646" i="25"/>
  <c r="H646" i="25" s="1"/>
  <c r="F645" i="25"/>
  <c r="H645" i="25" s="1"/>
  <c r="F644" i="25"/>
  <c r="H644" i="25" s="1"/>
  <c r="F643" i="25"/>
  <c r="H643" i="25" s="1"/>
  <c r="F642" i="25"/>
  <c r="H642" i="25" s="1"/>
  <c r="F641" i="25"/>
  <c r="H641" i="25" s="1"/>
  <c r="G638" i="25"/>
  <c r="F638" i="25"/>
  <c r="F637" i="25"/>
  <c r="H637" i="25" s="1"/>
  <c r="F636" i="25"/>
  <c r="H636" i="25" s="1"/>
  <c r="F635" i="25"/>
  <c r="H635" i="25" s="1"/>
  <c r="F634" i="25"/>
  <c r="H634" i="25" s="1"/>
  <c r="F633" i="25"/>
  <c r="H633" i="25" s="1"/>
  <c r="F632" i="25"/>
  <c r="H632" i="25" s="1"/>
  <c r="F631" i="25"/>
  <c r="H631" i="25" s="1"/>
  <c r="F630" i="25"/>
  <c r="H630" i="25" s="1"/>
  <c r="F629" i="25"/>
  <c r="H629" i="25" s="1"/>
  <c r="F628" i="25"/>
  <c r="H628" i="25" s="1"/>
  <c r="F627" i="25"/>
  <c r="H627" i="25" s="1"/>
  <c r="G624" i="25"/>
  <c r="F624" i="25"/>
  <c r="F623" i="25"/>
  <c r="H623" i="25" s="1"/>
  <c r="F622" i="25"/>
  <c r="H622" i="25" s="1"/>
  <c r="F621" i="25"/>
  <c r="H621" i="25" s="1"/>
  <c r="F620" i="25"/>
  <c r="H620" i="25" s="1"/>
  <c r="F619" i="25"/>
  <c r="H619" i="25" s="1"/>
  <c r="F618" i="25"/>
  <c r="H618" i="25" s="1"/>
  <c r="F617" i="25"/>
  <c r="H617" i="25" s="1"/>
  <c r="F616" i="25"/>
  <c r="H616" i="25" s="1"/>
  <c r="F615" i="25"/>
  <c r="H615" i="25" s="1"/>
  <c r="G612" i="25"/>
  <c r="F612" i="25"/>
  <c r="F611" i="25"/>
  <c r="H611" i="25" s="1"/>
  <c r="F610" i="25"/>
  <c r="H610" i="25" s="1"/>
  <c r="F609" i="25"/>
  <c r="H609" i="25" s="1"/>
  <c r="F608" i="25"/>
  <c r="H608" i="25" s="1"/>
  <c r="F607" i="25"/>
  <c r="H607" i="25" s="1"/>
  <c r="F606" i="25"/>
  <c r="H606" i="25" s="1"/>
  <c r="F605" i="25"/>
  <c r="H605" i="25" s="1"/>
  <c r="F604" i="25"/>
  <c r="H604" i="25" s="1"/>
  <c r="F603" i="25"/>
  <c r="H603" i="25" s="1"/>
  <c r="F602" i="25"/>
  <c r="H602" i="25" s="1"/>
  <c r="F601" i="25"/>
  <c r="H601" i="25" s="1"/>
  <c r="D597" i="25"/>
  <c r="G596" i="25"/>
  <c r="F596" i="25"/>
  <c r="D596" i="25"/>
  <c r="G592" i="25"/>
  <c r="F592" i="25"/>
  <c r="D592" i="25"/>
  <c r="H595" i="25"/>
  <c r="D595" i="25"/>
  <c r="F593" i="25"/>
  <c r="H593" i="25" s="1"/>
  <c r="D593" i="25"/>
  <c r="F594" i="25"/>
  <c r="H594" i="25" s="1"/>
  <c r="D594" i="25"/>
  <c r="G589" i="25"/>
  <c r="F589" i="25"/>
  <c r="F588" i="25"/>
  <c r="H588" i="25" s="1"/>
  <c r="G585" i="25"/>
  <c r="F585" i="25"/>
  <c r="F584" i="25"/>
  <c r="H584" i="25" s="1"/>
  <c r="F581" i="25"/>
  <c r="H581" i="25" s="1"/>
  <c r="F582" i="25" s="1"/>
  <c r="H582" i="25" s="1"/>
  <c r="F580" i="25"/>
  <c r="H580" i="25" s="1"/>
  <c r="F578" i="25"/>
  <c r="H578" i="25" s="1"/>
  <c r="F577" i="25" s="1"/>
  <c r="G575" i="25"/>
  <c r="F575" i="25"/>
  <c r="F574" i="25"/>
  <c r="H574" i="25" s="1"/>
  <c r="F573" i="25"/>
  <c r="H573" i="25" s="1"/>
  <c r="G570" i="25"/>
  <c r="F570" i="25"/>
  <c r="D570" i="25"/>
  <c r="F567" i="25"/>
  <c r="H567" i="25" s="1"/>
  <c r="D567" i="25"/>
  <c r="F568" i="25"/>
  <c r="H568" i="25" s="1"/>
  <c r="D568" i="25"/>
  <c r="F569" i="25"/>
  <c r="H569" i="25" s="1"/>
  <c r="D569" i="25"/>
  <c r="G564" i="25"/>
  <c r="F564" i="25"/>
  <c r="D564" i="25"/>
  <c r="F561" i="25"/>
  <c r="H561" i="25" s="1"/>
  <c r="D561" i="25"/>
  <c r="F562" i="25"/>
  <c r="H562" i="25" s="1"/>
  <c r="D562" i="25"/>
  <c r="F563" i="25"/>
  <c r="H563" i="25" s="1"/>
  <c r="D563" i="25"/>
  <c r="G558" i="25"/>
  <c r="F558" i="25"/>
  <c r="D558" i="25"/>
  <c r="F555" i="25"/>
  <c r="H555" i="25" s="1"/>
  <c r="D555" i="25"/>
  <c r="F556" i="25"/>
  <c r="H556" i="25" s="1"/>
  <c r="D556" i="25"/>
  <c r="F557" i="25"/>
  <c r="H557" i="25" s="1"/>
  <c r="D557" i="25"/>
  <c r="G552" i="25"/>
  <c r="F552" i="25"/>
  <c r="D552" i="25"/>
  <c r="F549" i="25"/>
  <c r="H549" i="25" s="1"/>
  <c r="D549" i="25"/>
  <c r="F550" i="25"/>
  <c r="H550" i="25" s="1"/>
  <c r="D550" i="25"/>
  <c r="F551" i="25"/>
  <c r="H551" i="25" s="1"/>
  <c r="D551" i="25"/>
  <c r="G546" i="25"/>
  <c r="F546" i="25"/>
  <c r="D546" i="25"/>
  <c r="F543" i="25"/>
  <c r="H543" i="25" s="1"/>
  <c r="D543" i="25"/>
  <c r="F544" i="25"/>
  <c r="H544" i="25" s="1"/>
  <c r="D544" i="25"/>
  <c r="F545" i="25"/>
  <c r="H545" i="25" s="1"/>
  <c r="D545" i="25"/>
  <c r="G540" i="25"/>
  <c r="F540" i="25"/>
  <c r="D540" i="25"/>
  <c r="F537" i="25"/>
  <c r="H537" i="25" s="1"/>
  <c r="D537" i="25"/>
  <c r="F538" i="25"/>
  <c r="H538" i="25" s="1"/>
  <c r="D538" i="25"/>
  <c r="F539" i="25"/>
  <c r="H539" i="25" s="1"/>
  <c r="D539" i="25"/>
  <c r="G534" i="25"/>
  <c r="F534" i="25"/>
  <c r="D534" i="25"/>
  <c r="F531" i="25"/>
  <c r="H531" i="25" s="1"/>
  <c r="D531" i="25"/>
  <c r="F532" i="25"/>
  <c r="H532" i="25" s="1"/>
  <c r="D532" i="25"/>
  <c r="F533" i="25"/>
  <c r="H533" i="25" s="1"/>
  <c r="D533" i="25"/>
  <c r="G528" i="25"/>
  <c r="F528" i="25"/>
  <c r="F527" i="25"/>
  <c r="H527" i="25" s="1"/>
  <c r="G524" i="25"/>
  <c r="F524" i="25"/>
  <c r="F523" i="25"/>
  <c r="H523" i="25" s="1"/>
  <c r="G520" i="25"/>
  <c r="F520" i="25"/>
  <c r="F519" i="25"/>
  <c r="H519" i="25" s="1"/>
  <c r="G516" i="25"/>
  <c r="F516" i="25"/>
  <c r="F513" i="25"/>
  <c r="H513" i="25" s="1"/>
  <c r="D513" i="25"/>
  <c r="F514" i="25"/>
  <c r="H514" i="25" s="1"/>
  <c r="D514" i="25"/>
  <c r="F515" i="25"/>
  <c r="H515" i="25" s="1"/>
  <c r="D515" i="25"/>
  <c r="G510" i="25"/>
  <c r="F510" i="25"/>
  <c r="D510" i="25"/>
  <c r="F507" i="25"/>
  <c r="H507" i="25" s="1"/>
  <c r="D507" i="25"/>
  <c r="F508" i="25"/>
  <c r="H508" i="25" s="1"/>
  <c r="D508" i="25"/>
  <c r="F509" i="25"/>
  <c r="H509" i="25" s="1"/>
  <c r="D509" i="25"/>
  <c r="G504" i="25"/>
  <c r="F504" i="25"/>
  <c r="D504" i="25"/>
  <c r="F501" i="25"/>
  <c r="H501" i="25" s="1"/>
  <c r="D501" i="25"/>
  <c r="F503" i="25"/>
  <c r="H503" i="25" s="1"/>
  <c r="D503" i="25"/>
  <c r="G498" i="25"/>
  <c r="F498" i="25"/>
  <c r="D498" i="25"/>
  <c r="F495" i="25"/>
  <c r="H495" i="25" s="1"/>
  <c r="D495" i="25"/>
  <c r="F496" i="25"/>
  <c r="H496" i="25" s="1"/>
  <c r="D496" i="25"/>
  <c r="F497" i="25"/>
  <c r="H497" i="25" s="1"/>
  <c r="D497" i="25"/>
  <c r="G492" i="25"/>
  <c r="F492" i="25"/>
  <c r="D492" i="25"/>
  <c r="F489" i="25"/>
  <c r="H489" i="25" s="1"/>
  <c r="D489" i="25"/>
  <c r="F490" i="25"/>
  <c r="H490" i="25" s="1"/>
  <c r="D490" i="25"/>
  <c r="F491" i="25"/>
  <c r="H491" i="25" s="1"/>
  <c r="D491" i="25"/>
  <c r="G486" i="25"/>
  <c r="F486" i="25"/>
  <c r="F483" i="25"/>
  <c r="H483" i="25" s="1"/>
  <c r="D483" i="25"/>
  <c r="F484" i="25"/>
  <c r="H484" i="25" s="1"/>
  <c r="D484" i="25"/>
  <c r="F485" i="25"/>
  <c r="H485" i="25" s="1"/>
  <c r="D485" i="25"/>
  <c r="G480" i="25"/>
  <c r="F480" i="25"/>
  <c r="D480" i="25"/>
  <c r="F477" i="25"/>
  <c r="H477" i="25" s="1"/>
  <c r="D477" i="25"/>
  <c r="F478" i="25"/>
  <c r="H478" i="25" s="1"/>
  <c r="D478" i="25"/>
  <c r="F479" i="25"/>
  <c r="H479" i="25" s="1"/>
  <c r="D479" i="25"/>
  <c r="G474" i="25"/>
  <c r="F474" i="25"/>
  <c r="D474" i="25"/>
  <c r="F471" i="25"/>
  <c r="H471" i="25" s="1"/>
  <c r="D471" i="25"/>
  <c r="F472" i="25"/>
  <c r="H472" i="25" s="1"/>
  <c r="D472" i="25"/>
  <c r="F473" i="25"/>
  <c r="H473" i="25" s="1"/>
  <c r="D473" i="25"/>
  <c r="G468" i="25"/>
  <c r="F468" i="25"/>
  <c r="F467" i="25"/>
  <c r="H467" i="25" s="1"/>
  <c r="G464" i="25"/>
  <c r="F464" i="25"/>
  <c r="F463" i="25"/>
  <c r="H463" i="25" s="1"/>
  <c r="G460" i="25"/>
  <c r="F460" i="25"/>
  <c r="F459" i="25"/>
  <c r="H459" i="25" s="1"/>
  <c r="G456" i="25"/>
  <c r="F456" i="25"/>
  <c r="D456" i="25"/>
  <c r="F453" i="25"/>
  <c r="H453" i="25" s="1"/>
  <c r="D453" i="25"/>
  <c r="F454" i="25"/>
  <c r="H454" i="25" s="1"/>
  <c r="D454" i="25"/>
  <c r="F455" i="25"/>
  <c r="H455" i="25" s="1"/>
  <c r="D455" i="25"/>
  <c r="G450" i="25"/>
  <c r="F450" i="25"/>
  <c r="D450" i="25"/>
  <c r="F447" i="25"/>
  <c r="H447" i="25" s="1"/>
  <c r="D447" i="25"/>
  <c r="F448" i="25"/>
  <c r="H448" i="25" s="1"/>
  <c r="D448" i="25"/>
  <c r="F449" i="25"/>
  <c r="H449" i="25" s="1"/>
  <c r="D449" i="25"/>
  <c r="G444" i="25"/>
  <c r="F444" i="25"/>
  <c r="D444" i="25"/>
  <c r="F441" i="25"/>
  <c r="H441" i="25" s="1"/>
  <c r="D441" i="25"/>
  <c r="F442" i="25"/>
  <c r="H442" i="25" s="1"/>
  <c r="D442" i="25"/>
  <c r="F443" i="25"/>
  <c r="H443" i="25" s="1"/>
  <c r="D443" i="25"/>
  <c r="G438" i="25"/>
  <c r="F438" i="25"/>
  <c r="D438" i="25"/>
  <c r="F435" i="25"/>
  <c r="H435" i="25" s="1"/>
  <c r="D435" i="25"/>
  <c r="F436" i="25"/>
  <c r="H436" i="25" s="1"/>
  <c r="D436" i="25"/>
  <c r="F437" i="25"/>
  <c r="H437" i="25" s="1"/>
  <c r="D437" i="25"/>
  <c r="G432" i="25"/>
  <c r="F432" i="25"/>
  <c r="D432" i="25"/>
  <c r="F429" i="25"/>
  <c r="H429" i="25" s="1"/>
  <c r="D429" i="25"/>
  <c r="F430" i="25"/>
  <c r="H430" i="25" s="1"/>
  <c r="D430" i="25"/>
  <c r="F431" i="25"/>
  <c r="H431" i="25" s="1"/>
  <c r="D431" i="25"/>
  <c r="G426" i="25"/>
  <c r="F426" i="25"/>
  <c r="D426" i="25"/>
  <c r="C426" i="25"/>
  <c r="F423" i="25"/>
  <c r="H423" i="25" s="1"/>
  <c r="D423" i="25"/>
  <c r="F424" i="25"/>
  <c r="H424" i="25" s="1"/>
  <c r="D424" i="25"/>
  <c r="F425" i="25"/>
  <c r="H425" i="25" s="1"/>
  <c r="D425" i="25"/>
  <c r="G420" i="25"/>
  <c r="F420" i="25"/>
  <c r="D420" i="25"/>
  <c r="F417" i="25"/>
  <c r="H417" i="25" s="1"/>
  <c r="D417" i="25"/>
  <c r="F418" i="25"/>
  <c r="H418" i="25" s="1"/>
  <c r="D418" i="25"/>
  <c r="F419" i="25"/>
  <c r="H419" i="25" s="1"/>
  <c r="D419" i="25"/>
  <c r="G414" i="25"/>
  <c r="F414" i="25"/>
  <c r="D414" i="25"/>
  <c r="F411" i="25"/>
  <c r="H411" i="25" s="1"/>
  <c r="D411" i="25"/>
  <c r="F412" i="25"/>
  <c r="H412" i="25" s="1"/>
  <c r="D412" i="25"/>
  <c r="F413" i="25"/>
  <c r="H413" i="25" s="1"/>
  <c r="D413" i="25"/>
  <c r="F408" i="25"/>
  <c r="F407" i="25"/>
  <c r="H407" i="25" s="1"/>
  <c r="G404" i="25"/>
  <c r="F404" i="25"/>
  <c r="D404" i="25"/>
  <c r="F402" i="25"/>
  <c r="H402" i="25" s="1"/>
  <c r="F401" i="25"/>
  <c r="H401" i="25" s="1"/>
  <c r="F400" i="25"/>
  <c r="H400" i="25" s="1"/>
  <c r="F399" i="25"/>
  <c r="H399" i="25" s="1"/>
  <c r="F403" i="25"/>
  <c r="H403" i="25" s="1"/>
  <c r="D403" i="25"/>
  <c r="F396" i="25"/>
  <c r="D396" i="25"/>
  <c r="F395" i="25"/>
  <c r="H395" i="25" s="1"/>
  <c r="F393" i="25"/>
  <c r="H393" i="25" s="1"/>
  <c r="F392" i="25"/>
  <c r="H392" i="25" s="1"/>
  <c r="F391" i="25"/>
  <c r="H391" i="25" s="1"/>
  <c r="F390" i="25"/>
  <c r="H390" i="25" s="1"/>
  <c r="F394" i="25"/>
  <c r="H394" i="25" s="1"/>
  <c r="D394" i="25"/>
  <c r="F387" i="25"/>
  <c r="D387" i="25"/>
  <c r="F385" i="25"/>
  <c r="H385" i="25" s="1"/>
  <c r="F384" i="25"/>
  <c r="H384" i="25" s="1"/>
  <c r="F383" i="25"/>
  <c r="H383" i="25" s="1"/>
  <c r="F382" i="25"/>
  <c r="H382" i="25" s="1"/>
  <c r="F386" i="25"/>
  <c r="H386" i="25" s="1"/>
  <c r="F379" i="25"/>
  <c r="D379" i="25"/>
  <c r="F378" i="25"/>
  <c r="H378" i="25" s="1"/>
  <c r="F376" i="25"/>
  <c r="H376" i="25" s="1"/>
  <c r="F375" i="25"/>
  <c r="H375" i="25" s="1"/>
  <c r="F374" i="25"/>
  <c r="H374" i="25" s="1"/>
  <c r="F373" i="25"/>
  <c r="H373" i="25" s="1"/>
  <c r="F377" i="25"/>
  <c r="H377" i="25" s="1"/>
  <c r="F370" i="25"/>
  <c r="F368" i="25"/>
  <c r="H368" i="25" s="1"/>
  <c r="F367" i="25"/>
  <c r="H367" i="25" s="1"/>
  <c r="F366" i="25"/>
  <c r="H366" i="25" s="1"/>
  <c r="F365" i="25"/>
  <c r="H365" i="25" s="1"/>
  <c r="F369" i="25"/>
  <c r="H369" i="25" s="1"/>
  <c r="F362" i="25"/>
  <c r="D362" i="25"/>
  <c r="F361" i="25"/>
  <c r="H361" i="25" s="1"/>
  <c r="F359" i="25"/>
  <c r="H359" i="25" s="1"/>
  <c r="F358" i="25"/>
  <c r="H358" i="25" s="1"/>
  <c r="F357" i="25"/>
  <c r="H357" i="25" s="1"/>
  <c r="F356" i="25"/>
  <c r="H356" i="25" s="1"/>
  <c r="F360" i="25"/>
  <c r="H360" i="25" s="1"/>
  <c r="D360" i="25"/>
  <c r="F353" i="25"/>
  <c r="D353" i="25"/>
  <c r="C353" i="25"/>
  <c r="F351" i="25"/>
  <c r="H351" i="25" s="1"/>
  <c r="F350" i="25"/>
  <c r="H350" i="25" s="1"/>
  <c r="F349" i="25"/>
  <c r="H349" i="25" s="1"/>
  <c r="F348" i="25"/>
  <c r="H348" i="25" s="1"/>
  <c r="F352" i="25"/>
  <c r="H352" i="25" s="1"/>
  <c r="F345" i="25"/>
  <c r="D345" i="25"/>
  <c r="C345" i="25"/>
  <c r="F344" i="25"/>
  <c r="H344" i="25" s="1"/>
  <c r="C344" i="25"/>
  <c r="F342" i="25"/>
  <c r="H342" i="25" s="1"/>
  <c r="F341" i="25"/>
  <c r="H341" i="25" s="1"/>
  <c r="F340" i="25"/>
  <c r="H340" i="25" s="1"/>
  <c r="F339" i="25"/>
  <c r="H339" i="25" s="1"/>
  <c r="F343" i="25"/>
  <c r="H343" i="25" s="1"/>
  <c r="D343" i="25"/>
  <c r="F336" i="25"/>
  <c r="D336" i="25"/>
  <c r="C336" i="25"/>
  <c r="F334" i="25"/>
  <c r="H334" i="25" s="1"/>
  <c r="F333" i="25"/>
  <c r="H333" i="25" s="1"/>
  <c r="F332" i="25"/>
  <c r="H332" i="25" s="1"/>
  <c r="F331" i="25"/>
  <c r="H331" i="25" s="1"/>
  <c r="F335" i="25"/>
  <c r="H335" i="25" s="1"/>
  <c r="D335" i="25"/>
  <c r="F328" i="25"/>
  <c r="D328" i="25"/>
  <c r="F327" i="25"/>
  <c r="H327" i="25" s="1"/>
  <c r="F325" i="25"/>
  <c r="H325" i="25" s="1"/>
  <c r="F324" i="25"/>
  <c r="H324" i="25" s="1"/>
  <c r="F323" i="25"/>
  <c r="H323" i="25" s="1"/>
  <c r="F322" i="25"/>
  <c r="H322" i="25" s="1"/>
  <c r="F326" i="25"/>
  <c r="H326" i="25" s="1"/>
  <c r="D326" i="25"/>
  <c r="F319" i="25"/>
  <c r="F317" i="25"/>
  <c r="H317" i="25" s="1"/>
  <c r="F316" i="25"/>
  <c r="H316" i="25" s="1"/>
  <c r="F315" i="25"/>
  <c r="H315" i="25" s="1"/>
  <c r="F314" i="25"/>
  <c r="H314" i="25" s="1"/>
  <c r="F318" i="25"/>
  <c r="H318" i="25" s="1"/>
  <c r="D318" i="25"/>
  <c r="F311" i="25"/>
  <c r="H311" i="25" s="1"/>
  <c r="F312" i="25" s="1"/>
  <c r="H312" i="25" s="1"/>
  <c r="F310" i="25"/>
  <c r="H310" i="25" s="1"/>
  <c r="F308" i="25"/>
  <c r="H308" i="25" s="1"/>
  <c r="F307" i="25"/>
  <c r="H307" i="25" s="1"/>
  <c r="F306" i="25"/>
  <c r="H306" i="25" s="1"/>
  <c r="F305" i="25"/>
  <c r="H305" i="25" s="1"/>
  <c r="F309" i="25"/>
  <c r="H309" i="25" s="1"/>
  <c r="D309" i="25"/>
  <c r="G300" i="25"/>
  <c r="F300" i="25"/>
  <c r="F299" i="25"/>
  <c r="H299" i="25" s="1"/>
  <c r="F298" i="25"/>
  <c r="H298" i="25" s="1"/>
  <c r="F297" i="25"/>
  <c r="H297" i="25" s="1"/>
  <c r="F296" i="25"/>
  <c r="H296" i="25" s="1"/>
  <c r="F295" i="25"/>
  <c r="H295" i="25" s="1"/>
  <c r="F294" i="25"/>
  <c r="H294" i="25" s="1"/>
  <c r="F293" i="25"/>
  <c r="H293" i="25" s="1"/>
  <c r="G290" i="25"/>
  <c r="F290" i="25"/>
  <c r="F289" i="25"/>
  <c r="H289" i="25" s="1"/>
  <c r="F288" i="25"/>
  <c r="H288" i="25" s="1"/>
  <c r="F287" i="25"/>
  <c r="H287" i="25" s="1"/>
  <c r="F286" i="25"/>
  <c r="H286" i="25" s="1"/>
  <c r="F285" i="25"/>
  <c r="H285" i="25" s="1"/>
  <c r="G282" i="25"/>
  <c r="F282" i="25"/>
  <c r="F281" i="25"/>
  <c r="H281" i="25" s="1"/>
  <c r="F280" i="25"/>
  <c r="H280" i="25" s="1"/>
  <c r="F279" i="25"/>
  <c r="H279" i="25" s="1"/>
  <c r="F278" i="25"/>
  <c r="H278" i="25" s="1"/>
  <c r="F277" i="25"/>
  <c r="H277" i="25" s="1"/>
  <c r="F276" i="25"/>
  <c r="H276" i="25" s="1"/>
  <c r="G273" i="25"/>
  <c r="F273" i="25"/>
  <c r="F272" i="25"/>
  <c r="H272" i="25" s="1"/>
  <c r="F271" i="25"/>
  <c r="H271" i="25" s="1"/>
  <c r="F270" i="25"/>
  <c r="H270" i="25" s="1"/>
  <c r="F269" i="25"/>
  <c r="H269" i="25" s="1"/>
  <c r="F268" i="25"/>
  <c r="H268" i="25" s="1"/>
  <c r="F267" i="25"/>
  <c r="H267" i="25" s="1"/>
  <c r="G264" i="25"/>
  <c r="F264" i="25"/>
  <c r="F263" i="25"/>
  <c r="H263" i="25" s="1"/>
  <c r="F262" i="25"/>
  <c r="H262" i="25" s="1"/>
  <c r="F261" i="25"/>
  <c r="H261" i="25" s="1"/>
  <c r="F260" i="25"/>
  <c r="H260" i="25" s="1"/>
  <c r="F259" i="25"/>
  <c r="H259" i="25" s="1"/>
  <c r="F258" i="25"/>
  <c r="H258" i="25" s="1"/>
  <c r="F257" i="25"/>
  <c r="H257" i="25" s="1"/>
  <c r="G254" i="25"/>
  <c r="F254" i="25"/>
  <c r="F253" i="25"/>
  <c r="H253" i="25" s="1"/>
  <c r="F252" i="25"/>
  <c r="H252" i="25" s="1"/>
  <c r="F251" i="25"/>
  <c r="H251" i="25" s="1"/>
  <c r="F250" i="25"/>
  <c r="H250" i="25" s="1"/>
  <c r="F249" i="25"/>
  <c r="H249" i="25" s="1"/>
  <c r="F248" i="25"/>
  <c r="H248" i="25" s="1"/>
  <c r="G245" i="25"/>
  <c r="F245" i="25"/>
  <c r="F244" i="25"/>
  <c r="H244" i="25" s="1"/>
  <c r="G241" i="25"/>
  <c r="F241" i="25"/>
  <c r="F240" i="25"/>
  <c r="H240" i="25" s="1"/>
  <c r="F239" i="25"/>
  <c r="H239" i="25" s="1"/>
  <c r="F238" i="25"/>
  <c r="H238" i="25" s="1"/>
  <c r="F237" i="25"/>
  <c r="H237" i="25" s="1"/>
  <c r="F236" i="25"/>
  <c r="H236" i="25" s="1"/>
  <c r="F235" i="25"/>
  <c r="H235" i="25" s="1"/>
  <c r="G232" i="25"/>
  <c r="F232" i="25"/>
  <c r="F231" i="25"/>
  <c r="H231" i="25" s="1"/>
  <c r="G228" i="25"/>
  <c r="F228" i="25"/>
  <c r="F227" i="25"/>
  <c r="H227" i="25" s="1"/>
  <c r="G224" i="25"/>
  <c r="F224" i="25"/>
  <c r="F223" i="25"/>
  <c r="H223" i="25" s="1"/>
  <c r="F222" i="25"/>
  <c r="H222" i="25" s="1"/>
  <c r="F221" i="25"/>
  <c r="H221" i="25" s="1"/>
  <c r="F220" i="25"/>
  <c r="H220" i="25" s="1"/>
  <c r="F219" i="25"/>
  <c r="H219" i="25" s="1"/>
  <c r="F218" i="25"/>
  <c r="H218" i="25" s="1"/>
  <c r="G215" i="25"/>
  <c r="F215" i="25"/>
  <c r="F214" i="25"/>
  <c r="H214" i="25" s="1"/>
  <c r="F213" i="25"/>
  <c r="H213" i="25" s="1"/>
  <c r="G210" i="25"/>
  <c r="F210" i="25"/>
  <c r="F209" i="25"/>
  <c r="H209" i="25" s="1"/>
  <c r="F208" i="25"/>
  <c r="H208" i="25" s="1"/>
  <c r="F207" i="25"/>
  <c r="H207" i="25" s="1"/>
  <c r="F206" i="25"/>
  <c r="H206" i="25" s="1"/>
  <c r="F205" i="25"/>
  <c r="H205" i="25" s="1"/>
  <c r="F204" i="25"/>
  <c r="H204" i="25" s="1"/>
  <c r="F203" i="25"/>
  <c r="H203" i="25" s="1"/>
  <c r="F202" i="25"/>
  <c r="H202" i="25" s="1"/>
  <c r="G199" i="25"/>
  <c r="F199" i="25"/>
  <c r="F198" i="25"/>
  <c r="H198" i="25" s="1"/>
  <c r="F197" i="25"/>
  <c r="H197" i="25" s="1"/>
  <c r="F196" i="25"/>
  <c r="H196" i="25" s="1"/>
  <c r="F195" i="25"/>
  <c r="H195" i="25" s="1"/>
  <c r="F194" i="25"/>
  <c r="H194" i="25" s="1"/>
  <c r="F193" i="25"/>
  <c r="H193" i="25" s="1"/>
  <c r="G190" i="25"/>
  <c r="F190" i="25"/>
  <c r="F189" i="25"/>
  <c r="H189" i="25" s="1"/>
  <c r="F188" i="25"/>
  <c r="H188" i="25" s="1"/>
  <c r="G185" i="25"/>
  <c r="F185" i="25"/>
  <c r="F184" i="25"/>
  <c r="H184" i="25" s="1"/>
  <c r="F183" i="25"/>
  <c r="H183" i="25" s="1"/>
  <c r="F182" i="25"/>
  <c r="H182" i="25" s="1"/>
  <c r="F181" i="25"/>
  <c r="H181" i="25" s="1"/>
  <c r="F180" i="25"/>
  <c r="H180" i="25" s="1"/>
  <c r="G177" i="25"/>
  <c r="F177" i="25"/>
  <c r="F176" i="25"/>
  <c r="H176" i="25" s="1"/>
  <c r="F175" i="25"/>
  <c r="H175" i="25" s="1"/>
  <c r="F174" i="25"/>
  <c r="H174" i="25" s="1"/>
  <c r="F173" i="25"/>
  <c r="H173" i="25" s="1"/>
  <c r="F172" i="25"/>
  <c r="H172" i="25" s="1"/>
  <c r="G169" i="25"/>
  <c r="F169" i="25"/>
  <c r="F168" i="25"/>
  <c r="H168" i="25" s="1"/>
  <c r="F167" i="25"/>
  <c r="H167" i="25" s="1"/>
  <c r="F166" i="25"/>
  <c r="H166" i="25" s="1"/>
  <c r="F165" i="25"/>
  <c r="H165" i="25" s="1"/>
  <c r="F164" i="25"/>
  <c r="H164" i="25" s="1"/>
  <c r="G161" i="25"/>
  <c r="F161" i="25"/>
  <c r="F160" i="25"/>
  <c r="H160" i="25" s="1"/>
  <c r="F159" i="25"/>
  <c r="H159" i="25" s="1"/>
  <c r="F158" i="25"/>
  <c r="E158" i="25"/>
  <c r="F157" i="25"/>
  <c r="H157" i="25" s="1"/>
  <c r="F156" i="25"/>
  <c r="H156" i="25" s="1"/>
  <c r="G155" i="25"/>
  <c r="F155" i="25"/>
  <c r="F154" i="25"/>
  <c r="H154" i="25" s="1"/>
  <c r="G153" i="25"/>
  <c r="F153" i="25"/>
  <c r="F152" i="25"/>
  <c r="E152" i="25"/>
  <c r="F151" i="25"/>
  <c r="H151" i="25" s="1"/>
  <c r="G148" i="25"/>
  <c r="F148" i="25"/>
  <c r="F147" i="25"/>
  <c r="H147" i="25" s="1"/>
  <c r="G144" i="25"/>
  <c r="F144" i="25"/>
  <c r="F143" i="25"/>
  <c r="H143" i="25" s="1"/>
  <c r="G140" i="25"/>
  <c r="F140" i="25"/>
  <c r="F139" i="25"/>
  <c r="H139" i="25" s="1"/>
  <c r="F138" i="25"/>
  <c r="H138" i="25" s="1"/>
  <c r="G135" i="25"/>
  <c r="F135" i="25"/>
  <c r="F134" i="25"/>
  <c r="H134" i="25" s="1"/>
  <c r="F133" i="25"/>
  <c r="H133" i="25" s="1"/>
  <c r="G130" i="25"/>
  <c r="F130" i="25"/>
  <c r="F129" i="25"/>
  <c r="H129" i="25" s="1"/>
  <c r="F128" i="25"/>
  <c r="H128" i="25" s="1"/>
  <c r="F127" i="25"/>
  <c r="H127" i="25" s="1"/>
  <c r="F126" i="25"/>
  <c r="H126" i="25" s="1"/>
  <c r="F125" i="25"/>
  <c r="H125" i="25" s="1"/>
  <c r="G122" i="25"/>
  <c r="F122" i="25"/>
  <c r="F121" i="25"/>
  <c r="H121" i="25" s="1"/>
  <c r="F120" i="25"/>
  <c r="H120" i="25" s="1"/>
  <c r="G117" i="25"/>
  <c r="F117" i="25"/>
  <c r="F116" i="25"/>
  <c r="H116" i="25" s="1"/>
  <c r="F115" i="25"/>
  <c r="H115" i="25" s="1"/>
  <c r="G112" i="25"/>
  <c r="F112" i="25"/>
  <c r="F111" i="25"/>
  <c r="H111" i="25" s="1"/>
  <c r="F110" i="25"/>
  <c r="H110" i="25" s="1"/>
  <c r="G107" i="25"/>
  <c r="F107" i="25"/>
  <c r="F106" i="25"/>
  <c r="H106" i="25" s="1"/>
  <c r="F105" i="25"/>
  <c r="H105" i="25" s="1"/>
  <c r="F104" i="25"/>
  <c r="H104" i="25" s="1"/>
  <c r="F103" i="25"/>
  <c r="H103" i="25" s="1"/>
  <c r="F102" i="25"/>
  <c r="H102" i="25" s="1"/>
  <c r="G99" i="25"/>
  <c r="F99" i="25"/>
  <c r="F98" i="25"/>
  <c r="H98" i="25" s="1"/>
  <c r="F97" i="25"/>
  <c r="H97" i="25" s="1"/>
  <c r="G94" i="25"/>
  <c r="F94" i="25"/>
  <c r="F93" i="25"/>
  <c r="H93" i="25" s="1"/>
  <c r="F92" i="25"/>
  <c r="H92" i="25" s="1"/>
  <c r="G89" i="25"/>
  <c r="F89" i="25"/>
  <c r="F88" i="25"/>
  <c r="H88" i="25" s="1"/>
  <c r="F87" i="25"/>
  <c r="H87" i="25" s="1"/>
  <c r="G82" i="25"/>
  <c r="F82" i="25"/>
  <c r="F81" i="25"/>
  <c r="H81" i="25" s="1"/>
  <c r="F78" i="25"/>
  <c r="H78" i="25" s="1"/>
  <c r="F79" i="25" s="1"/>
  <c r="H79" i="25" s="1"/>
  <c r="F77" i="25"/>
  <c r="H77" i="25" s="1"/>
  <c r="F74" i="25"/>
  <c r="H74" i="25" s="1"/>
  <c r="F75" i="25" s="1"/>
  <c r="H75" i="25" s="1"/>
  <c r="F73" i="25"/>
  <c r="H73" i="25" s="1"/>
  <c r="F72" i="25" s="1"/>
  <c r="G70" i="25"/>
  <c r="F70" i="25"/>
  <c r="F69" i="25"/>
  <c r="H69" i="25" s="1"/>
  <c r="F66" i="25"/>
  <c r="H66" i="25" s="1"/>
  <c r="F67" i="25" s="1"/>
  <c r="F65" i="25"/>
  <c r="H65" i="25" s="1"/>
  <c r="F64" i="25"/>
  <c r="H64" i="25" s="1"/>
  <c r="F63" i="25"/>
  <c r="H63" i="25" s="1"/>
  <c r="F62" i="25"/>
  <c r="H62" i="25" s="1"/>
  <c r="F61" i="25"/>
  <c r="H61" i="25" s="1"/>
  <c r="F60" i="25"/>
  <c r="H60" i="25" s="1"/>
  <c r="F59" i="25"/>
  <c r="H59" i="25" s="1"/>
  <c r="F58" i="25"/>
  <c r="H58" i="25" s="1"/>
  <c r="F57" i="25"/>
  <c r="H57" i="25" s="1"/>
  <c r="F56" i="25"/>
  <c r="H56" i="25" s="1"/>
  <c r="F55" i="25"/>
  <c r="H55" i="25" s="1"/>
  <c r="F54" i="25"/>
  <c r="H54" i="25" s="1"/>
  <c r="F51" i="25"/>
  <c r="H51" i="25" s="1"/>
  <c r="F52" i="25" s="1"/>
  <c r="H52" i="25" s="1"/>
  <c r="F50" i="25"/>
  <c r="H50" i="25" s="1"/>
  <c r="F49" i="25"/>
  <c r="H49" i="25" s="1"/>
  <c r="F48" i="25"/>
  <c r="H48" i="25" s="1"/>
  <c r="F47" i="25"/>
  <c r="H47" i="25" s="1"/>
  <c r="F46" i="25"/>
  <c r="H46" i="25" s="1"/>
  <c r="F45" i="25"/>
  <c r="H45" i="25" s="1"/>
  <c r="F44" i="25"/>
  <c r="H44" i="25" s="1"/>
  <c r="F43" i="25"/>
  <c r="H43" i="25" s="1"/>
  <c r="F40" i="25"/>
  <c r="H40" i="25" s="1"/>
  <c r="F39" i="25"/>
  <c r="H39" i="25" s="1"/>
  <c r="F38" i="25"/>
  <c r="H38" i="25" s="1"/>
  <c r="F37" i="25"/>
  <c r="H37" i="25" s="1"/>
  <c r="F36" i="25"/>
  <c r="H36" i="25" s="1"/>
  <c r="F35" i="25"/>
  <c r="H35" i="25" s="1"/>
  <c r="F34" i="25"/>
  <c r="H34" i="25" s="1"/>
  <c r="F33" i="25"/>
  <c r="H33" i="25" s="1"/>
  <c r="F32" i="25"/>
  <c r="H32" i="25" s="1"/>
  <c r="F29" i="25"/>
  <c r="H29" i="25" s="1"/>
  <c r="F30" i="25" s="1"/>
  <c r="H30" i="25" s="1"/>
  <c r="F28" i="25"/>
  <c r="H28" i="25" s="1"/>
  <c r="F27" i="25"/>
  <c r="H27" i="25" s="1"/>
  <c r="F26" i="25"/>
  <c r="H26" i="25" s="1"/>
  <c r="F25" i="25"/>
  <c r="H25" i="25" s="1"/>
  <c r="F24" i="25"/>
  <c r="H24" i="25" s="1"/>
  <c r="F23" i="25"/>
  <c r="H23" i="25" s="1"/>
  <c r="F22" i="25"/>
  <c r="H22" i="25" s="1"/>
  <c r="F21" i="25"/>
  <c r="H21" i="25" s="1"/>
  <c r="F20" i="25"/>
  <c r="H20" i="25" s="1"/>
  <c r="F19" i="25"/>
  <c r="H19" i="25" s="1"/>
  <c r="F18" i="25"/>
  <c r="H18" i="25" s="1"/>
  <c r="F17" i="25"/>
  <c r="H17" i="25" s="1"/>
  <c r="F16" i="25"/>
  <c r="H16" i="25" s="1"/>
  <c r="F15" i="25"/>
  <c r="H15" i="25" s="1"/>
  <c r="F14" i="25"/>
  <c r="H14" i="25" s="1"/>
  <c r="F13" i="25"/>
  <c r="H13" i="25" s="1"/>
  <c r="F12" i="25"/>
  <c r="H12" i="25" s="1"/>
  <c r="F11" i="25"/>
  <c r="H11" i="25" s="1"/>
  <c r="F10" i="25"/>
  <c r="H10" i="25" s="1"/>
  <c r="F579" i="25" l="1"/>
  <c r="F1276" i="25"/>
  <c r="F1139" i="25"/>
  <c r="F1149" i="25"/>
  <c r="F41" i="25"/>
  <c r="H41" i="25" s="1"/>
  <c r="F31" i="25" s="1"/>
  <c r="F304" i="25"/>
  <c r="F1228" i="25"/>
  <c r="F42" i="25"/>
  <c r="F1285" i="25"/>
  <c r="F1155" i="25"/>
  <c r="F9" i="25"/>
  <c r="F76" i="25"/>
  <c r="H408" i="25"/>
  <c r="F409" i="25" s="1"/>
  <c r="H409" i="25" s="1"/>
  <c r="H1284" i="25"/>
  <c r="F1282" i="25" s="1"/>
  <c r="H1496" i="25"/>
  <c r="F1497" i="25" s="1"/>
  <c r="H1497" i="25" s="1"/>
  <c r="H1049" i="25"/>
  <c r="F1050" i="25" s="1"/>
  <c r="H1050" i="25" s="1"/>
  <c r="H668" i="25"/>
  <c r="F669" i="25" s="1"/>
  <c r="H669" i="25" s="1"/>
  <c r="H1297" i="25"/>
  <c r="F1298" i="25" s="1"/>
  <c r="H1298" i="25" s="1"/>
  <c r="H1191" i="25"/>
  <c r="F1192" i="25" s="1"/>
  <c r="H1192" i="25" s="1"/>
  <c r="H215" i="25"/>
  <c r="F216" i="25" s="1"/>
  <c r="H216" i="25" s="1"/>
  <c r="H769" i="25"/>
  <c r="F770" i="25" s="1"/>
  <c r="H770" i="25" s="1"/>
  <c r="H801" i="25"/>
  <c r="F802" i="25" s="1"/>
  <c r="H802" i="25" s="1"/>
  <c r="H564" i="25"/>
  <c r="F565" i="25" s="1"/>
  <c r="H565" i="25" s="1"/>
  <c r="H1220" i="25"/>
  <c r="F1221" i="25" s="1"/>
  <c r="H1221" i="25" s="1"/>
  <c r="H1433" i="25"/>
  <c r="F1434" i="25" s="1"/>
  <c r="H1434" i="25" s="1"/>
  <c r="H245" i="25"/>
  <c r="F246" i="25" s="1"/>
  <c r="H246" i="25" s="1"/>
  <c r="H570" i="25"/>
  <c r="F571" i="25" s="1"/>
  <c r="H571" i="25" s="1"/>
  <c r="H720" i="25"/>
  <c r="F721" i="25" s="1"/>
  <c r="H721" i="25" s="1"/>
  <c r="H809" i="25"/>
  <c r="F810" i="25" s="1"/>
  <c r="H810" i="25" s="1"/>
  <c r="H190" i="25"/>
  <c r="F191" i="25" s="1"/>
  <c r="H191" i="25" s="1"/>
  <c r="H1126" i="25"/>
  <c r="F1127" i="25" s="1"/>
  <c r="H1127" i="25" s="1"/>
  <c r="H99" i="25"/>
  <c r="F100" i="25" s="1"/>
  <c r="H100" i="25" s="1"/>
  <c r="H1101" i="25"/>
  <c r="F1102" i="25" s="1"/>
  <c r="H1102" i="25" s="1"/>
  <c r="H1535" i="25"/>
  <c r="H438" i="25"/>
  <c r="F439" i="25" s="1"/>
  <c r="H439" i="25" s="1"/>
  <c r="H468" i="25"/>
  <c r="F469" i="25" s="1"/>
  <c r="H469" i="25" s="1"/>
  <c r="H575" i="25"/>
  <c r="F576" i="25" s="1"/>
  <c r="H576" i="25" s="1"/>
  <c r="H793" i="25"/>
  <c r="F794" i="25" s="1"/>
  <c r="H794" i="25" s="1"/>
  <c r="H887" i="25"/>
  <c r="F888" i="25" s="1"/>
  <c r="H888" i="25" s="1"/>
  <c r="H1093" i="25"/>
  <c r="F1094" i="25" s="1"/>
  <c r="H1094" i="25" s="1"/>
  <c r="H1272" i="25"/>
  <c r="F1273" i="25" s="1"/>
  <c r="H1273" i="25" s="1"/>
  <c r="H1571" i="25"/>
  <c r="F1572" i="25" s="1"/>
  <c r="H1572" i="25" s="1"/>
  <c r="H420" i="25"/>
  <c r="F421" i="25" s="1"/>
  <c r="H421" i="25" s="1"/>
  <c r="H460" i="25"/>
  <c r="F461" i="25" s="1"/>
  <c r="H461" i="25" s="1"/>
  <c r="H492" i="25"/>
  <c r="F493" i="25" s="1"/>
  <c r="H493" i="25" s="1"/>
  <c r="H534" i="25"/>
  <c r="F535" i="25" s="1"/>
  <c r="H535" i="25" s="1"/>
  <c r="H1171" i="25"/>
  <c r="F1172" i="25" s="1"/>
  <c r="H1172" i="25" s="1"/>
  <c r="H1556" i="25"/>
  <c r="F1557" i="25" s="1"/>
  <c r="H1557" i="25" s="1"/>
  <c r="H1612" i="25"/>
  <c r="F1613" i="25" s="1"/>
  <c r="H1613" i="25" s="1"/>
  <c r="H696" i="25"/>
  <c r="F697" i="25" s="1"/>
  <c r="H697" i="25" s="1"/>
  <c r="H444" i="25"/>
  <c r="F445" i="25" s="1"/>
  <c r="H445" i="25" s="1"/>
  <c r="H773" i="25"/>
  <c r="F774" i="25" s="1"/>
  <c r="H774" i="25" s="1"/>
  <c r="H846" i="25"/>
  <c r="F847" i="25" s="1"/>
  <c r="H847" i="25" s="1"/>
  <c r="H1019" i="25"/>
  <c r="F1020" i="25" s="1"/>
  <c r="H1020" i="25" s="1"/>
  <c r="H1106" i="25"/>
  <c r="F1107" i="25" s="1"/>
  <c r="H1107" i="25" s="1"/>
  <c r="H1511" i="25"/>
  <c r="H1630" i="25"/>
  <c r="F1631" i="25" s="1"/>
  <c r="H1631" i="25" s="1"/>
  <c r="H524" i="25"/>
  <c r="F525" i="25" s="1"/>
  <c r="H525" i="25" s="1"/>
  <c r="H735" i="25"/>
  <c r="F736" i="25" s="1"/>
  <c r="H736" i="25" s="1"/>
  <c r="H785" i="25"/>
  <c r="F786" i="25" s="1"/>
  <c r="H786" i="25" s="1"/>
  <c r="H932" i="25"/>
  <c r="F933" i="25" s="1"/>
  <c r="H933" i="25" s="1"/>
  <c r="H958" i="25"/>
  <c r="F959" i="25" s="1"/>
  <c r="H959" i="25" s="1"/>
  <c r="H1161" i="25"/>
  <c r="F1162" i="25" s="1"/>
  <c r="H1162" i="25" s="1"/>
  <c r="H153" i="25"/>
  <c r="H516" i="25"/>
  <c r="F517" i="25" s="1"/>
  <c r="H517" i="25" s="1"/>
  <c r="H682" i="25"/>
  <c r="F683" i="25" s="1"/>
  <c r="H683" i="25" s="1"/>
  <c r="H1110" i="25"/>
  <c r="F1111" i="25" s="1"/>
  <c r="H1111" i="25" s="1"/>
  <c r="H241" i="25"/>
  <c r="F242" i="25" s="1"/>
  <c r="H242" i="25" s="1"/>
  <c r="H474" i="25"/>
  <c r="F475" i="25" s="1"/>
  <c r="H475" i="25" s="1"/>
  <c r="H528" i="25"/>
  <c r="F529" i="25" s="1"/>
  <c r="H529" i="25" s="1"/>
  <c r="H612" i="25"/>
  <c r="F613" i="25" s="1"/>
  <c r="H613" i="25" s="1"/>
  <c r="H962" i="25"/>
  <c r="F963" i="25" s="1"/>
  <c r="H963" i="25" s="1"/>
  <c r="H117" i="25"/>
  <c r="F118" i="25" s="1"/>
  <c r="H118" i="25" s="1"/>
  <c r="H370" i="25"/>
  <c r="F371" i="25" s="1"/>
  <c r="H371" i="25" s="1"/>
  <c r="H456" i="25"/>
  <c r="F457" i="25" s="1"/>
  <c r="H457" i="25" s="1"/>
  <c r="H540" i="25"/>
  <c r="F541" i="25" s="1"/>
  <c r="H541" i="25" s="1"/>
  <c r="H749" i="25"/>
  <c r="F750" i="25" s="1"/>
  <c r="H750" i="25" s="1"/>
  <c r="H1114" i="25"/>
  <c r="F1115" i="25" s="1"/>
  <c r="H1115" i="25" s="1"/>
  <c r="H1491" i="25"/>
  <c r="F1492" i="25" s="1"/>
  <c r="H1492" i="25" s="1"/>
  <c r="H148" i="25"/>
  <c r="F149" i="25" s="1"/>
  <c r="H149" i="25" s="1"/>
  <c r="H432" i="25"/>
  <c r="F433" i="25" s="1"/>
  <c r="H433" i="25" s="1"/>
  <c r="H450" i="25"/>
  <c r="F451" i="25" s="1"/>
  <c r="H451" i="25" s="1"/>
  <c r="H510" i="25"/>
  <c r="F511" i="25" s="1"/>
  <c r="H511" i="25" s="1"/>
  <c r="H520" i="25"/>
  <c r="F521" i="25" s="1"/>
  <c r="H521" i="25" s="1"/>
  <c r="H558" i="25"/>
  <c r="F559" i="25" s="1"/>
  <c r="H559" i="25" s="1"/>
  <c r="H596" i="25"/>
  <c r="F597" i="25" s="1"/>
  <c r="H597" i="25" s="1"/>
  <c r="H765" i="25"/>
  <c r="F766" i="25" s="1"/>
  <c r="H766" i="25" s="1"/>
  <c r="H1208" i="25"/>
  <c r="F1209" i="25" s="1"/>
  <c r="H1209" i="25" s="1"/>
  <c r="H1391" i="25"/>
  <c r="F1392" i="25" s="1"/>
  <c r="H1392" i="25" s="1"/>
  <c r="H1463" i="25"/>
  <c r="F1464" i="25" s="1"/>
  <c r="H1464" i="25" s="1"/>
  <c r="H1481" i="25"/>
  <c r="H1530" i="25"/>
  <c r="F1531" i="25" s="1"/>
  <c r="H1531" i="25" s="1"/>
  <c r="H1607" i="25"/>
  <c r="H1621" i="25"/>
  <c r="F1622" i="25" s="1"/>
  <c r="H1622" i="25" s="1"/>
  <c r="H140" i="25"/>
  <c r="F141" i="25" s="1"/>
  <c r="H141" i="25" s="1"/>
  <c r="H155" i="25"/>
  <c r="H161" i="25"/>
  <c r="F162" i="25" s="1"/>
  <c r="H162" i="25" s="1"/>
  <c r="H169" i="25"/>
  <c r="F170" i="25" s="1"/>
  <c r="H170" i="25" s="1"/>
  <c r="H177" i="25"/>
  <c r="H185" i="25"/>
  <c r="F186" i="25" s="1"/>
  <c r="H186" i="25" s="1"/>
  <c r="H199" i="25"/>
  <c r="F200" i="25" s="1"/>
  <c r="H200" i="25" s="1"/>
  <c r="H89" i="25"/>
  <c r="F90" i="25" s="1"/>
  <c r="H90" i="25" s="1"/>
  <c r="H777" i="25"/>
  <c r="F778" i="25" s="1"/>
  <c r="H778" i="25" s="1"/>
  <c r="H817" i="25"/>
  <c r="F818" i="25" s="1"/>
  <c r="H818" i="25" s="1"/>
  <c r="H1179" i="25"/>
  <c r="F1180" i="25" s="1"/>
  <c r="H1180" i="25" s="1"/>
  <c r="H107" i="25"/>
  <c r="F108" i="25" s="1"/>
  <c r="H108" i="25" s="1"/>
  <c r="H379" i="25"/>
  <c r="F380" i="25" s="1"/>
  <c r="H380" i="25" s="1"/>
  <c r="H426" i="25"/>
  <c r="F427" i="25" s="1"/>
  <c r="H427" i="25" s="1"/>
  <c r="H480" i="25"/>
  <c r="F481" i="25" s="1"/>
  <c r="H481" i="25" s="1"/>
  <c r="H829" i="25"/>
  <c r="F830" i="25" s="1"/>
  <c r="H830" i="25" s="1"/>
  <c r="H917" i="25"/>
  <c r="F918" i="25" s="1"/>
  <c r="H918" i="25" s="1"/>
  <c r="H1260" i="25"/>
  <c r="F1261" i="25" s="1"/>
  <c r="H1261" i="25" s="1"/>
  <c r="H1482" i="25"/>
  <c r="H1585" i="25"/>
  <c r="F1586" i="25" s="1"/>
  <c r="H1586" i="25" s="1"/>
  <c r="H94" i="25"/>
  <c r="F95" i="25" s="1"/>
  <c r="H95" i="25" s="1"/>
  <c r="H70" i="25"/>
  <c r="F71" i="25" s="1"/>
  <c r="H71" i="25" s="1"/>
  <c r="H82" i="25"/>
  <c r="F83" i="25" s="1"/>
  <c r="H83" i="25" s="1"/>
  <c r="H464" i="25"/>
  <c r="F465" i="25" s="1"/>
  <c r="H465" i="25" s="1"/>
  <c r="H486" i="25"/>
  <c r="F487" i="25" s="1"/>
  <c r="H487" i="25" s="1"/>
  <c r="H552" i="25"/>
  <c r="F553" i="25" s="1"/>
  <c r="H553" i="25" s="1"/>
  <c r="H589" i="25"/>
  <c r="F590" i="25" s="1"/>
  <c r="H590" i="25" s="1"/>
  <c r="H592" i="25"/>
  <c r="F591" i="25" s="1"/>
  <c r="H624" i="25"/>
  <c r="F625" i="25" s="1"/>
  <c r="H625" i="25" s="1"/>
  <c r="H872" i="25"/>
  <c r="F873" i="25" s="1"/>
  <c r="H873" i="25" s="1"/>
  <c r="H977" i="25"/>
  <c r="F978" i="25" s="1"/>
  <c r="H978" i="25" s="1"/>
  <c r="H1034" i="25"/>
  <c r="F1035" i="25" s="1"/>
  <c r="H1035" i="25" s="1"/>
  <c r="H1089" i="25"/>
  <c r="F1090" i="25" s="1"/>
  <c r="H1090" i="25" s="1"/>
  <c r="H1316" i="25"/>
  <c r="F1317" i="25" s="1"/>
  <c r="H1317" i="25" s="1"/>
  <c r="H1483" i="25"/>
  <c r="F1484" i="25" s="1"/>
  <c r="H1484" i="25" s="1"/>
  <c r="H1541" i="25"/>
  <c r="F1542" i="25" s="1"/>
  <c r="H1542" i="25" s="1"/>
  <c r="H1005" i="25"/>
  <c r="F1006" i="25" s="1"/>
  <c r="H1006" i="25" s="1"/>
  <c r="H1264" i="25"/>
  <c r="F1265" i="25" s="1"/>
  <c r="H1265" i="25" s="1"/>
  <c r="H1327" i="25"/>
  <c r="F1328" i="25" s="1"/>
  <c r="H1328" i="25" s="1"/>
  <c r="H1518" i="25"/>
  <c r="H1669" i="25"/>
  <c r="F1670" i="25" s="1"/>
  <c r="H1670" i="25" s="1"/>
  <c r="H546" i="25"/>
  <c r="F547" i="25" s="1"/>
  <c r="H547" i="25" s="1"/>
  <c r="H1363" i="25"/>
  <c r="F1364" i="25" s="1"/>
  <c r="H1364" i="25" s="1"/>
  <c r="H112" i="25"/>
  <c r="F113" i="25" s="1"/>
  <c r="H113" i="25" s="1"/>
  <c r="H135" i="25"/>
  <c r="F136" i="25" s="1"/>
  <c r="H136" i="25" s="1"/>
  <c r="H210" i="25"/>
  <c r="F211" i="25" s="1"/>
  <c r="H211" i="25" s="1"/>
  <c r="H300" i="25"/>
  <c r="F301" i="25" s="1"/>
  <c r="H301" i="25" s="1"/>
  <c r="H273" i="25"/>
  <c r="F274" i="25" s="1"/>
  <c r="H274" i="25" s="1"/>
  <c r="H158" i="25"/>
  <c r="H282" i="25"/>
  <c r="F283" i="25" s="1"/>
  <c r="H283" i="25" s="1"/>
  <c r="H254" i="25"/>
  <c r="F255" i="25" s="1"/>
  <c r="H255" i="25" s="1"/>
  <c r="H498" i="25"/>
  <c r="F499" i="25" s="1"/>
  <c r="H499" i="25" s="1"/>
  <c r="H1523" i="25"/>
  <c r="H345" i="25"/>
  <c r="F346" i="25" s="1"/>
  <c r="H346" i="25" s="1"/>
  <c r="H396" i="25"/>
  <c r="F397" i="25" s="1"/>
  <c r="H397" i="25" s="1"/>
  <c r="H404" i="25"/>
  <c r="F405" i="25" s="1"/>
  <c r="H405" i="25" s="1"/>
  <c r="H414" i="25"/>
  <c r="F415" i="25" s="1"/>
  <c r="H415" i="25" s="1"/>
  <c r="H813" i="25"/>
  <c r="F814" i="25" s="1"/>
  <c r="H814" i="25" s="1"/>
  <c r="H821" i="25"/>
  <c r="F822" i="25" s="1"/>
  <c r="H822" i="25" s="1"/>
  <c r="H902" i="25"/>
  <c r="F903" i="25" s="1"/>
  <c r="H903" i="25" s="1"/>
  <c r="H1135" i="25"/>
  <c r="F1136" i="25" s="1"/>
  <c r="H1136" i="25" s="1"/>
  <c r="H1243" i="25"/>
  <c r="F1244" i="25" s="1"/>
  <c r="H1244" i="25" s="1"/>
  <c r="H1306" i="25"/>
  <c r="F1307" i="25" s="1"/>
  <c r="H1307" i="25" s="1"/>
  <c r="H1338" i="25"/>
  <c r="F1339" i="25" s="1"/>
  <c r="H1339" i="25" s="1"/>
  <c r="H1447" i="25"/>
  <c r="F1448" i="25" s="1"/>
  <c r="H1448" i="25" s="1"/>
  <c r="H1500" i="25"/>
  <c r="F1501" i="25" s="1"/>
  <c r="H1501" i="25" s="1"/>
  <c r="H1656" i="25"/>
  <c r="F1657" i="25" s="1"/>
  <c r="H1657" i="25" s="1"/>
  <c r="H1061" i="25"/>
  <c r="F1062" i="25" s="1"/>
  <c r="H1062" i="25" s="1"/>
  <c r="H638" i="25"/>
  <c r="F639" i="25" s="1"/>
  <c r="H639" i="25" s="1"/>
  <c r="H797" i="25"/>
  <c r="F798" i="25" s="1"/>
  <c r="H798" i="25" s="1"/>
  <c r="H805" i="25"/>
  <c r="F806" i="25" s="1"/>
  <c r="H806" i="25" s="1"/>
  <c r="H990" i="25"/>
  <c r="F991" i="25" s="1"/>
  <c r="H991" i="25" s="1"/>
  <c r="H1199" i="25"/>
  <c r="F1200" i="25" s="1"/>
  <c r="H1200" i="25" s="1"/>
  <c r="H1226" i="25"/>
  <c r="F1227" i="25" s="1"/>
  <c r="H1227" i="25" s="1"/>
  <c r="H1251" i="25"/>
  <c r="F1252" i="25" s="1"/>
  <c r="H1252" i="25" s="1"/>
  <c r="H1405" i="25"/>
  <c r="F1406" i="25" s="1"/>
  <c r="H1406" i="25" s="1"/>
  <c r="H387" i="25"/>
  <c r="F388" i="25" s="1"/>
  <c r="H388" i="25" s="1"/>
  <c r="H653" i="25"/>
  <c r="F654" i="25" s="1"/>
  <c r="H654" i="25" s="1"/>
  <c r="H706" i="25"/>
  <c r="F707" i="25" s="1"/>
  <c r="H707" i="25" s="1"/>
  <c r="H759" i="25"/>
  <c r="F760" i="25" s="1"/>
  <c r="H760" i="25" s="1"/>
  <c r="H825" i="25"/>
  <c r="F826" i="25" s="1"/>
  <c r="H826" i="25" s="1"/>
  <c r="H857" i="25"/>
  <c r="F858" i="25" s="1"/>
  <c r="H858" i="25" s="1"/>
  <c r="H947" i="25"/>
  <c r="F948" i="25" s="1"/>
  <c r="H948" i="25" s="1"/>
  <c r="H1377" i="25"/>
  <c r="F1378" i="25" s="1"/>
  <c r="H1378" i="25" s="1"/>
  <c r="H1469" i="25"/>
  <c r="F1470" i="25" s="1"/>
  <c r="H1470" i="25" s="1"/>
  <c r="H1477" i="25"/>
  <c r="F1478" i="25" s="1"/>
  <c r="H1478" i="25" s="1"/>
  <c r="H144" i="25"/>
  <c r="F145" i="25" s="1"/>
  <c r="H145" i="25" s="1"/>
  <c r="H152" i="25"/>
  <c r="H290" i="25"/>
  <c r="F291" i="25" s="1"/>
  <c r="H291" i="25" s="1"/>
  <c r="H353" i="25"/>
  <c r="F354" i="25" s="1"/>
  <c r="H354" i="25" s="1"/>
  <c r="H362" i="25"/>
  <c r="F363" i="25" s="1"/>
  <c r="H363" i="25" s="1"/>
  <c r="H504" i="25"/>
  <c r="F505" i="25" s="1"/>
  <c r="H505" i="25" s="1"/>
  <c r="H585" i="25"/>
  <c r="F586" i="25" s="1"/>
  <c r="H586" i="25" s="1"/>
  <c r="H781" i="25"/>
  <c r="F782" i="25" s="1"/>
  <c r="H782" i="25" s="1"/>
  <c r="H789" i="25"/>
  <c r="F790" i="25" s="1"/>
  <c r="H790" i="25" s="1"/>
  <c r="H1077" i="25"/>
  <c r="F1078" i="25" s="1"/>
  <c r="H1078" i="25" s="1"/>
  <c r="H1419" i="25"/>
  <c r="H1644" i="25"/>
  <c r="F1645" i="25" s="1"/>
  <c r="H1645" i="25" s="1"/>
  <c r="H67" i="25"/>
  <c r="F53" i="25" s="1"/>
  <c r="H130" i="25"/>
  <c r="F131" i="25" s="1"/>
  <c r="H131" i="25" s="1"/>
  <c r="H232" i="25"/>
  <c r="F233" i="25" s="1"/>
  <c r="H233" i="25" s="1"/>
  <c r="H264" i="25"/>
  <c r="F265" i="25" s="1"/>
  <c r="H265" i="25" s="1"/>
  <c r="H328" i="25"/>
  <c r="F329" i="25" s="1"/>
  <c r="H329" i="25" s="1"/>
  <c r="H336" i="25"/>
  <c r="F337" i="25" s="1"/>
  <c r="H337" i="25" s="1"/>
  <c r="H122" i="25"/>
  <c r="F123" i="25" s="1"/>
  <c r="H123" i="25" s="1"/>
  <c r="H228" i="25"/>
  <c r="H224" i="25"/>
  <c r="F225" i="25" s="1"/>
  <c r="H225" i="25" s="1"/>
  <c r="H319" i="25"/>
  <c r="F320" i="25" s="1"/>
  <c r="H320" i="25" s="1"/>
  <c r="H1238" i="25"/>
  <c r="F1239" i="25" s="1"/>
  <c r="H1239" i="25" s="1"/>
  <c r="H1601" i="25"/>
  <c r="F1602" i="25" s="1"/>
  <c r="H1602" i="25" s="1"/>
  <c r="H1349" i="25"/>
  <c r="F1350" i="25" s="1"/>
  <c r="H1350" i="25" s="1"/>
  <c r="H1605" i="25"/>
  <c r="H1677" i="25"/>
  <c r="F1678" i="25" s="1"/>
  <c r="H1678" i="25" s="1"/>
  <c r="E108" i="4"/>
  <c r="E98" i="4"/>
  <c r="E107" i="4"/>
  <c r="E563" i="4"/>
  <c r="E403" i="4"/>
  <c r="F506" i="25" l="1"/>
  <c r="F440" i="25"/>
  <c r="F452" i="25"/>
  <c r="F783" i="25"/>
  <c r="F1193" i="25"/>
  <c r="F526" i="25"/>
  <c r="F811" i="25"/>
  <c r="F1095" i="25"/>
  <c r="F1091" i="25"/>
  <c r="F1485" i="25"/>
  <c r="F698" i="25"/>
  <c r="F763" i="25"/>
  <c r="F1587" i="25"/>
  <c r="F1165" i="25"/>
  <c r="F142" i="25"/>
  <c r="F1112" i="25"/>
  <c r="F799" i="25"/>
  <c r="F1379" i="25"/>
  <c r="F1245" i="25"/>
  <c r="F146" i="25"/>
  <c r="F1479" i="25"/>
  <c r="F1614" i="25"/>
  <c r="F275" i="25"/>
  <c r="F364" i="25"/>
  <c r="F1603" i="25"/>
  <c r="F150" i="25"/>
  <c r="F217" i="25"/>
  <c r="F1253" i="25"/>
  <c r="F96" i="25"/>
  <c r="F1299" i="25"/>
  <c r="F791" i="25"/>
  <c r="F434" i="25"/>
  <c r="F446" i="25"/>
  <c r="F560" i="25"/>
  <c r="F1103" i="25"/>
  <c r="F389" i="25"/>
  <c r="F114" i="25"/>
  <c r="F1493" i="25"/>
  <c r="F422" i="25"/>
  <c r="F1524" i="25"/>
  <c r="H1524" i="25" s="1"/>
  <c r="F1520" i="25" s="1"/>
  <c r="F1558" i="25"/>
  <c r="F1051" i="25"/>
  <c r="F494" i="25"/>
  <c r="F522" i="25"/>
  <c r="F1266" i="25"/>
  <c r="F640" i="25"/>
  <c r="F1036" i="25"/>
  <c r="F355" i="25"/>
  <c r="F137" i="25"/>
  <c r="F1222" i="25"/>
  <c r="F655" i="25"/>
  <c r="F1525" i="25"/>
  <c r="F381" i="25"/>
  <c r="F1108" i="25"/>
  <c r="F410" i="25"/>
  <c r="F292" i="25"/>
  <c r="F1120" i="25"/>
  <c r="F462" i="25"/>
  <c r="F1671" i="25"/>
  <c r="F321" i="25"/>
  <c r="F1646" i="25"/>
  <c r="F243" i="25"/>
  <c r="F178" i="25"/>
  <c r="H178" i="25" s="1"/>
  <c r="F171" i="25" s="1"/>
  <c r="F1421" i="25"/>
  <c r="F848" i="25"/>
  <c r="F284" i="25"/>
  <c r="F500" i="25"/>
  <c r="F1159" i="25"/>
  <c r="F614" i="25"/>
  <c r="F815" i="25"/>
  <c r="F1658" i="25"/>
  <c r="F548" i="25"/>
  <c r="F1262" i="25"/>
  <c r="F587" i="25"/>
  <c r="F372" i="25"/>
  <c r="F992" i="25"/>
  <c r="F338" i="25"/>
  <c r="F256" i="25"/>
  <c r="F1543" i="25"/>
  <c r="F833" i="25"/>
  <c r="F330" i="25"/>
  <c r="F1623" i="25"/>
  <c r="F1128" i="25"/>
  <c r="F230" i="25"/>
  <c r="F470" i="25"/>
  <c r="F1632" i="25"/>
  <c r="F572" i="25"/>
  <c r="F819" i="25"/>
  <c r="F1318" i="25"/>
  <c r="F775" i="25"/>
  <c r="F266" i="25"/>
  <c r="F482" i="25"/>
  <c r="F1065" i="25"/>
  <c r="F1573" i="25"/>
  <c r="F751" i="25"/>
  <c r="F1498" i="25"/>
  <c r="F1007" i="25"/>
  <c r="F466" i="25"/>
  <c r="F1212" i="25"/>
  <c r="F542" i="25"/>
  <c r="F779" i="25"/>
  <c r="F86" i="25"/>
  <c r="F163" i="25"/>
  <c r="F767" i="25"/>
  <c r="F212" i="25"/>
  <c r="F1465" i="25"/>
  <c r="F787" i="25"/>
  <c r="F132" i="25"/>
  <c r="F1536" i="25"/>
  <c r="H1536" i="25" s="1"/>
  <c r="F1532" i="25" s="1"/>
  <c r="F807" i="25"/>
  <c r="F1512" i="25"/>
  <c r="H1512" i="25" s="1"/>
  <c r="F1502" i="25" s="1"/>
  <c r="F1290" i="25"/>
  <c r="F684" i="25"/>
  <c r="F201" i="25"/>
  <c r="F428" i="25"/>
  <c r="F979" i="25"/>
  <c r="F1537" i="25"/>
  <c r="F708" i="25"/>
  <c r="F119" i="25"/>
  <c r="F1471" i="25"/>
  <c r="F964" i="25"/>
  <c r="F398" i="25"/>
  <c r="F1081" i="25"/>
  <c r="F518" i="25"/>
  <c r="F1449" i="25"/>
  <c r="F722" i="25"/>
  <c r="F1351" i="25"/>
  <c r="F626" i="25"/>
  <c r="F1329" i="25"/>
  <c r="F737" i="25"/>
  <c r="F68" i="25"/>
  <c r="F1420" i="25"/>
  <c r="H1420" i="25" s="1"/>
  <c r="F1407" i="25" s="1"/>
  <c r="F1519" i="25"/>
  <c r="H1519" i="25" s="1"/>
  <c r="F1513" i="25" s="1"/>
  <c r="F192" i="25"/>
  <c r="F234" i="25"/>
  <c r="F827" i="25"/>
  <c r="F1236" i="25"/>
  <c r="F554" i="25"/>
  <c r="F109" i="25"/>
  <c r="F1435" i="25"/>
  <c r="F803" i="25"/>
  <c r="F347" i="25"/>
  <c r="F1021" i="25"/>
  <c r="F416" i="25"/>
  <c r="F1365" i="25"/>
  <c r="F670" i="25"/>
  <c r="F313" i="25"/>
  <c r="F101" i="25"/>
  <c r="F1340" i="25"/>
  <c r="F600" i="25"/>
  <c r="F1240" i="25"/>
  <c r="F583" i="25"/>
  <c r="F458" i="25"/>
  <c r="F488" i="25"/>
  <c r="F247" i="25"/>
  <c r="F1183" i="25"/>
  <c r="F566" i="25"/>
  <c r="F80" i="25"/>
  <c r="F1308" i="25"/>
  <c r="F795" i="25"/>
  <c r="F1203" i="25"/>
  <c r="F476" i="25"/>
  <c r="F1393" i="25"/>
  <c r="F771" i="25"/>
  <c r="F179" i="25"/>
  <c r="F823" i="25"/>
  <c r="F406" i="25"/>
  <c r="F536" i="25"/>
  <c r="F124" i="25"/>
  <c r="F187" i="25"/>
  <c r="F530" i="25"/>
  <c r="F1173" i="25"/>
  <c r="F512" i="25"/>
  <c r="F91" i="25"/>
  <c r="F960" i="25"/>
  <c r="F904" i="25"/>
  <c r="F949" i="25"/>
  <c r="F874" i="25"/>
  <c r="F919" i="25"/>
  <c r="F889" i="25"/>
  <c r="F859" i="25"/>
  <c r="F934" i="25"/>
  <c r="F229" i="25"/>
  <c r="H229" i="25" s="1"/>
  <c r="F226" i="25" s="1"/>
  <c r="E1924" i="19" l="1"/>
  <c r="E1925" i="19"/>
  <c r="E391" i="4"/>
  <c r="E285" i="4" l="1"/>
  <c r="G234" i="19" l="1"/>
  <c r="E235" i="19"/>
  <c r="F235" i="19"/>
  <c r="F233" i="19"/>
  <c r="H233" i="19" s="1"/>
  <c r="G293" i="19"/>
  <c r="F291" i="19"/>
  <c r="H291" i="19" s="1"/>
  <c r="H235" i="19" l="1"/>
  <c r="G15" i="10"/>
  <c r="G14" i="10"/>
  <c r="G13" i="10"/>
  <c r="G12" i="10"/>
  <c r="G11" i="10"/>
  <c r="G10" i="10"/>
  <c r="G176" i="19"/>
  <c r="G175" i="19"/>
  <c r="G174" i="19"/>
  <c r="G173" i="19"/>
  <c r="G177" i="19"/>
  <c r="G172" i="19"/>
  <c r="F14" i="10" l="1"/>
  <c r="F12" i="10"/>
  <c r="H12" i="10" s="1"/>
  <c r="H14" i="10" l="1"/>
  <c r="F174" i="19"/>
  <c r="F176" i="19"/>
  <c r="F177" i="19"/>
  <c r="H174" i="19" l="1"/>
  <c r="H176" i="19"/>
  <c r="H177" i="19"/>
  <c r="F138" i="19" l="1"/>
  <c r="G2629" i="19" l="1"/>
  <c r="F2630" i="19"/>
  <c r="H2630" i="19" s="1"/>
  <c r="F2628" i="19"/>
  <c r="H2628" i="19" s="1"/>
  <c r="F2627" i="19"/>
  <c r="H2627" i="19" s="1"/>
  <c r="F2624" i="19"/>
  <c r="G2623" i="19"/>
  <c r="F2621" i="19"/>
  <c r="H2621" i="19" s="1"/>
  <c r="F2622" i="19"/>
  <c r="H2622" i="19" s="1"/>
  <c r="G2645" i="19"/>
  <c r="G2618" i="19"/>
  <c r="F2617" i="19"/>
  <c r="H2617" i="19" s="1"/>
  <c r="G2614" i="19"/>
  <c r="F2613" i="19"/>
  <c r="H2613" i="19" s="1"/>
  <c r="G2610" i="19"/>
  <c r="H2624" i="19" l="1"/>
  <c r="F2609" i="19"/>
  <c r="H2609" i="19" s="1"/>
  <c r="G2606" i="19" l="1"/>
  <c r="F2605" i="19"/>
  <c r="H2605" i="19" s="1"/>
  <c r="G2117" i="19" l="1"/>
  <c r="F2114" i="19"/>
  <c r="H2114" i="19" s="1"/>
  <c r="G2110" i="19"/>
  <c r="F2107" i="19"/>
  <c r="H2107" i="19" s="1"/>
  <c r="G2103" i="19"/>
  <c r="F2102" i="19"/>
  <c r="H2102" i="19" s="1"/>
  <c r="F2101" i="19"/>
  <c r="H2101" i="19" s="1"/>
  <c r="G2097" i="19"/>
  <c r="F2096" i="19"/>
  <c r="H2096" i="19" s="1"/>
  <c r="F2095" i="19"/>
  <c r="H2095" i="19" s="1"/>
  <c r="G2091" i="19"/>
  <c r="G2083" i="19"/>
  <c r="E3884" i="19" l="1"/>
  <c r="E2021" i="19" l="1"/>
  <c r="G2024" i="19"/>
  <c r="F2023" i="19"/>
  <c r="H2023" i="19" s="1"/>
  <c r="F2022" i="19"/>
  <c r="H2022" i="19" s="1"/>
  <c r="F2021" i="19"/>
  <c r="H2021" i="19" s="1"/>
  <c r="F2014" i="19" l="1"/>
  <c r="H2014" i="19" s="1"/>
  <c r="F2015" i="19"/>
  <c r="H2015" i="19" s="1"/>
  <c r="G2017" i="19"/>
  <c r="F2016" i="19"/>
  <c r="H2016" i="19" s="1"/>
  <c r="F2028" i="19"/>
  <c r="H2028" i="19" s="1"/>
  <c r="G2029" i="19"/>
  <c r="G1995" i="19"/>
  <c r="F1994" i="19"/>
  <c r="H1994" i="19" s="1"/>
  <c r="G197" i="10" l="1"/>
  <c r="F197" i="10"/>
  <c r="G195" i="10"/>
  <c r="F195" i="10"/>
  <c r="G193" i="10"/>
  <c r="F192" i="10"/>
  <c r="H192" i="10" s="1"/>
  <c r="F191" i="10"/>
  <c r="H191" i="10" s="1"/>
  <c r="F190" i="10"/>
  <c r="H190" i="10" s="1"/>
  <c r="G82" i="10"/>
  <c r="G84" i="10"/>
  <c r="G85" i="10"/>
  <c r="H195" i="10" l="1"/>
  <c r="H197" i="10"/>
  <c r="E961" i="4"/>
  <c r="E962" i="4" s="1"/>
  <c r="E926" i="4"/>
  <c r="E27" i="6" l="1"/>
  <c r="E251" i="4" l="1"/>
  <c r="E230" i="4"/>
  <c r="E121" i="4" l="1"/>
  <c r="G2518" i="19"/>
  <c r="E504" i="4" l="1"/>
  <c r="G467" i="19" l="1"/>
  <c r="G466" i="19"/>
  <c r="F2640" i="19" l="1"/>
  <c r="H2640" i="19" s="1"/>
  <c r="E922" i="4" l="1"/>
  <c r="F13" i="10" s="1"/>
  <c r="H13" i="10" s="1"/>
  <c r="E882" i="4" l="1"/>
  <c r="E576" i="4"/>
  <c r="F2644" i="19" s="1"/>
  <c r="H2644" i="19" s="1"/>
  <c r="E876" i="4"/>
  <c r="E877" i="4"/>
  <c r="E875" i="4"/>
  <c r="E871" i="4"/>
  <c r="E818" i="4"/>
  <c r="E817" i="4"/>
  <c r="E815" i="4"/>
  <c r="E814" i="4"/>
  <c r="E811" i="4"/>
  <c r="E804" i="4"/>
  <c r="E801" i="4"/>
  <c r="E800" i="4"/>
  <c r="E792" i="4"/>
  <c r="E791" i="4"/>
  <c r="E775" i="4"/>
  <c r="E774" i="4"/>
  <c r="E773" i="4"/>
  <c r="E772" i="4"/>
  <c r="E771" i="4"/>
  <c r="E770" i="4"/>
  <c r="E769" i="4"/>
  <c r="E768" i="4"/>
  <c r="E767" i="4"/>
  <c r="E766" i="4"/>
  <c r="E765" i="4"/>
  <c r="E764" i="4"/>
  <c r="E763" i="4"/>
  <c r="E762" i="4"/>
  <c r="E761" i="4"/>
  <c r="E760" i="4"/>
  <c r="E759" i="4"/>
  <c r="F2115" i="19" l="1"/>
  <c r="H2115" i="19" s="1"/>
  <c r="F2108" i="19"/>
  <c r="H2108" i="19" s="1"/>
  <c r="E750" i="4"/>
  <c r="E746" i="4"/>
  <c r="E733" i="4"/>
  <c r="E732" i="4"/>
  <c r="E694" i="4"/>
  <c r="F2173" i="19"/>
  <c r="H2173" i="19" s="1"/>
  <c r="F2174" i="19"/>
  <c r="H2174" i="19" s="1"/>
  <c r="F2175" i="19"/>
  <c r="H2175" i="19" s="1"/>
  <c r="G2176" i="19"/>
  <c r="E680" i="4" l="1"/>
  <c r="E668" i="4"/>
  <c r="E667" i="4"/>
  <c r="E637" i="4" l="1"/>
  <c r="E595" i="4"/>
  <c r="E583" i="4" l="1"/>
  <c r="E578" i="4"/>
  <c r="E575" i="4"/>
  <c r="E574" i="4"/>
  <c r="E570" i="4" l="1"/>
  <c r="E569" i="4"/>
  <c r="E567" i="4"/>
  <c r="E565" i="4"/>
  <c r="E541" i="4" l="1"/>
  <c r="E538" i="4"/>
  <c r="E529" i="4"/>
  <c r="E528" i="4"/>
  <c r="E335" i="4" l="1"/>
  <c r="E402" i="4" l="1"/>
  <c r="E476" i="4" l="1"/>
  <c r="E387" i="4" l="1"/>
  <c r="E385" i="4"/>
  <c r="E384" i="4"/>
  <c r="E357" i="4" l="1"/>
  <c r="E356" i="4"/>
  <c r="E350" i="4" l="1"/>
  <c r="E347" i="4"/>
  <c r="E345" i="4"/>
  <c r="E334" i="4" l="1"/>
  <c r="E333" i="4"/>
  <c r="F292" i="19" s="1"/>
  <c r="H292" i="19" s="1"/>
  <c r="E328" i="4" l="1"/>
  <c r="E280" i="4"/>
  <c r="E250" i="4" l="1"/>
  <c r="E242" i="4" l="1"/>
  <c r="G903" i="19" l="1"/>
  <c r="G918" i="19"/>
  <c r="G933" i="19"/>
  <c r="G948" i="19"/>
  <c r="G945" i="19"/>
  <c r="G930" i="19"/>
  <c r="G915" i="19"/>
  <c r="G900" i="19"/>
  <c r="F949" i="19"/>
  <c r="H949" i="19" s="1"/>
  <c r="E949" i="19"/>
  <c r="F948" i="19"/>
  <c r="H948" i="19" s="1"/>
  <c r="F947" i="19"/>
  <c r="H947" i="19" s="1"/>
  <c r="G941" i="19"/>
  <c r="F941" i="19"/>
  <c r="G940" i="19"/>
  <c r="F940" i="19"/>
  <c r="F939" i="19"/>
  <c r="H939" i="19" s="1"/>
  <c r="F937" i="19"/>
  <c r="H937" i="19" s="1"/>
  <c r="F936" i="19"/>
  <c r="H936" i="19" s="1"/>
  <c r="H941" i="19" l="1"/>
  <c r="H940" i="19"/>
  <c r="F934" i="19"/>
  <c r="H934" i="19" s="1"/>
  <c r="E934" i="19"/>
  <c r="F933" i="19"/>
  <c r="F932" i="19"/>
  <c r="H932" i="19" s="1"/>
  <c r="G926" i="19"/>
  <c r="F926" i="19"/>
  <c r="G925" i="19"/>
  <c r="F925" i="19"/>
  <c r="F924" i="19"/>
  <c r="H924" i="19" s="1"/>
  <c r="F922" i="19"/>
  <c r="H922" i="19" s="1"/>
  <c r="F921" i="19"/>
  <c r="H921" i="19" s="1"/>
  <c r="F919" i="19"/>
  <c r="E919" i="19"/>
  <c r="F918" i="19"/>
  <c r="H918" i="19" s="1"/>
  <c r="F917" i="19"/>
  <c r="H917" i="19" s="1"/>
  <c r="G911" i="19"/>
  <c r="F911" i="19"/>
  <c r="H911" i="19" s="1"/>
  <c r="G910" i="19"/>
  <c r="F910" i="19"/>
  <c r="F909" i="19"/>
  <c r="H909" i="19" s="1"/>
  <c r="F907" i="19"/>
  <c r="H907" i="19" s="1"/>
  <c r="F906" i="19"/>
  <c r="H906" i="19" s="1"/>
  <c r="G896" i="19"/>
  <c r="G895" i="19"/>
  <c r="H926" i="19" l="1"/>
  <c r="H933" i="19"/>
  <c r="H919" i="19"/>
  <c r="H925" i="19"/>
  <c r="H910" i="19"/>
  <c r="F896" i="19"/>
  <c r="H896" i="19" s="1"/>
  <c r="F895" i="19"/>
  <c r="H895" i="19" s="1"/>
  <c r="F894" i="19"/>
  <c r="H894" i="19" s="1"/>
  <c r="F891" i="19"/>
  <c r="H891" i="19" s="1"/>
  <c r="E213" i="4"/>
  <c r="F938" i="19" s="1"/>
  <c r="H938" i="19" s="1"/>
  <c r="F923" i="19"/>
  <c r="H923" i="19" s="1"/>
  <c r="F908" i="19"/>
  <c r="H908" i="19" s="1"/>
  <c r="E222" i="4" l="1"/>
  <c r="G4036" i="19"/>
  <c r="G4033" i="19"/>
  <c r="E218" i="4"/>
  <c r="E200" i="4" l="1"/>
  <c r="E191" i="4"/>
  <c r="E162" i="4"/>
  <c r="E152" i="4"/>
  <c r="E139" i="4" l="1"/>
  <c r="E119" i="4" l="1"/>
  <c r="E117" i="4"/>
  <c r="E102" i="4"/>
  <c r="E96" i="4"/>
  <c r="F2172" i="19" s="1"/>
  <c r="H2172" i="19" s="1"/>
  <c r="E95" i="4"/>
  <c r="E94" i="4"/>
  <c r="E93" i="4"/>
  <c r="E83" i="4" l="1"/>
  <c r="E82" i="4"/>
  <c r="E73" i="4" l="1"/>
  <c r="E64" i="4"/>
  <c r="E56" i="4" l="1"/>
  <c r="E55" i="4"/>
  <c r="G155" i="10" l="1"/>
  <c r="G159" i="10"/>
  <c r="G152" i="10"/>
  <c r="F155" i="10"/>
  <c r="G153" i="10"/>
  <c r="G149" i="10"/>
  <c r="G146" i="10"/>
  <c r="G147" i="10"/>
  <c r="F144" i="10"/>
  <c r="H144" i="10" s="1"/>
  <c r="F143" i="10"/>
  <c r="H143" i="10" s="1"/>
  <c r="G141" i="10"/>
  <c r="G139" i="10"/>
  <c r="F139" i="10"/>
  <c r="G138" i="10"/>
  <c r="F136" i="10"/>
  <c r="H136" i="10" s="1"/>
  <c r="F135" i="10"/>
  <c r="H135" i="10" s="1"/>
  <c r="E929" i="4"/>
  <c r="F147" i="10" s="1"/>
  <c r="H147" i="10" s="1"/>
  <c r="F149" i="10"/>
  <c r="H149" i="10" s="1"/>
  <c r="E216" i="4"/>
  <c r="F141" i="10"/>
  <c r="H155" i="10" l="1"/>
  <c r="H139" i="10"/>
  <c r="H141" i="10"/>
  <c r="G1685" i="19"/>
  <c r="G1683" i="19"/>
  <c r="G4042" i="19" l="1"/>
  <c r="G3659" i="19" l="1"/>
  <c r="G3654" i="19"/>
  <c r="G3649" i="19"/>
  <c r="G3324" i="19"/>
  <c r="G3315" i="19"/>
  <c r="G3306" i="19"/>
  <c r="G3297" i="19"/>
  <c r="G3279" i="19"/>
  <c r="G3271" i="19"/>
  <c r="G3263" i="19"/>
  <c r="G3230" i="19"/>
  <c r="G3205" i="19"/>
  <c r="G3213" i="19"/>
  <c r="G3222" i="19"/>
  <c r="G3179" i="19"/>
  <c r="G3171" i="19"/>
  <c r="G3047" i="19"/>
  <c r="G3028" i="19"/>
  <c r="G3011" i="19"/>
  <c r="G2883" i="19"/>
  <c r="G2826" i="19"/>
  <c r="G2792" i="19"/>
  <c r="G2641" i="19"/>
  <c r="G2635" i="19"/>
  <c r="G2588" i="19"/>
  <c r="G2533" i="19" l="1"/>
  <c r="G2512" i="19"/>
  <c r="G2295" i="19" l="1"/>
  <c r="G2284" i="19"/>
  <c r="G2273" i="19"/>
  <c r="G2218" i="19"/>
  <c r="G2211" i="19"/>
  <c r="G2192" i="19"/>
  <c r="G2154" i="19"/>
  <c r="G1954" i="19"/>
  <c r="G1829" i="19"/>
  <c r="G1806" i="19"/>
  <c r="G1796" i="19"/>
  <c r="G1789" i="19"/>
  <c r="G1782" i="19"/>
  <c r="G1775" i="19"/>
  <c r="G1666" i="19" l="1"/>
  <c r="G1528" i="19"/>
  <c r="G1515" i="19"/>
  <c r="G1505" i="19"/>
  <c r="G1415" i="19"/>
  <c r="G1404" i="19"/>
  <c r="G1366" i="19"/>
  <c r="G1261" i="19"/>
  <c r="G1234" i="19"/>
  <c r="G1123" i="19"/>
  <c r="G1113" i="19"/>
  <c r="G1088" i="19"/>
  <c r="G1078" i="19"/>
  <c r="G1022" i="19"/>
  <c r="G984" i="19"/>
  <c r="G968" i="19" l="1"/>
  <c r="G886" i="19"/>
  <c r="G806" i="19"/>
  <c r="G793" i="19"/>
  <c r="G780" i="19"/>
  <c r="G767" i="19"/>
  <c r="G730" i="19"/>
  <c r="G675" i="19"/>
  <c r="G663" i="19"/>
  <c r="G597" i="19" l="1"/>
  <c r="G593" i="19"/>
  <c r="G590" i="19"/>
  <c r="G585" i="19"/>
  <c r="G583" i="19"/>
  <c r="G578" i="19"/>
  <c r="G576" i="19"/>
  <c r="G568" i="19"/>
  <c r="G570" i="19"/>
  <c r="G561" i="19"/>
  <c r="G556" i="19"/>
  <c r="G493" i="19"/>
  <c r="G497" i="19"/>
  <c r="G482" i="19"/>
  <c r="G477" i="19"/>
  <c r="G473" i="19"/>
  <c r="G449" i="19"/>
  <c r="G445" i="19"/>
  <c r="G411" i="19"/>
  <c r="G288" i="19"/>
  <c r="F123" i="10"/>
  <c r="H123" i="10" s="1"/>
  <c r="G281" i="19"/>
  <c r="G240" i="19"/>
  <c r="G164" i="19"/>
  <c r="G136" i="19"/>
  <c r="G126" i="19"/>
  <c r="G121" i="19"/>
  <c r="G116" i="19"/>
  <c r="G106" i="19"/>
  <c r="G100" i="19"/>
  <c r="G94" i="19"/>
  <c r="G88" i="19"/>
  <c r="G82" i="19"/>
  <c r="G77" i="19"/>
  <c r="G73" i="19"/>
  <c r="G55" i="19"/>
  <c r="G47" i="19"/>
  <c r="G39" i="19"/>
  <c r="G31" i="19"/>
  <c r="G23" i="19"/>
  <c r="G15" i="19"/>
  <c r="G168" i="10" l="1"/>
  <c r="G171" i="10"/>
  <c r="G170" i="10"/>
  <c r="G163" i="10"/>
  <c r="G166" i="10"/>
  <c r="G165" i="10"/>
  <c r="G158" i="10"/>
  <c r="G130" i="10"/>
  <c r="G109" i="10"/>
  <c r="G100" i="10"/>
  <c r="G96" i="10"/>
  <c r="G74" i="10"/>
  <c r="G52" i="10"/>
  <c r="G355" i="10" l="1"/>
  <c r="G349" i="10"/>
  <c r="G243" i="10"/>
  <c r="G20" i="10"/>
  <c r="G4043" i="19"/>
  <c r="F957" i="19"/>
  <c r="H957" i="19" s="1"/>
  <c r="G457" i="19"/>
  <c r="G384" i="19"/>
  <c r="G531" i="10" l="1"/>
  <c r="G523" i="10"/>
  <c r="G518" i="10"/>
  <c r="C27" i="6" l="1"/>
  <c r="C29" i="6" s="1"/>
  <c r="D45" i="6" s="1"/>
  <c r="I1146" i="10" l="1"/>
  <c r="G362" i="10" l="1"/>
  <c r="G361" i="10"/>
  <c r="F360" i="10"/>
  <c r="H360" i="10" s="1"/>
  <c r="E346" i="4"/>
  <c r="E525" i="4"/>
  <c r="E536" i="4"/>
  <c r="E758" i="4"/>
  <c r="E523" i="4"/>
  <c r="I3682" i="19" l="1"/>
  <c r="E1195" i="19" l="1"/>
  <c r="F1195" i="19"/>
  <c r="G1198" i="19"/>
  <c r="F1197" i="19"/>
  <c r="H1197" i="19" s="1"/>
  <c r="G2602" i="19"/>
  <c r="G2598" i="19"/>
  <c r="G2593" i="19"/>
  <c r="F2601" i="19"/>
  <c r="H2601" i="19" s="1"/>
  <c r="F2597" i="19"/>
  <c r="H2597" i="19" s="1"/>
  <c r="F2592" i="19"/>
  <c r="H2592" i="19" s="1"/>
  <c r="E454" i="4"/>
  <c r="E866" i="4"/>
  <c r="E865" i="4"/>
  <c r="E864" i="4"/>
  <c r="E863" i="4"/>
  <c r="H1195" i="19" l="1"/>
  <c r="G169" i="19"/>
  <c r="E752" i="10" l="1"/>
  <c r="E753" i="10"/>
  <c r="F1139" i="10" l="1"/>
  <c r="F1134" i="10"/>
  <c r="F1196" i="19" l="1"/>
  <c r="H1196" i="19" s="1"/>
  <c r="E79" i="4"/>
  <c r="F4043" i="19" l="1"/>
  <c r="F4044" i="19"/>
  <c r="F4041" i="19"/>
  <c r="H4041" i="19" s="1"/>
  <c r="F4039" i="19"/>
  <c r="H4039" i="19" s="1"/>
  <c r="F4040" i="19"/>
  <c r="H4040" i="19" s="1"/>
  <c r="H4044" i="19" l="1"/>
  <c r="F37" i="19" l="1"/>
  <c r="G2873" i="19"/>
  <c r="F2872" i="19"/>
  <c r="F2784" i="19"/>
  <c r="H2784" i="19" s="1"/>
  <c r="G2786" i="19"/>
  <c r="F2785" i="19"/>
  <c r="H2785" i="19" s="1"/>
  <c r="F2783" i="19"/>
  <c r="H2783" i="19" s="1"/>
  <c r="G372" i="19" l="1"/>
  <c r="G375" i="19"/>
  <c r="G133" i="10" l="1"/>
  <c r="F1681" i="19" l="1"/>
  <c r="F1679" i="19"/>
  <c r="F348" i="10" l="1"/>
  <c r="D6" i="6" l="1"/>
  <c r="E2906" i="19" l="1"/>
  <c r="F2904" i="19"/>
  <c r="H2904" i="19" s="1"/>
  <c r="E2898" i="19"/>
  <c r="F2713" i="19"/>
  <c r="H2713" i="19" s="1"/>
  <c r="F2741" i="19"/>
  <c r="H2741" i="19" s="1"/>
  <c r="E2729" i="19"/>
  <c r="F2729" i="19"/>
  <c r="F2121" i="19"/>
  <c r="F1758" i="19"/>
  <c r="H1758" i="19" s="1"/>
  <c r="G1429" i="19"/>
  <c r="F1413" i="19"/>
  <c r="H1413" i="19" s="1"/>
  <c r="F991" i="19"/>
  <c r="H991" i="19" s="1"/>
  <c r="F977" i="19"/>
  <c r="H977" i="19" s="1"/>
  <c r="F882" i="19"/>
  <c r="H882" i="19" s="1"/>
  <c r="G426" i="19"/>
  <c r="F103" i="19"/>
  <c r="H103" i="19" s="1"/>
  <c r="F97" i="19"/>
  <c r="H97" i="19" s="1"/>
  <c r="F966" i="10"/>
  <c r="H2729" i="19" l="1"/>
  <c r="F636" i="10" l="1"/>
  <c r="E636" i="10"/>
  <c r="G635" i="10"/>
  <c r="F635" i="10"/>
  <c r="F634" i="10"/>
  <c r="H634" i="10" s="1"/>
  <c r="G632" i="10"/>
  <c r="G630" i="10"/>
  <c r="F630" i="10"/>
  <c r="F626" i="10"/>
  <c r="H626" i="10" s="1"/>
  <c r="F625" i="10"/>
  <c r="H625" i="10" s="1"/>
  <c r="F629" i="10"/>
  <c r="H629" i="10" s="1"/>
  <c r="G628" i="10"/>
  <c r="F628" i="10"/>
  <c r="G627" i="10"/>
  <c r="F627" i="10"/>
  <c r="G453" i="19"/>
  <c r="H627" i="10" l="1"/>
  <c r="H630" i="10"/>
  <c r="H635" i="10"/>
  <c r="H636" i="10"/>
  <c r="H628" i="10"/>
  <c r="F623" i="10"/>
  <c r="E623" i="10"/>
  <c r="F1016" i="10"/>
  <c r="H1016" i="10" s="1"/>
  <c r="F1017" i="10"/>
  <c r="H1017" i="10" s="1"/>
  <c r="F1015" i="10"/>
  <c r="H1015" i="10" s="1"/>
  <c r="G1019" i="10"/>
  <c r="F1020" i="10"/>
  <c r="H1020" i="10" s="1"/>
  <c r="F1023" i="10"/>
  <c r="H1023" i="10" s="1"/>
  <c r="F1024" i="10"/>
  <c r="H1024" i="10" s="1"/>
  <c r="G1026" i="10"/>
  <c r="F1027" i="10"/>
  <c r="H1027" i="10" s="1"/>
  <c r="F1030" i="10"/>
  <c r="H1030" i="10" s="1"/>
  <c r="F1031" i="10"/>
  <c r="H1031" i="10" s="1"/>
  <c r="G1033" i="10"/>
  <c r="F1034" i="10"/>
  <c r="H1034" i="10" s="1"/>
  <c r="F1038" i="10"/>
  <c r="H1038" i="10" s="1"/>
  <c r="F1037" i="10"/>
  <c r="H1037" i="10" s="1"/>
  <c r="G1040" i="10"/>
  <c r="F1041" i="10"/>
  <c r="H1041" i="10" s="1"/>
  <c r="F1045" i="10"/>
  <c r="H1045" i="10" s="1"/>
  <c r="F1046" i="10"/>
  <c r="H1046" i="10" s="1"/>
  <c r="F1044" i="10"/>
  <c r="H1044" i="10" s="1"/>
  <c r="G1047" i="10"/>
  <c r="F1048" i="10"/>
  <c r="G1048" i="10"/>
  <c r="F1052" i="10"/>
  <c r="H1052" i="10" s="1"/>
  <c r="F1053" i="10"/>
  <c r="H1053" i="10" s="1"/>
  <c r="F1051" i="10"/>
  <c r="H1051" i="10" s="1"/>
  <c r="F1054" i="10"/>
  <c r="G1054" i="10"/>
  <c r="G1055" i="10"/>
  <c r="F1056" i="10"/>
  <c r="H1056" i="10" s="1"/>
  <c r="F1059" i="10"/>
  <c r="H1059" i="10" s="1"/>
  <c r="F1063" i="10"/>
  <c r="H1063" i="10" s="1"/>
  <c r="F1062" i="10"/>
  <c r="H1062" i="10" s="1"/>
  <c r="G1064" i="10"/>
  <c r="F1065" i="10"/>
  <c r="G1065" i="10"/>
  <c r="F1069" i="10"/>
  <c r="H1069" i="10" s="1"/>
  <c r="F1068" i="10"/>
  <c r="H1068" i="10" s="1"/>
  <c r="G1070" i="10"/>
  <c r="F1071" i="10"/>
  <c r="H1071" i="10" s="1"/>
  <c r="F1075" i="10"/>
  <c r="H1075" i="10" s="1"/>
  <c r="F1078" i="10"/>
  <c r="G1078" i="10"/>
  <c r="F1077" i="10"/>
  <c r="H1077" i="10" s="1"/>
  <c r="F1074" i="10"/>
  <c r="H1074" i="10" s="1"/>
  <c r="E1076" i="10"/>
  <c r="F1076" i="10"/>
  <c r="G1080" i="10"/>
  <c r="F1083" i="10"/>
  <c r="H1083" i="10" s="1"/>
  <c r="G1085" i="10"/>
  <c r="F1091" i="10"/>
  <c r="H1091" i="10" s="1"/>
  <c r="F1090" i="10"/>
  <c r="H1090" i="10" s="1"/>
  <c r="G1092" i="10"/>
  <c r="F1097" i="10"/>
  <c r="H1097" i="10" s="1"/>
  <c r="F1095" i="10"/>
  <c r="H1095" i="10" s="1"/>
  <c r="F1096" i="10"/>
  <c r="H1096" i="10" s="1"/>
  <c r="G1098" i="10"/>
  <c r="F1103" i="10"/>
  <c r="H1103" i="10" s="1"/>
  <c r="F1101" i="10"/>
  <c r="H1101" i="10" s="1"/>
  <c r="F1102" i="10"/>
  <c r="H1102" i="10" s="1"/>
  <c r="G1104" i="10"/>
  <c r="G1109" i="10"/>
  <c r="F1111" i="10"/>
  <c r="H1111" i="10" s="1"/>
  <c r="F1116" i="10"/>
  <c r="G1116" i="10"/>
  <c r="F1114" i="10"/>
  <c r="G1114" i="10"/>
  <c r="F1113" i="10"/>
  <c r="H1113" i="10" s="1"/>
  <c r="F1115" i="10"/>
  <c r="H1115" i="10" s="1"/>
  <c r="G1118" i="10"/>
  <c r="F1124" i="10"/>
  <c r="G1124" i="10"/>
  <c r="F1122" i="10"/>
  <c r="G1122" i="10"/>
  <c r="F1121" i="10"/>
  <c r="H1121" i="10" s="1"/>
  <c r="F1123" i="10"/>
  <c r="H1123" i="10" s="1"/>
  <c r="G1127" i="10"/>
  <c r="F1130" i="10"/>
  <c r="H1130" i="10" s="1"/>
  <c r="G1131" i="10"/>
  <c r="G1134" i="10"/>
  <c r="H1134" i="10" s="1"/>
  <c r="F1133" i="10"/>
  <c r="H1133" i="10" s="1"/>
  <c r="G1135" i="10"/>
  <c r="G1139" i="10"/>
  <c r="H1139" i="10" s="1"/>
  <c r="F1138" i="10"/>
  <c r="H1138" i="10" s="1"/>
  <c r="G1140" i="10"/>
  <c r="G3896" i="19"/>
  <c r="G3894" i="19"/>
  <c r="F3884" i="19"/>
  <c r="E3887" i="19"/>
  <c r="F3887" i="19"/>
  <c r="H1065" i="10" l="1"/>
  <c r="H623" i="10"/>
  <c r="H1124" i="10"/>
  <c r="H1078" i="10"/>
  <c r="H1116" i="10"/>
  <c r="H1076" i="10"/>
  <c r="H3887" i="19"/>
  <c r="H1114" i="10"/>
  <c r="H1054" i="10"/>
  <c r="H1048" i="10"/>
  <c r="H1122" i="10"/>
  <c r="H3884" i="19"/>
  <c r="F3896" i="19"/>
  <c r="F3886" i="19"/>
  <c r="H3886" i="19" s="1"/>
  <c r="F3885" i="19"/>
  <c r="H3885" i="19" s="1"/>
  <c r="F3882" i="19"/>
  <c r="H3882" i="19" s="1"/>
  <c r="F3883" i="19"/>
  <c r="H3883" i="19" s="1"/>
  <c r="H3896" i="19" l="1"/>
  <c r="F3777" i="19" l="1"/>
  <c r="H3777" i="19" s="1"/>
  <c r="E3771" i="19"/>
  <c r="G3773" i="19"/>
  <c r="E3772" i="19"/>
  <c r="E3769" i="19"/>
  <c r="G3767" i="19"/>
  <c r="F3767" i="19"/>
  <c r="G3764" i="19"/>
  <c r="F3764" i="19"/>
  <c r="E3764" i="19"/>
  <c r="F3766" i="19"/>
  <c r="H3766" i="19" s="1"/>
  <c r="G3765" i="19"/>
  <c r="F3765" i="19"/>
  <c r="E3765" i="19"/>
  <c r="E3749" i="19"/>
  <c r="E3737" i="19"/>
  <c r="E3735" i="19"/>
  <c r="E3741" i="19"/>
  <c r="E3743" i="19"/>
  <c r="E3744" i="19"/>
  <c r="F1232" i="19"/>
  <c r="H1232" i="19" s="1"/>
  <c r="F1231" i="19"/>
  <c r="G1459" i="19"/>
  <c r="F1458" i="19"/>
  <c r="H1458" i="19" s="1"/>
  <c r="F1454" i="19"/>
  <c r="H1454" i="19" s="1"/>
  <c r="F1456" i="19"/>
  <c r="E1456" i="19"/>
  <c r="F1455" i="19"/>
  <c r="H1455" i="19" s="1"/>
  <c r="F1457" i="19"/>
  <c r="H1457" i="19" s="1"/>
  <c r="G1450" i="19"/>
  <c r="E675" i="4"/>
  <c r="E1447" i="19"/>
  <c r="F1449" i="19"/>
  <c r="H1449" i="19" s="1"/>
  <c r="F1444" i="19"/>
  <c r="H1444" i="19" s="1"/>
  <c r="F1445" i="19"/>
  <c r="H1445" i="19" s="1"/>
  <c r="F1447" i="19"/>
  <c r="F1446" i="19"/>
  <c r="H1446" i="19" s="1"/>
  <c r="F1448" i="19"/>
  <c r="H1448" i="19" s="1"/>
  <c r="F2089" i="19"/>
  <c r="H2089" i="19" s="1"/>
  <c r="F2088" i="19"/>
  <c r="F2081" i="19"/>
  <c r="H2081" i="19" s="1"/>
  <c r="F2080" i="19"/>
  <c r="G2075" i="19"/>
  <c r="F2074" i="19"/>
  <c r="F2073" i="19"/>
  <c r="H2073" i="19" s="1"/>
  <c r="G2068" i="19"/>
  <c r="F2067" i="19"/>
  <c r="F2066" i="19"/>
  <c r="H2066" i="19" s="1"/>
  <c r="F2079" i="19"/>
  <c r="H1231" i="19" l="1"/>
  <c r="H1456" i="19"/>
  <c r="H2074" i="19"/>
  <c r="F2072" i="19"/>
  <c r="H2072" i="19" s="1"/>
  <c r="F2087" i="19"/>
  <c r="H2087" i="19" s="1"/>
  <c r="F2065" i="19"/>
  <c r="H2065" i="19" s="1"/>
  <c r="H1447" i="19"/>
  <c r="H3764" i="19"/>
  <c r="H3765" i="19"/>
  <c r="H3767" i="19"/>
  <c r="H2080" i="19"/>
  <c r="H2088" i="19"/>
  <c r="H2067" i="19"/>
  <c r="H2079" i="19"/>
  <c r="G3491" i="19"/>
  <c r="F3490" i="19"/>
  <c r="H3490" i="19" s="1"/>
  <c r="F3489" i="19"/>
  <c r="H3489" i="19" s="1"/>
  <c r="F3488" i="19"/>
  <c r="H3488" i="19" s="1"/>
  <c r="F3487" i="19"/>
  <c r="H3487" i="19" s="1"/>
  <c r="G3476" i="19"/>
  <c r="F3475" i="19"/>
  <c r="H3475" i="19" s="1"/>
  <c r="F3474" i="19"/>
  <c r="H3474" i="19" s="1"/>
  <c r="F3473" i="19"/>
  <c r="H3473" i="19" s="1"/>
  <c r="F3472" i="19"/>
  <c r="H3472" i="19" s="1"/>
  <c r="G3461" i="19"/>
  <c r="F3460" i="19"/>
  <c r="H3460" i="19" s="1"/>
  <c r="F3459" i="19"/>
  <c r="H3459" i="19" s="1"/>
  <c r="F3458" i="19"/>
  <c r="H3458" i="19" s="1"/>
  <c r="F3457" i="19"/>
  <c r="H3457" i="19" s="1"/>
  <c r="F3327" i="19"/>
  <c r="H3327" i="19" s="1"/>
  <c r="G3247" i="19"/>
  <c r="F3244" i="19"/>
  <c r="H3244" i="19" s="1"/>
  <c r="F3246" i="19"/>
  <c r="H3246" i="19" s="1"/>
  <c r="F3245" i="19"/>
  <c r="H3245" i="19" s="1"/>
  <c r="F3242" i="19"/>
  <c r="H3242" i="19" s="1"/>
  <c r="F3227" i="19"/>
  <c r="H3227" i="19" s="1"/>
  <c r="F3229" i="19"/>
  <c r="H3229" i="19" s="1"/>
  <c r="F3228" i="19"/>
  <c r="H3228" i="19" s="1"/>
  <c r="F3225" i="19"/>
  <c r="H3225" i="19" s="1"/>
  <c r="F3210" i="19"/>
  <c r="H3210" i="19" s="1"/>
  <c r="F3212" i="19"/>
  <c r="H3212" i="19" s="1"/>
  <c r="F3211" i="19"/>
  <c r="H3211" i="19" s="1"/>
  <c r="F3208" i="19"/>
  <c r="H3208" i="19" s="1"/>
  <c r="G3196" i="19"/>
  <c r="F3193" i="19"/>
  <c r="H3193" i="19" s="1"/>
  <c r="F3195" i="19"/>
  <c r="H3195" i="19" s="1"/>
  <c r="F3194" i="19"/>
  <c r="H3194" i="19" s="1"/>
  <c r="F3191" i="19"/>
  <c r="H3191" i="19" s="1"/>
  <c r="F3176" i="19"/>
  <c r="H3176" i="19" s="1"/>
  <c r="F3178" i="19"/>
  <c r="H3178" i="19" s="1"/>
  <c r="F3177" i="19"/>
  <c r="H3177" i="19" s="1"/>
  <c r="F3174" i="19"/>
  <c r="H3174" i="19" s="1"/>
  <c r="G3162" i="19"/>
  <c r="F3159" i="19"/>
  <c r="H3159" i="19" s="1"/>
  <c r="F3161" i="19"/>
  <c r="H3161" i="19" s="1"/>
  <c r="F3160" i="19"/>
  <c r="H3160" i="19" s="1"/>
  <c r="F3157" i="19"/>
  <c r="H3157" i="19" s="1"/>
  <c r="G3145" i="19"/>
  <c r="F3142" i="19"/>
  <c r="H3142" i="19" s="1"/>
  <c r="F3144" i="19"/>
  <c r="H3144" i="19" s="1"/>
  <c r="F3143" i="19"/>
  <c r="H3143" i="19" s="1"/>
  <c r="F3140" i="19"/>
  <c r="H3140" i="19" s="1"/>
  <c r="G3128" i="19"/>
  <c r="F3125" i="19"/>
  <c r="H3125" i="19" s="1"/>
  <c r="F3127" i="19"/>
  <c r="H3127" i="19" s="1"/>
  <c r="F3126" i="19"/>
  <c r="H3126" i="19" s="1"/>
  <c r="F3123" i="19"/>
  <c r="H3123" i="19" s="1"/>
  <c r="F3209" i="19" l="1"/>
  <c r="H3209" i="19" s="1"/>
  <c r="F3243" i="19"/>
  <c r="H3243" i="19" s="1"/>
  <c r="F3226" i="19"/>
  <c r="H3226" i="19" s="1"/>
  <c r="F3192" i="19"/>
  <c r="H3192" i="19" s="1"/>
  <c r="F3175" i="19"/>
  <c r="H3175" i="19" s="1"/>
  <c r="F3158" i="19"/>
  <c r="H3158" i="19" s="1"/>
  <c r="F3141" i="19"/>
  <c r="H3141" i="19" s="1"/>
  <c r="F3124" i="19"/>
  <c r="H3124" i="19" s="1"/>
  <c r="F2840" i="19" l="1"/>
  <c r="H2840" i="19" s="1"/>
  <c r="F2844" i="19"/>
  <c r="H2844" i="19" s="1"/>
  <c r="F2848" i="19"/>
  <c r="H2848" i="19" s="1"/>
  <c r="F2852" i="19"/>
  <c r="H2852" i="19" s="1"/>
  <c r="F2856" i="19"/>
  <c r="H2856" i="19" s="1"/>
  <c r="F2860" i="19"/>
  <c r="H2860" i="19" s="1"/>
  <c r="F2864" i="19" l="1"/>
  <c r="H2864" i="19" s="1"/>
  <c r="F2868" i="19"/>
  <c r="H2868" i="19" s="1"/>
  <c r="F2689" i="19"/>
  <c r="H2872" i="19"/>
  <c r="F2639" i="19" l="1"/>
  <c r="H2639" i="19" s="1"/>
  <c r="F2633" i="19"/>
  <c r="H2633" i="19" s="1"/>
  <c r="F1163" i="19"/>
  <c r="F1159" i="19"/>
  <c r="H1159" i="19" s="1"/>
  <c r="F1155" i="19"/>
  <c r="F3737" i="19" l="1"/>
  <c r="G3737" i="19"/>
  <c r="F3738" i="19"/>
  <c r="H3738" i="19" s="1"/>
  <c r="F3735" i="19"/>
  <c r="G3735" i="19"/>
  <c r="F3736" i="19"/>
  <c r="H3736" i="19" s="1"/>
  <c r="F3739" i="19"/>
  <c r="G3739" i="19"/>
  <c r="F2502" i="19"/>
  <c r="H2502" i="19" s="1"/>
  <c r="F2490" i="19"/>
  <c r="H2490" i="19" s="1"/>
  <c r="F2482" i="19"/>
  <c r="H2482" i="19" s="1"/>
  <c r="F2474" i="19"/>
  <c r="H2474" i="19" s="1"/>
  <c r="H3737" i="19" l="1"/>
  <c r="H3739" i="19"/>
  <c r="H3735" i="19"/>
  <c r="F2523" i="19"/>
  <c r="H2523" i="19" s="1"/>
  <c r="F2519" i="19"/>
  <c r="H2519" i="19" s="1"/>
  <c r="E2517" i="19"/>
  <c r="E2516" i="19"/>
  <c r="F2522" i="19"/>
  <c r="H2522" i="19" s="1"/>
  <c r="F2521" i="19"/>
  <c r="H2521" i="19" s="1"/>
  <c r="F2517" i="19"/>
  <c r="F2516" i="19"/>
  <c r="F2515" i="19"/>
  <c r="H2515" i="19" s="1"/>
  <c r="F1842" i="19"/>
  <c r="H1842" i="19" s="1"/>
  <c r="G1845" i="19"/>
  <c r="G3813" i="19"/>
  <c r="F3813" i="19"/>
  <c r="G3812" i="19"/>
  <c r="F3808" i="19"/>
  <c r="H3808" i="19" s="1"/>
  <c r="F3809" i="19"/>
  <c r="H3809" i="19" s="1"/>
  <c r="F3810" i="19"/>
  <c r="H3810" i="19" s="1"/>
  <c r="F3806" i="19"/>
  <c r="H3806" i="19" s="1"/>
  <c r="F3807" i="19"/>
  <c r="H3807" i="19" s="1"/>
  <c r="F3805" i="19"/>
  <c r="H3805" i="19" s="1"/>
  <c r="H2517" i="19" l="1"/>
  <c r="H2516" i="19"/>
  <c r="H3813" i="19"/>
  <c r="F2201" i="19"/>
  <c r="H2201" i="19" s="1"/>
  <c r="F2289" i="19"/>
  <c r="H2289" i="19" s="1"/>
  <c r="F2278" i="19"/>
  <c r="H2278" i="19" s="1"/>
  <c r="G1733" i="19" l="1"/>
  <c r="F1732" i="19"/>
  <c r="H1732" i="19" s="1"/>
  <c r="F1729" i="19"/>
  <c r="H1729" i="19" s="1"/>
  <c r="F1731" i="19"/>
  <c r="H1731" i="19" s="1"/>
  <c r="F1730" i="19"/>
  <c r="H1730" i="19" s="1"/>
  <c r="G1768" i="19"/>
  <c r="F1767" i="19"/>
  <c r="H1767" i="19" s="1"/>
  <c r="F1764" i="19"/>
  <c r="H1764" i="19" s="1"/>
  <c r="F1766" i="19"/>
  <c r="H1766" i="19" s="1"/>
  <c r="F1765" i="19"/>
  <c r="H1765" i="19" s="1"/>
  <c r="F1843" i="19"/>
  <c r="H1843" i="19" s="1"/>
  <c r="F1844" i="19"/>
  <c r="H1844" i="19" s="1"/>
  <c r="F1815" i="19"/>
  <c r="H1815" i="19" s="1"/>
  <c r="G1820" i="19" l="1"/>
  <c r="G1818" i="19"/>
  <c r="F1813" i="19"/>
  <c r="H1813" i="19" s="1"/>
  <c r="F1810" i="19"/>
  <c r="H1810" i="19" s="1"/>
  <c r="F1814" i="19"/>
  <c r="H1814" i="19" s="1"/>
  <c r="F1816" i="19"/>
  <c r="H1816" i="19" s="1"/>
  <c r="G1817" i="19"/>
  <c r="F1817" i="19"/>
  <c r="F1811" i="19"/>
  <c r="H1811" i="19" s="1"/>
  <c r="F1812" i="19"/>
  <c r="H1812" i="19" s="1"/>
  <c r="F1794" i="19"/>
  <c r="H1794" i="19" s="1"/>
  <c r="F1792" i="19"/>
  <c r="H1792" i="19" s="1"/>
  <c r="F1795" i="19"/>
  <c r="H1795" i="19" s="1"/>
  <c r="F1793" i="19"/>
  <c r="H1793" i="19" s="1"/>
  <c r="H1817" i="19" l="1"/>
  <c r="F1780" i="19"/>
  <c r="H1780" i="19" s="1"/>
  <c r="F1778" i="19"/>
  <c r="H1778" i="19" s="1"/>
  <c r="F1781" i="19"/>
  <c r="H1781" i="19" s="1"/>
  <c r="F1779" i="19"/>
  <c r="H1779" i="19" s="1"/>
  <c r="F1774" i="19"/>
  <c r="H1774" i="19" s="1"/>
  <c r="F1771" i="19"/>
  <c r="H1771" i="19" s="1"/>
  <c r="F1773" i="19"/>
  <c r="H1773" i="19" s="1"/>
  <c r="F1772" i="19"/>
  <c r="H1772" i="19" s="1"/>
  <c r="G1754" i="19"/>
  <c r="F1752" i="19"/>
  <c r="H1752" i="19" s="1"/>
  <c r="F1750" i="19"/>
  <c r="H1750" i="19" s="1"/>
  <c r="F1753" i="19"/>
  <c r="H1753" i="19" s="1"/>
  <c r="F1751" i="19"/>
  <c r="H1751" i="19" s="1"/>
  <c r="G1747" i="19"/>
  <c r="F1745" i="19"/>
  <c r="H1745" i="19" s="1"/>
  <c r="F1743" i="19"/>
  <c r="H1743" i="19" s="1"/>
  <c r="F1746" i="19"/>
  <c r="H1746" i="19" s="1"/>
  <c r="F1744" i="19"/>
  <c r="H1744" i="19" s="1"/>
  <c r="G1740" i="19"/>
  <c r="F1739" i="19"/>
  <c r="H1739" i="19" s="1"/>
  <c r="F1736" i="19"/>
  <c r="H1736" i="19" s="1"/>
  <c r="F1738" i="19"/>
  <c r="H1738" i="19" s="1"/>
  <c r="F1737" i="19"/>
  <c r="H1737" i="19" s="1"/>
  <c r="F1520" i="19"/>
  <c r="H1520" i="19" s="1"/>
  <c r="F1526" i="19"/>
  <c r="H1526" i="19" s="1"/>
  <c r="F1556" i="19"/>
  <c r="H1556" i="19" s="1"/>
  <c r="F1604" i="19"/>
  <c r="H1604" i="19" s="1"/>
  <c r="F1636" i="19"/>
  <c r="H1636" i="19" s="1"/>
  <c r="F1643" i="19"/>
  <c r="H1643" i="19" s="1"/>
  <c r="F1652" i="19"/>
  <c r="H1652" i="19" s="1"/>
  <c r="G1675" i="19"/>
  <c r="F1718" i="19"/>
  <c r="H1718" i="19" s="1"/>
  <c r="F1825" i="19"/>
  <c r="H1825" i="19" s="1"/>
  <c r="F1925" i="19"/>
  <c r="H1925" i="19" s="1"/>
  <c r="F1934" i="19"/>
  <c r="H1934" i="19" s="1"/>
  <c r="F1945" i="19"/>
  <c r="H1945" i="19" s="1"/>
  <c r="F1865" i="19"/>
  <c r="H1865" i="19" s="1"/>
  <c r="F1883" i="19"/>
  <c r="H1883" i="19" s="1"/>
  <c r="F1901" i="19"/>
  <c r="H1901" i="19" s="1"/>
  <c r="F1725" i="19"/>
  <c r="H1725" i="19" s="1"/>
  <c r="F1722" i="19"/>
  <c r="H1722" i="19" s="1"/>
  <c r="F1724" i="19"/>
  <c r="H1724" i="19" s="1"/>
  <c r="G1726" i="19"/>
  <c r="F1723" i="19"/>
  <c r="H1723" i="19" s="1"/>
  <c r="F1642" i="19"/>
  <c r="H1642" i="19" s="1"/>
  <c r="G1631" i="19"/>
  <c r="G1629" i="19"/>
  <c r="F1623" i="19"/>
  <c r="H1623" i="19" s="1"/>
  <c r="F1626" i="19"/>
  <c r="H1626" i="19" s="1"/>
  <c r="F1628" i="19"/>
  <c r="H1628" i="19" s="1"/>
  <c r="F1627" i="19"/>
  <c r="H1627" i="19" s="1"/>
  <c r="F1624" i="19"/>
  <c r="H1624" i="19" s="1"/>
  <c r="F1625" i="19"/>
  <c r="H1625" i="19" s="1"/>
  <c r="G1598" i="19"/>
  <c r="F1597" i="19"/>
  <c r="H1597" i="19" s="1"/>
  <c r="F1594" i="19"/>
  <c r="H1594" i="19" s="1"/>
  <c r="F1596" i="19"/>
  <c r="H1596" i="19" s="1"/>
  <c r="F1595" i="19"/>
  <c r="H1595" i="19" s="1"/>
  <c r="F1685" i="19" l="1"/>
  <c r="F1680" i="19"/>
  <c r="H1680" i="19" s="1"/>
  <c r="H1681" i="19"/>
  <c r="H1679" i="19"/>
  <c r="H1685" i="19" l="1"/>
  <c r="G1330" i="19"/>
  <c r="E1326" i="19"/>
  <c r="E1324" i="19"/>
  <c r="E1323" i="19"/>
  <c r="E1329" i="19"/>
  <c r="E1328" i="19"/>
  <c r="E1325" i="19"/>
  <c r="G1306" i="19"/>
  <c r="E1303" i="19"/>
  <c r="E1300" i="19"/>
  <c r="E1299" i="19"/>
  <c r="E1305" i="19"/>
  <c r="E1304" i="19"/>
  <c r="F1326" i="19"/>
  <c r="F1324" i="19"/>
  <c r="F1323" i="19"/>
  <c r="F1329" i="19"/>
  <c r="F1328" i="19"/>
  <c r="F1325" i="19"/>
  <c r="F1327" i="19"/>
  <c r="H1327" i="19" s="1"/>
  <c r="F1322" i="19"/>
  <c r="H1322" i="19" s="1"/>
  <c r="F1303" i="19"/>
  <c r="F1300" i="19"/>
  <c r="F1299" i="19"/>
  <c r="F1305" i="19"/>
  <c r="F1304" i="19"/>
  <c r="H1304" i="19" s="1"/>
  <c r="F1301" i="19"/>
  <c r="F1302" i="19"/>
  <c r="H1302" i="19" s="1"/>
  <c r="F1298" i="19"/>
  <c r="H1298" i="19" s="1"/>
  <c r="H1301" i="19" l="1"/>
  <c r="H1325" i="19"/>
  <c r="H1305" i="19"/>
  <c r="H1299" i="19"/>
  <c r="H1329" i="19"/>
  <c r="H1300" i="19"/>
  <c r="H1324" i="19"/>
  <c r="H1303" i="19"/>
  <c r="H1328" i="19"/>
  <c r="H1326" i="19"/>
  <c r="H1323" i="19"/>
  <c r="G1294" i="19"/>
  <c r="F1291" i="19"/>
  <c r="H1291" i="19" s="1"/>
  <c r="F1287" i="19"/>
  <c r="H1287" i="19" s="1"/>
  <c r="F1289" i="19"/>
  <c r="H1289" i="19" s="1"/>
  <c r="F1286" i="19"/>
  <c r="H1286" i="19" s="1"/>
  <c r="F1293" i="19"/>
  <c r="H1293" i="19" s="1"/>
  <c r="F1292" i="19"/>
  <c r="H1292" i="19" s="1"/>
  <c r="F1288" i="19"/>
  <c r="F1290" i="19"/>
  <c r="H1290" i="19" s="1"/>
  <c r="F1285" i="19"/>
  <c r="H1285" i="19" s="1"/>
  <c r="H1288" i="19" l="1"/>
  <c r="F613" i="19"/>
  <c r="H613" i="19" s="1"/>
  <c r="F608" i="19"/>
  <c r="H608" i="19" s="1"/>
  <c r="F603" i="19"/>
  <c r="H603" i="19" s="1"/>
  <c r="F601" i="19"/>
  <c r="F600" i="19"/>
  <c r="F596" i="19"/>
  <c r="H596" i="19" s="1"/>
  <c r="F594" i="19"/>
  <c r="F593" i="19"/>
  <c r="F589" i="19"/>
  <c r="H589" i="19" s="1"/>
  <c r="F587" i="19"/>
  <c r="F582" i="19"/>
  <c r="H582" i="19" s="1"/>
  <c r="F580" i="19"/>
  <c r="F566" i="19"/>
  <c r="F565" i="19"/>
  <c r="F563" i="19"/>
  <c r="F559" i="19"/>
  <c r="H559" i="19" s="1"/>
  <c r="F558" i="19"/>
  <c r="H558" i="19" s="1"/>
  <c r="G462" i="19" l="1"/>
  <c r="G461" i="19"/>
  <c r="B13" i="4" l="1"/>
  <c r="B16" i="4"/>
  <c r="F307" i="19"/>
  <c r="F306" i="19"/>
  <c r="G187" i="19"/>
  <c r="G186" i="19"/>
  <c r="G190" i="19"/>
  <c r="G188" i="19"/>
  <c r="F188" i="19"/>
  <c r="G265" i="19"/>
  <c r="F263" i="19"/>
  <c r="H263" i="19" s="1"/>
  <c r="F284" i="19"/>
  <c r="F287" i="19"/>
  <c r="F286" i="19"/>
  <c r="F285" i="19"/>
  <c r="F276" i="19"/>
  <c r="F275" i="19"/>
  <c r="F277" i="19"/>
  <c r="F270" i="19"/>
  <c r="F268" i="19"/>
  <c r="F271" i="19"/>
  <c r="F269" i="19"/>
  <c r="F264" i="19"/>
  <c r="F262" i="19"/>
  <c r="F261" i="19"/>
  <c r="F255" i="19"/>
  <c r="F256" i="19"/>
  <c r="F257" i="19"/>
  <c r="F253" i="19"/>
  <c r="F254" i="19"/>
  <c r="F249" i="19"/>
  <c r="F248" i="19"/>
  <c r="F247" i="19"/>
  <c r="F243" i="19"/>
  <c r="F242" i="19"/>
  <c r="F239" i="19"/>
  <c r="F238" i="19"/>
  <c r="F225" i="19"/>
  <c r="F218" i="19"/>
  <c r="F219" i="19"/>
  <c r="F215" i="19"/>
  <c r="F201" i="19"/>
  <c r="F172" i="19"/>
  <c r="F168" i="19"/>
  <c r="F166" i="19"/>
  <c r="F154" i="19"/>
  <c r="F158" i="19"/>
  <c r="F157" i="19"/>
  <c r="F161" i="19"/>
  <c r="F162" i="19"/>
  <c r="F159" i="19"/>
  <c r="F151" i="10" s="1"/>
  <c r="H151" i="10" s="1"/>
  <c r="F160" i="19"/>
  <c r="F163" i="19"/>
  <c r="F151" i="19"/>
  <c r="F145" i="19"/>
  <c r="F145" i="10" s="1"/>
  <c r="H145" i="10" s="1"/>
  <c r="F2116" i="19" l="1"/>
  <c r="H2116" i="19" s="1"/>
  <c r="F2109" i="19"/>
  <c r="H2109" i="19" s="1"/>
  <c r="H188" i="19"/>
  <c r="H254" i="19"/>
  <c r="H253" i="19"/>
  <c r="H257" i="19"/>
  <c r="H256" i="19"/>
  <c r="H255" i="19"/>
  <c r="G258" i="19"/>
  <c r="H168" i="19"/>
  <c r="G258" i="10" l="1"/>
  <c r="E751" i="10"/>
  <c r="E528" i="10" l="1"/>
  <c r="E529" i="10"/>
  <c r="F527" i="10"/>
  <c r="E527" i="10"/>
  <c r="H502" i="10"/>
  <c r="H497" i="10"/>
  <c r="G112" i="10"/>
  <c r="E517" i="10"/>
  <c r="E516" i="10"/>
  <c r="E514" i="10"/>
  <c r="E515" i="10"/>
  <c r="E509" i="10"/>
  <c r="E508" i="10"/>
  <c r="E510" i="10"/>
  <c r="E511" i="10"/>
  <c r="E513" i="10"/>
  <c r="E512" i="10"/>
  <c r="F509" i="10"/>
  <c r="F526" i="10"/>
  <c r="H526" i="10" s="1"/>
  <c r="H509" i="10" l="1"/>
  <c r="H527" i="10"/>
  <c r="G76" i="10" l="1"/>
  <c r="F2491" i="19" l="1"/>
  <c r="H2491" i="19" s="1"/>
  <c r="F1495" i="19" l="1"/>
  <c r="H1495" i="19" s="1"/>
  <c r="F1486" i="19"/>
  <c r="H1486" i="19" s="1"/>
  <c r="G1834" i="19" l="1"/>
  <c r="F1832" i="19"/>
  <c r="H1832" i="19" s="1"/>
  <c r="F1833" i="19"/>
  <c r="H1833" i="19" s="1"/>
  <c r="E1664" i="19"/>
  <c r="F1545" i="19"/>
  <c r="H1545" i="19" s="1"/>
  <c r="F1542" i="19"/>
  <c r="H1542" i="19" s="1"/>
  <c r="F1544" i="19"/>
  <c r="H1544" i="19" s="1"/>
  <c r="G1712" i="19"/>
  <c r="F1710" i="19"/>
  <c r="H1710" i="19" s="1"/>
  <c r="F1708" i="19"/>
  <c r="H1708" i="19" s="1"/>
  <c r="F1711" i="19"/>
  <c r="H1711" i="19" s="1"/>
  <c r="F1709" i="19"/>
  <c r="H1709" i="19" s="1"/>
  <c r="F1547" i="19"/>
  <c r="H1547" i="19" s="1"/>
  <c r="E503" i="10" l="1"/>
  <c r="H503" i="10" s="1"/>
  <c r="E498" i="10"/>
  <c r="H498" i="10" s="1"/>
  <c r="G499" i="10" l="1"/>
  <c r="F1507" i="19"/>
  <c r="H1507" i="19" s="1"/>
  <c r="F1503" i="19"/>
  <c r="H1503" i="19" s="1"/>
  <c r="F1501" i="19"/>
  <c r="H1501" i="19" s="1"/>
  <c r="F1502" i="19"/>
  <c r="H1502" i="19" s="1"/>
  <c r="G1499" i="19" l="1"/>
  <c r="F1499" i="19"/>
  <c r="H1499" i="19" s="1"/>
  <c r="G1497" i="19"/>
  <c r="F1493" i="19"/>
  <c r="E1493" i="19"/>
  <c r="F1496" i="19"/>
  <c r="H1496" i="19" s="1"/>
  <c r="F1494" i="19"/>
  <c r="H1494" i="19" s="1"/>
  <c r="F1491" i="19"/>
  <c r="H1491" i="19" s="1"/>
  <c r="F1492" i="19"/>
  <c r="H1492" i="19" s="1"/>
  <c r="E1483" i="19"/>
  <c r="F1485" i="19"/>
  <c r="H1485" i="19" s="1"/>
  <c r="F1483" i="19"/>
  <c r="G1489" i="19"/>
  <c r="F1489" i="19"/>
  <c r="H1489" i="19" s="1"/>
  <c r="G1487" i="19"/>
  <c r="F1484" i="19"/>
  <c r="H1484" i="19" s="1"/>
  <c r="F1481" i="19"/>
  <c r="H1481" i="19" s="1"/>
  <c r="F1482" i="19"/>
  <c r="H1482" i="19" s="1"/>
  <c r="H1493" i="19" l="1"/>
  <c r="H1483" i="19"/>
  <c r="F3429" i="19"/>
  <c r="H3429" i="19" s="1"/>
  <c r="F3422" i="19"/>
  <c r="H3422" i="19" s="1"/>
  <c r="F1364" i="19" l="1"/>
  <c r="H1364" i="19" s="1"/>
  <c r="F542" i="10" l="1"/>
  <c r="H542" i="10" s="1"/>
  <c r="E930" i="4"/>
  <c r="F153" i="10" s="1"/>
  <c r="H153" i="10" s="1"/>
  <c r="F13" i="19" l="1"/>
  <c r="H13" i="19" s="1"/>
  <c r="F2378" i="19" l="1"/>
  <c r="F3802" i="19"/>
  <c r="F268" i="10" l="1"/>
  <c r="H268" i="10" s="1"/>
  <c r="F1479" i="19"/>
  <c r="F1895" i="19"/>
  <c r="H1895" i="19" l="1"/>
  <c r="F1787" i="19" l="1"/>
  <c r="H1787" i="19" s="1"/>
  <c r="F1785" i="19"/>
  <c r="H1785" i="19" s="1"/>
  <c r="F1788" i="19"/>
  <c r="H1788" i="19" s="1"/>
  <c r="F1786" i="19"/>
  <c r="H1786" i="19" s="1"/>
  <c r="G1605" i="19"/>
  <c r="F1603" i="19"/>
  <c r="H1603" i="19" s="1"/>
  <c r="F1601" i="19"/>
  <c r="H1601" i="19" s="1"/>
  <c r="F1602" i="19"/>
  <c r="H1602" i="19" s="1"/>
  <c r="G1705" i="19" l="1"/>
  <c r="F1703" i="19"/>
  <c r="H1703" i="19" s="1"/>
  <c r="F1701" i="19"/>
  <c r="H1701" i="19" s="1"/>
  <c r="F1704" i="19"/>
  <c r="H1704" i="19" s="1"/>
  <c r="F1702" i="19"/>
  <c r="H1702" i="19" s="1"/>
  <c r="G983" i="10" l="1"/>
  <c r="F982" i="10"/>
  <c r="H982" i="10" s="1"/>
  <c r="G2802" i="19" l="1"/>
  <c r="G2869" i="19" l="1"/>
  <c r="G2865" i="19"/>
  <c r="G2861" i="19"/>
  <c r="G2857" i="19"/>
  <c r="G2853" i="19"/>
  <c r="G2849" i="19"/>
  <c r="G2845" i="19"/>
  <c r="G2841" i="19"/>
  <c r="G1906" i="19"/>
  <c r="F1905" i="19"/>
  <c r="H1905" i="19" s="1"/>
  <c r="F1902" i="19"/>
  <c r="H1902" i="19" s="1"/>
  <c r="F1904" i="19"/>
  <c r="H1904" i="19" s="1"/>
  <c r="F1903" i="19"/>
  <c r="H1903" i="19" s="1"/>
  <c r="G1888" i="19"/>
  <c r="F1887" i="19"/>
  <c r="H1887" i="19" s="1"/>
  <c r="F1884" i="19"/>
  <c r="H1884" i="19" s="1"/>
  <c r="F1886" i="19"/>
  <c r="H1886" i="19" s="1"/>
  <c r="F1885" i="19"/>
  <c r="H1885" i="19" s="1"/>
  <c r="G1870" i="19"/>
  <c r="F1869" i="19"/>
  <c r="H1869" i="19" s="1"/>
  <c r="F1866" i="19"/>
  <c r="H1866" i="19" s="1"/>
  <c r="F1868" i="19"/>
  <c r="H1868" i="19" s="1"/>
  <c r="F1867" i="19"/>
  <c r="H1867" i="19" s="1"/>
  <c r="H284" i="19"/>
  <c r="H287" i="19"/>
  <c r="H286" i="19"/>
  <c r="H285" i="19"/>
  <c r="C32" i="6" l="1"/>
  <c r="D32" i="6" s="1"/>
  <c r="E32" i="6" s="1"/>
  <c r="F32" i="6" s="1"/>
  <c r="C33" i="6" l="1"/>
  <c r="C39" i="6"/>
  <c r="C36" i="6" l="1"/>
  <c r="C37" i="6"/>
  <c r="C34" i="6"/>
  <c r="C38" i="6"/>
  <c r="G213" i="19" l="1"/>
  <c r="G215" i="19"/>
  <c r="G867" i="10"/>
  <c r="F1144" i="19" l="1"/>
  <c r="H1144" i="19" s="1"/>
  <c r="F1148" i="19"/>
  <c r="F1146" i="19"/>
  <c r="F1145" i="19"/>
  <c r="F1147" i="19"/>
  <c r="H1147" i="19" s="1"/>
  <c r="F1153" i="19"/>
  <c r="H1153" i="19" s="1"/>
  <c r="F1157" i="19"/>
  <c r="H1157" i="19" s="1"/>
  <c r="F1161" i="19"/>
  <c r="H1161" i="19" s="1"/>
  <c r="F3899" i="19"/>
  <c r="H3899" i="19" s="1"/>
  <c r="F3900" i="19"/>
  <c r="H3900" i="19" s="1"/>
  <c r="F3907" i="19"/>
  <c r="H3907" i="19" s="1"/>
  <c r="F3906" i="19"/>
  <c r="H3906" i="19" s="1"/>
  <c r="F2587" i="19"/>
  <c r="H2587" i="19" s="1"/>
  <c r="F1504" i="19"/>
  <c r="H1504" i="19" s="1"/>
  <c r="C46" i="6" l="1"/>
  <c r="F132" i="19" l="1"/>
  <c r="E993" i="4"/>
  <c r="F1145" i="10" s="1"/>
  <c r="H1145" i="10" s="1"/>
  <c r="F1144" i="10" s="1"/>
  <c r="E936" i="4"/>
  <c r="F362" i="10" s="1"/>
  <c r="H362" i="10" s="1"/>
  <c r="E980" i="4"/>
  <c r="F375" i="19" s="1"/>
  <c r="H375" i="19" s="1"/>
  <c r="F323" i="10" l="1"/>
  <c r="H323" i="10" s="1"/>
  <c r="F1007" i="19" l="1"/>
  <c r="F1004" i="19"/>
  <c r="H1004" i="19" s="1"/>
  <c r="F1003" i="19"/>
  <c r="H1003" i="19" s="1"/>
  <c r="F1005" i="19"/>
  <c r="H1005" i="19" s="1"/>
  <c r="F1006" i="19"/>
  <c r="F484" i="10" l="1"/>
  <c r="H484" i="10" s="1"/>
  <c r="F470" i="10"/>
  <c r="H470" i="10" s="1"/>
  <c r="F456" i="10"/>
  <c r="H456" i="10" s="1"/>
  <c r="F442" i="10"/>
  <c r="H442" i="10" s="1"/>
  <c r="F241" i="10"/>
  <c r="H241" i="10" s="1"/>
  <c r="F1137" i="19"/>
  <c r="H1137" i="19" s="1"/>
  <c r="F1135" i="19"/>
  <c r="H1135" i="19" s="1"/>
  <c r="F1138" i="19"/>
  <c r="H1138" i="19" s="1"/>
  <c r="F1136" i="19"/>
  <c r="H1136" i="19" s="1"/>
  <c r="F1139" i="19"/>
  <c r="F3912" i="19"/>
  <c r="H3912" i="19" s="1"/>
  <c r="F2153" i="19"/>
  <c r="H2153" i="19" s="1"/>
  <c r="F2152" i="19"/>
  <c r="H2152" i="19" s="1"/>
  <c r="F1971" i="19"/>
  <c r="H1971" i="19" s="1"/>
  <c r="F4048" i="19"/>
  <c r="H4048" i="19" s="1"/>
  <c r="F4035" i="19"/>
  <c r="H4035" i="19" s="1"/>
  <c r="F4031" i="19"/>
  <c r="H4031" i="19" s="1"/>
  <c r="F4032" i="19"/>
  <c r="H4032" i="19" s="1"/>
  <c r="F4034" i="19"/>
  <c r="H4034" i="19" s="1"/>
  <c r="F4033" i="19"/>
  <c r="H4033" i="19" s="1"/>
  <c r="F4026" i="19"/>
  <c r="H4026" i="19" s="1"/>
  <c r="F4023" i="19"/>
  <c r="H4023" i="19" s="1"/>
  <c r="F4024" i="19"/>
  <c r="H4024" i="19" s="1"/>
  <c r="F4025" i="19"/>
  <c r="H4025" i="19" s="1"/>
  <c r="F4027" i="19"/>
  <c r="H4027" i="19" s="1"/>
  <c r="F4018" i="19"/>
  <c r="H4018" i="19" s="1"/>
  <c r="F4015" i="19"/>
  <c r="H4015" i="19" s="1"/>
  <c r="F4016" i="19"/>
  <c r="H4016" i="19" s="1"/>
  <c r="F4017" i="19"/>
  <c r="H4017" i="19" s="1"/>
  <c r="F4019" i="19"/>
  <c r="H4019" i="19" s="1"/>
  <c r="F4002" i="19"/>
  <c r="H4002" i="19" s="1"/>
  <c r="F3999" i="19"/>
  <c r="H3999" i="19" s="1"/>
  <c r="F4000" i="19"/>
  <c r="H4000" i="19" s="1"/>
  <c r="F4001" i="19"/>
  <c r="H4001" i="19" s="1"/>
  <c r="F4003" i="19"/>
  <c r="H4003" i="19" s="1"/>
  <c r="F3994" i="19"/>
  <c r="H3994" i="19" s="1"/>
  <c r="F3991" i="19"/>
  <c r="H3991" i="19" s="1"/>
  <c r="F3992" i="19"/>
  <c r="H3992" i="19" s="1"/>
  <c r="F3993" i="19"/>
  <c r="H3993" i="19" s="1"/>
  <c r="F3995" i="19"/>
  <c r="H3995" i="19" s="1"/>
  <c r="F3986" i="19"/>
  <c r="H3986" i="19" s="1"/>
  <c r="F3983" i="19"/>
  <c r="H3983" i="19" s="1"/>
  <c r="F3984" i="19"/>
  <c r="H3984" i="19" s="1"/>
  <c r="F3985" i="19"/>
  <c r="H3985" i="19" s="1"/>
  <c r="F3987" i="19"/>
  <c r="H3987" i="19" s="1"/>
  <c r="F3978" i="19"/>
  <c r="H3978" i="19" s="1"/>
  <c r="F3975" i="19"/>
  <c r="H3975" i="19" s="1"/>
  <c r="F3976" i="19"/>
  <c r="H3976" i="19" s="1"/>
  <c r="F3977" i="19"/>
  <c r="H3977" i="19" s="1"/>
  <c r="F3979" i="19"/>
  <c r="H3979" i="19" s="1"/>
  <c r="F3970" i="19"/>
  <c r="H3970" i="19" s="1"/>
  <c r="F3967" i="19"/>
  <c r="H3967" i="19" s="1"/>
  <c r="F3968" i="19"/>
  <c r="H3968" i="19" s="1"/>
  <c r="F3969" i="19"/>
  <c r="H3969" i="19" s="1"/>
  <c r="F3971" i="19"/>
  <c r="H3971" i="19" s="1"/>
  <c r="F4010" i="19"/>
  <c r="H4010" i="19" s="1"/>
  <c r="F4007" i="19"/>
  <c r="H4007" i="19" s="1"/>
  <c r="F4008" i="19"/>
  <c r="H4008" i="19" s="1"/>
  <c r="F4009" i="19"/>
  <c r="H4009" i="19" s="1"/>
  <c r="F4011" i="19"/>
  <c r="H4011" i="19" s="1"/>
  <c r="F3947" i="19"/>
  <c r="H3947" i="19" s="1"/>
  <c r="F3949" i="19"/>
  <c r="H3949" i="19" s="1"/>
  <c r="F3948" i="19"/>
  <c r="H3948" i="19" s="1"/>
  <c r="F3946" i="19"/>
  <c r="H3946" i="19" s="1"/>
  <c r="F3940" i="19"/>
  <c r="H3940" i="19" s="1"/>
  <c r="F3941" i="19"/>
  <c r="H3941" i="19" s="1"/>
  <c r="F3933" i="19"/>
  <c r="H3933" i="19" s="1"/>
  <c r="F3934" i="19"/>
  <c r="H3934" i="19" s="1"/>
  <c r="F3935" i="19"/>
  <c r="H3935" i="19" s="1"/>
  <c r="F3926" i="19"/>
  <c r="H3926" i="19" s="1"/>
  <c r="F3928" i="19"/>
  <c r="H3928" i="19" s="1"/>
  <c r="F3927" i="19"/>
  <c r="H3927" i="19" s="1"/>
  <c r="F3919" i="19"/>
  <c r="H3919" i="19" s="1"/>
  <c r="F3921" i="19"/>
  <c r="H3921" i="19" s="1"/>
  <c r="F3920" i="19"/>
  <c r="H3920" i="19" s="1"/>
  <c r="F2935" i="19"/>
  <c r="H2935" i="19" s="1"/>
  <c r="F2924" i="19"/>
  <c r="H2924" i="19" s="1"/>
  <c r="F2926" i="19"/>
  <c r="H2926" i="19" s="1"/>
  <c r="F2923" i="19"/>
  <c r="H2923" i="19" s="1"/>
  <c r="F2925" i="19"/>
  <c r="H2925" i="19" s="1"/>
  <c r="F2912" i="19"/>
  <c r="H2912" i="19" s="1"/>
  <c r="F2914" i="19"/>
  <c r="H2914" i="19" s="1"/>
  <c r="F2911" i="19"/>
  <c r="H2911" i="19" s="1"/>
  <c r="F2913" i="19"/>
  <c r="H2913" i="19" s="1"/>
  <c r="F3685" i="19"/>
  <c r="H3685" i="19" s="1"/>
  <c r="F3684" i="19"/>
  <c r="H3684" i="19" s="1"/>
  <c r="F3683" i="19"/>
  <c r="H3683" i="19" s="1"/>
  <c r="F1191" i="19"/>
  <c r="H1191" i="19" s="1"/>
  <c r="F1175" i="19"/>
  <c r="H1175" i="19" s="1"/>
  <c r="F1179" i="19"/>
  <c r="H1179" i="19" s="1"/>
  <c r="F1187" i="19"/>
  <c r="H1187" i="19" s="1"/>
  <c r="F1183" i="19"/>
  <c r="H1183" i="19" s="1"/>
  <c r="F3679" i="19"/>
  <c r="H3679" i="19" s="1"/>
  <c r="F3676" i="19"/>
  <c r="H3676" i="19" s="1"/>
  <c r="F3677" i="19"/>
  <c r="H3677" i="19" s="1"/>
  <c r="F3678" i="19"/>
  <c r="H3678" i="19" s="1"/>
  <c r="F3672" i="19"/>
  <c r="H3672" i="19" s="1"/>
  <c r="F3669" i="19"/>
  <c r="H3669" i="19" s="1"/>
  <c r="F3670" i="19"/>
  <c r="H3670" i="19" s="1"/>
  <c r="F3671" i="19"/>
  <c r="H3671" i="19" s="1"/>
  <c r="F3665" i="19"/>
  <c r="H3665" i="19" s="1"/>
  <c r="F3662" i="19"/>
  <c r="H3662" i="19" s="1"/>
  <c r="F3663" i="19"/>
  <c r="H3663" i="19" s="1"/>
  <c r="F3664" i="19"/>
  <c r="H3664" i="19" s="1"/>
  <c r="F3658" i="19"/>
  <c r="H3658" i="19" s="1"/>
  <c r="F3657" i="19"/>
  <c r="H3657" i="19" s="1"/>
  <c r="F3653" i="19"/>
  <c r="H3653" i="19" s="1"/>
  <c r="F3652" i="19"/>
  <c r="H3652" i="19" s="1"/>
  <c r="F3648" i="19"/>
  <c r="H3648" i="19" s="1"/>
  <c r="F3647" i="19"/>
  <c r="H3647" i="19" s="1"/>
  <c r="F3643" i="19"/>
  <c r="H3643" i="19" s="1"/>
  <c r="F3642" i="19"/>
  <c r="H3642" i="19" s="1"/>
  <c r="F3638" i="19"/>
  <c r="H3638" i="19" s="1"/>
  <c r="F3637" i="19"/>
  <c r="H3637" i="19" s="1"/>
  <c r="F3633" i="19"/>
  <c r="H3633" i="19" s="1"/>
  <c r="F3632" i="19"/>
  <c r="H3632" i="19" s="1"/>
  <c r="F3628" i="19"/>
  <c r="H3628" i="19" s="1"/>
  <c r="F3627" i="19"/>
  <c r="H3627" i="19" s="1"/>
  <c r="F3623" i="19"/>
  <c r="H3623" i="19" s="1"/>
  <c r="F3622" i="19"/>
  <c r="H3622" i="19" s="1"/>
  <c r="F3618" i="19"/>
  <c r="H3618" i="19" s="1"/>
  <c r="F3617" i="19"/>
  <c r="H3617" i="19" s="1"/>
  <c r="F3613" i="19"/>
  <c r="H3613" i="19" s="1"/>
  <c r="F3612" i="19"/>
  <c r="H3612" i="19" s="1"/>
  <c r="F3608" i="19"/>
  <c r="H3608" i="19" s="1"/>
  <c r="F3607" i="19"/>
  <c r="H3607" i="19" s="1"/>
  <c r="F3601" i="19"/>
  <c r="H3601" i="19" s="1"/>
  <c r="F3595" i="19"/>
  <c r="H3595" i="19" s="1"/>
  <c r="F3589" i="19"/>
  <c r="H3589" i="19" s="1"/>
  <c r="F3583" i="19"/>
  <c r="H3583" i="19" s="1"/>
  <c r="F3577" i="19"/>
  <c r="H3577" i="19" s="1"/>
  <c r="F3571" i="19"/>
  <c r="H3571" i="19" s="1"/>
  <c r="F3565" i="19"/>
  <c r="H3565" i="19" s="1"/>
  <c r="F3559" i="19"/>
  <c r="H3559" i="19" s="1"/>
  <c r="F3553" i="19"/>
  <c r="H3553" i="19" s="1"/>
  <c r="F3541" i="19"/>
  <c r="H3541" i="19" s="1"/>
  <c r="F3535" i="19"/>
  <c r="H3535" i="19" s="1"/>
  <c r="F3529" i="19"/>
  <c r="H3529" i="19" s="1"/>
  <c r="F3523" i="19"/>
  <c r="H3523" i="19" s="1"/>
  <c r="F3519" i="19"/>
  <c r="H3519" i="19" s="1"/>
  <c r="F3518" i="19"/>
  <c r="H3518" i="19" s="1"/>
  <c r="F3514" i="19"/>
  <c r="H3514" i="19" s="1"/>
  <c r="F3513" i="19"/>
  <c r="H3513" i="19" s="1"/>
  <c r="F3509" i="19"/>
  <c r="H3509" i="19" s="1"/>
  <c r="F3508" i="19"/>
  <c r="H3508" i="19" s="1"/>
  <c r="F3504" i="19"/>
  <c r="H3504" i="19" s="1"/>
  <c r="F3503" i="19"/>
  <c r="H3503" i="19" s="1"/>
  <c r="F3500" i="19"/>
  <c r="H3500" i="19" s="1"/>
  <c r="F3497" i="19"/>
  <c r="H3497" i="19" s="1"/>
  <c r="F3494" i="19"/>
  <c r="H3494" i="19" s="1"/>
  <c r="F3482" i="19"/>
  <c r="H3482" i="19" s="1"/>
  <c r="F3481" i="19"/>
  <c r="H3481" i="19" s="1"/>
  <c r="F3480" i="19"/>
  <c r="H3480" i="19" s="1"/>
  <c r="F3479" i="19"/>
  <c r="H3479" i="19" s="1"/>
  <c r="F3467" i="19"/>
  <c r="H3467" i="19" s="1"/>
  <c r="F3466" i="19"/>
  <c r="H3466" i="19" s="1"/>
  <c r="F3465" i="19"/>
  <c r="H3465" i="19" s="1"/>
  <c r="F3464" i="19"/>
  <c r="H3464" i="19" s="1"/>
  <c r="F3452" i="19"/>
  <c r="H3452" i="19" s="1"/>
  <c r="F3451" i="19"/>
  <c r="H3451" i="19" s="1"/>
  <c r="F3450" i="19"/>
  <c r="H3450" i="19" s="1"/>
  <c r="F3449" i="19"/>
  <c r="H3449" i="19" s="1"/>
  <c r="F3445" i="19"/>
  <c r="H3445" i="19" s="1"/>
  <c r="F3444" i="19"/>
  <c r="H3444" i="19" s="1"/>
  <c r="F3442" i="19"/>
  <c r="H3442" i="19" s="1"/>
  <c r="F3438" i="19"/>
  <c r="H3438" i="19" s="1"/>
  <c r="F3437" i="19"/>
  <c r="H3437" i="19" s="1"/>
  <c r="F3435" i="19"/>
  <c r="H3435" i="19" s="1"/>
  <c r="F3431" i="19"/>
  <c r="H3431" i="19" s="1"/>
  <c r="F3430" i="19"/>
  <c r="H3430" i="19" s="1"/>
  <c r="F3428" i="19"/>
  <c r="H3428" i="19" s="1"/>
  <c r="F3424" i="19"/>
  <c r="H3424" i="19" s="1"/>
  <c r="F3423" i="19"/>
  <c r="H3423" i="19" s="1"/>
  <c r="F3421" i="19"/>
  <c r="H3421" i="19" s="1"/>
  <c r="F3415" i="19"/>
  <c r="H3415" i="19" s="1"/>
  <c r="F3414" i="19"/>
  <c r="H3414" i="19" s="1"/>
  <c r="F3416" i="19"/>
  <c r="H3416" i="19" s="1"/>
  <c r="F3412" i="19"/>
  <c r="H3412" i="19" s="1"/>
  <c r="F3406" i="19"/>
  <c r="H3406" i="19" s="1"/>
  <c r="F3405" i="19"/>
  <c r="H3405" i="19" s="1"/>
  <c r="F3407" i="19"/>
  <c r="H3407" i="19" s="1"/>
  <c r="F3403" i="19"/>
  <c r="H3403" i="19" s="1"/>
  <c r="F3397" i="19"/>
  <c r="H3397" i="19" s="1"/>
  <c r="F3398" i="19"/>
  <c r="H3398" i="19" s="1"/>
  <c r="F3391" i="19"/>
  <c r="H3391" i="19" s="1"/>
  <c r="F3390" i="19"/>
  <c r="H3390" i="19" s="1"/>
  <c r="F3392" i="19"/>
  <c r="H3392" i="19" s="1"/>
  <c r="F3388" i="19"/>
  <c r="H3388" i="19" s="1"/>
  <c r="F3382" i="19"/>
  <c r="H3382" i="19" s="1"/>
  <c r="F3381" i="19"/>
  <c r="H3381" i="19" s="1"/>
  <c r="F3383" i="19"/>
  <c r="H3383" i="19" s="1"/>
  <c r="F3379" i="19"/>
  <c r="H3379" i="19" s="1"/>
  <c r="F3373" i="19"/>
  <c r="H3373" i="19" s="1"/>
  <c r="F3372" i="19"/>
  <c r="H3372" i="19" s="1"/>
  <c r="F3374" i="19"/>
  <c r="H3374" i="19" s="1"/>
  <c r="F3370" i="19"/>
  <c r="H3370" i="19" s="1"/>
  <c r="F3365" i="19"/>
  <c r="H3365" i="19" s="1"/>
  <c r="F3364" i="19"/>
  <c r="H3364" i="19" s="1"/>
  <c r="F3362" i="19"/>
  <c r="H3362" i="19" s="1"/>
  <c r="F3358" i="19"/>
  <c r="H3358" i="19" s="1"/>
  <c r="F3357" i="19"/>
  <c r="H3357" i="19" s="1"/>
  <c r="F3355" i="19"/>
  <c r="H3355" i="19" s="1"/>
  <c r="F3351" i="19"/>
  <c r="H3351" i="19" s="1"/>
  <c r="F3350" i="19"/>
  <c r="H3350" i="19" s="1"/>
  <c r="F3348" i="19"/>
  <c r="H3348" i="19" s="1"/>
  <c r="F3703" i="19"/>
  <c r="F3705" i="19"/>
  <c r="H3705" i="19" s="1"/>
  <c r="F3704" i="19"/>
  <c r="H3704" i="19" s="1"/>
  <c r="F3696" i="19"/>
  <c r="F3698" i="19"/>
  <c r="H3698" i="19" s="1"/>
  <c r="F3699" i="19"/>
  <c r="H3699" i="19" s="1"/>
  <c r="F3697" i="19"/>
  <c r="H3697" i="19" s="1"/>
  <c r="F3689" i="19"/>
  <c r="F3691" i="19"/>
  <c r="H3691" i="19" s="1"/>
  <c r="F3692" i="19"/>
  <c r="H3692" i="19" s="1"/>
  <c r="F3690" i="19"/>
  <c r="H3690" i="19" s="1"/>
  <c r="F1165" i="19"/>
  <c r="H1165" i="19" s="1"/>
  <c r="F1166" i="19"/>
  <c r="H1166" i="19" s="1"/>
  <c r="F1170" i="19"/>
  <c r="H1170" i="19" s="1"/>
  <c r="F1171" i="19"/>
  <c r="H1171" i="19" s="1"/>
  <c r="F3037" i="19"/>
  <c r="H3037" i="19" s="1"/>
  <c r="F3035" i="19"/>
  <c r="F3038" i="19"/>
  <c r="H3038" i="19" s="1"/>
  <c r="F3036" i="19"/>
  <c r="H3036" i="19" s="1"/>
  <c r="F3034" i="19"/>
  <c r="H3034" i="19" s="1"/>
  <c r="F3045" i="19"/>
  <c r="H3045" i="19" s="1"/>
  <c r="F3043" i="19"/>
  <c r="F3046" i="19"/>
  <c r="H3046" i="19" s="1"/>
  <c r="F3044" i="19"/>
  <c r="H3044" i="19" s="1"/>
  <c r="F3042" i="19"/>
  <c r="H3042" i="19" s="1"/>
  <c r="F3050" i="19"/>
  <c r="H3050" i="19" s="1"/>
  <c r="F3051" i="19"/>
  <c r="F3053" i="19"/>
  <c r="H3053" i="19" s="1"/>
  <c r="F3054" i="19"/>
  <c r="H3054" i="19" s="1"/>
  <c r="F3052" i="19"/>
  <c r="H3052" i="19" s="1"/>
  <c r="F3339" i="19"/>
  <c r="H3339" i="19" s="1"/>
  <c r="F3340" i="19"/>
  <c r="F3343" i="19"/>
  <c r="H3343" i="19" s="1"/>
  <c r="F3341" i="19"/>
  <c r="H3341" i="19" s="1"/>
  <c r="F3342" i="19"/>
  <c r="H3342" i="19" s="1"/>
  <c r="F3331" i="19"/>
  <c r="H3331" i="19" s="1"/>
  <c r="F3332" i="19"/>
  <c r="F3335" i="19"/>
  <c r="H3335" i="19" s="1"/>
  <c r="F3333" i="19"/>
  <c r="H3333" i="19" s="1"/>
  <c r="F3334" i="19"/>
  <c r="H3334" i="19" s="1"/>
  <c r="F3318" i="19"/>
  <c r="H3318" i="19" s="1"/>
  <c r="F3323" i="19"/>
  <c r="H3323" i="19" s="1"/>
  <c r="F3319" i="19"/>
  <c r="F3321" i="19"/>
  <c r="H3321" i="19" s="1"/>
  <c r="F3322" i="19"/>
  <c r="H3322" i="19" s="1"/>
  <c r="F3320" i="19"/>
  <c r="H3320" i="19" s="1"/>
  <c r="F3310" i="19"/>
  <c r="F3314" i="19"/>
  <c r="H3314" i="19" s="1"/>
  <c r="F3309" i="19"/>
  <c r="H3309" i="19" s="1"/>
  <c r="F3312" i="19"/>
  <c r="H3312" i="19" s="1"/>
  <c r="F3313" i="19"/>
  <c r="H3313" i="19" s="1"/>
  <c r="F3311" i="19"/>
  <c r="H3311" i="19" s="1"/>
  <c r="F3301" i="19"/>
  <c r="F3305" i="19"/>
  <c r="H3305" i="19" s="1"/>
  <c r="F3303" i="19"/>
  <c r="H3303" i="19" s="1"/>
  <c r="F3304" i="19"/>
  <c r="H3304" i="19" s="1"/>
  <c r="F3302" i="19"/>
  <c r="H3302" i="19" s="1"/>
  <c r="F3300" i="19"/>
  <c r="H3300" i="19" s="1"/>
  <c r="F3291" i="19"/>
  <c r="H3291" i="19" s="1"/>
  <c r="F3296" i="19"/>
  <c r="H3296" i="19" s="1"/>
  <c r="F3294" i="19"/>
  <c r="H3294" i="19" s="1"/>
  <c r="F3292" i="19"/>
  <c r="F3295" i="19"/>
  <c r="H3295" i="19" s="1"/>
  <c r="F3293" i="19"/>
  <c r="H3293" i="19" s="1"/>
  <c r="F3283" i="19"/>
  <c r="F3287" i="19"/>
  <c r="H3287" i="19" s="1"/>
  <c r="F3285" i="19"/>
  <c r="H3285" i="19" s="1"/>
  <c r="F3286" i="19"/>
  <c r="H3286" i="19" s="1"/>
  <c r="F3284" i="19"/>
  <c r="H3284" i="19" s="1"/>
  <c r="F3282" i="19"/>
  <c r="H3282" i="19" s="1"/>
  <c r="F3060" i="19"/>
  <c r="H3060" i="19" s="1"/>
  <c r="F3058" i="19"/>
  <c r="F3061" i="19"/>
  <c r="H3061" i="19" s="1"/>
  <c r="F3059" i="19"/>
  <c r="H3059" i="19" s="1"/>
  <c r="F3268" i="19"/>
  <c r="F3267" i="19"/>
  <c r="H3267" i="19" s="1"/>
  <c r="F3270" i="19"/>
  <c r="H3270" i="19" s="1"/>
  <c r="F3269" i="19"/>
  <c r="H3269" i="19" s="1"/>
  <c r="F3266" i="19"/>
  <c r="H3266" i="19" s="1"/>
  <c r="F3274" i="19"/>
  <c r="H3274" i="19" s="1"/>
  <c r="F3276" i="19"/>
  <c r="F3275" i="19"/>
  <c r="H3275" i="19" s="1"/>
  <c r="F3278" i="19"/>
  <c r="H3278" i="19" s="1"/>
  <c r="F3277" i="19"/>
  <c r="H3277" i="19" s="1"/>
  <c r="F3260" i="19"/>
  <c r="F3259" i="19"/>
  <c r="H3259" i="19" s="1"/>
  <c r="F3262" i="19"/>
  <c r="H3262" i="19" s="1"/>
  <c r="F3261" i="19"/>
  <c r="H3261" i="19" s="1"/>
  <c r="F3258" i="19"/>
  <c r="H3258" i="19" s="1"/>
  <c r="F3250" i="19"/>
  <c r="H3250" i="19" s="1"/>
  <c r="F3252" i="19"/>
  <c r="F3251" i="19"/>
  <c r="H3251" i="19" s="1"/>
  <c r="F3254" i="19"/>
  <c r="H3254" i="19" s="1"/>
  <c r="F3253" i="19"/>
  <c r="H3253" i="19" s="1"/>
  <c r="F2979" i="19"/>
  <c r="H2979" i="19" s="1"/>
  <c r="F2976" i="19"/>
  <c r="H2976" i="19" s="1"/>
  <c r="F2973" i="19"/>
  <c r="H2973" i="19" s="1"/>
  <c r="F2970" i="19"/>
  <c r="H2970" i="19" s="1"/>
  <c r="F2997" i="19"/>
  <c r="H2997" i="19" s="1"/>
  <c r="F2994" i="19"/>
  <c r="H2994" i="19" s="1"/>
  <c r="F2991" i="19"/>
  <c r="H2991" i="19" s="1"/>
  <c r="F2988" i="19"/>
  <c r="H2988" i="19" s="1"/>
  <c r="F2985" i="19"/>
  <c r="H2985" i="19" s="1"/>
  <c r="F2982" i="19"/>
  <c r="H2982" i="19" s="1"/>
  <c r="F2965" i="19"/>
  <c r="H2965" i="19" s="1"/>
  <c r="F2960" i="19"/>
  <c r="H2960" i="19" s="1"/>
  <c r="F2955" i="19"/>
  <c r="H2955" i="19" s="1"/>
  <c r="F2950" i="19"/>
  <c r="H2950" i="19" s="1"/>
  <c r="F2945" i="19"/>
  <c r="H2945" i="19" s="1"/>
  <c r="F3031" i="19"/>
  <c r="H3031" i="19" s="1"/>
  <c r="F3110" i="19"/>
  <c r="H3110" i="19" s="1"/>
  <c r="F3109" i="19"/>
  <c r="H3109" i="19" s="1"/>
  <c r="F3107" i="19"/>
  <c r="H3107" i="19" s="1"/>
  <c r="F3103" i="19"/>
  <c r="H3103" i="19" s="1"/>
  <c r="F3102" i="19"/>
  <c r="H3102" i="19" s="1"/>
  <c r="F3100" i="19"/>
  <c r="H3100" i="19" s="1"/>
  <c r="F3096" i="19"/>
  <c r="H3096" i="19" s="1"/>
  <c r="F3095" i="19"/>
  <c r="H3095" i="19" s="1"/>
  <c r="F3093" i="19"/>
  <c r="H3093" i="19" s="1"/>
  <c r="F3089" i="19"/>
  <c r="H3089" i="19" s="1"/>
  <c r="F3088" i="19"/>
  <c r="H3088" i="19" s="1"/>
  <c r="F3086" i="19"/>
  <c r="H3086" i="19" s="1"/>
  <c r="F3082" i="19"/>
  <c r="H3082" i="19" s="1"/>
  <c r="F3081" i="19"/>
  <c r="H3081" i="19" s="1"/>
  <c r="F3079" i="19"/>
  <c r="H3079" i="19" s="1"/>
  <c r="F3075" i="19"/>
  <c r="H3075" i="19" s="1"/>
  <c r="F3074" i="19"/>
  <c r="H3074" i="19" s="1"/>
  <c r="F3072" i="19"/>
  <c r="H3072" i="19" s="1"/>
  <c r="F3068" i="19"/>
  <c r="H3068" i="19" s="1"/>
  <c r="F3067" i="19"/>
  <c r="H3067" i="19" s="1"/>
  <c r="F3065" i="19"/>
  <c r="H3065" i="19" s="1"/>
  <c r="F3116" i="19"/>
  <c r="H3116" i="19" s="1"/>
  <c r="F3118" i="19"/>
  <c r="H3118" i="19" s="1"/>
  <c r="F3117" i="19"/>
  <c r="H3117" i="19" s="1"/>
  <c r="F3114" i="19"/>
  <c r="H3114" i="19" s="1"/>
  <c r="F3133" i="19"/>
  <c r="H3133" i="19" s="1"/>
  <c r="F3135" i="19"/>
  <c r="H3135" i="19" s="1"/>
  <c r="F3134" i="19"/>
  <c r="H3134" i="19" s="1"/>
  <c r="F3131" i="19"/>
  <c r="H3131" i="19" s="1"/>
  <c r="F3150" i="19"/>
  <c r="H3150" i="19" s="1"/>
  <c r="F3152" i="19"/>
  <c r="H3152" i="19" s="1"/>
  <c r="F3151" i="19"/>
  <c r="H3151" i="19" s="1"/>
  <c r="F3148" i="19"/>
  <c r="H3148" i="19" s="1"/>
  <c r="F3167" i="19"/>
  <c r="H3167" i="19" s="1"/>
  <c r="F3169" i="19"/>
  <c r="H3169" i="19" s="1"/>
  <c r="F3168" i="19"/>
  <c r="H3168" i="19" s="1"/>
  <c r="F3165" i="19"/>
  <c r="H3165" i="19" s="1"/>
  <c r="F3186" i="19"/>
  <c r="H3186" i="19" s="1"/>
  <c r="F3185" i="19"/>
  <c r="H3185" i="19" s="1"/>
  <c r="F3182" i="19"/>
  <c r="H3182" i="19" s="1"/>
  <c r="F3201" i="19"/>
  <c r="H3201" i="19" s="1"/>
  <c r="F3203" i="19"/>
  <c r="H3203" i="19" s="1"/>
  <c r="F3202" i="19"/>
  <c r="H3202" i="19" s="1"/>
  <c r="F3199" i="19"/>
  <c r="H3199" i="19" s="1"/>
  <c r="F3235" i="19"/>
  <c r="H3235" i="19" s="1"/>
  <c r="F3237" i="19"/>
  <c r="H3237" i="19" s="1"/>
  <c r="F3236" i="19"/>
  <c r="H3236" i="19" s="1"/>
  <c r="F3233" i="19"/>
  <c r="H3233" i="19" s="1"/>
  <c r="F3218" i="19"/>
  <c r="H3218" i="19" s="1"/>
  <c r="F3220" i="19"/>
  <c r="H3220" i="19" s="1"/>
  <c r="F3219" i="19"/>
  <c r="H3219" i="19" s="1"/>
  <c r="F3216" i="19"/>
  <c r="H3216" i="19" s="1"/>
  <c r="F3003" i="19"/>
  <c r="H3003" i="19" s="1"/>
  <c r="F3002" i="19"/>
  <c r="H3002" i="19" s="1"/>
  <c r="F3000" i="19"/>
  <c r="H3000" i="19" s="1"/>
  <c r="F3010" i="19"/>
  <c r="H3010" i="19" s="1"/>
  <c r="F3009" i="19"/>
  <c r="H3009" i="19" s="1"/>
  <c r="F3007" i="19"/>
  <c r="H3007" i="19" s="1"/>
  <c r="F3017" i="19"/>
  <c r="H3017" i="19" s="1"/>
  <c r="F3016" i="19"/>
  <c r="H3016" i="19" s="1"/>
  <c r="F3014" i="19"/>
  <c r="H3014" i="19" s="1"/>
  <c r="F3022" i="19"/>
  <c r="F3025" i="19"/>
  <c r="H3025" i="19" s="1"/>
  <c r="F3026" i="19"/>
  <c r="H3026" i="19" s="1"/>
  <c r="F3024" i="19"/>
  <c r="H3024" i="19" s="1"/>
  <c r="F3023" i="19"/>
  <c r="H3023" i="19" s="1"/>
  <c r="F3027" i="19"/>
  <c r="H3027" i="19" s="1"/>
  <c r="F3021" i="19"/>
  <c r="H3021" i="19" s="1"/>
  <c r="F2837" i="19"/>
  <c r="H2837" i="19" s="1"/>
  <c r="F2701" i="19"/>
  <c r="H2701" i="19" s="1"/>
  <c r="F2697" i="19"/>
  <c r="H2697" i="19" s="1"/>
  <c r="F2693" i="19"/>
  <c r="H2693" i="19" s="1"/>
  <c r="F2821" i="19"/>
  <c r="H2821" i="19" s="1"/>
  <c r="F2813" i="19"/>
  <c r="H2813" i="19" s="1"/>
  <c r="F2809" i="19"/>
  <c r="H2809" i="19" s="1"/>
  <c r="F2805" i="19"/>
  <c r="H2805" i="19" s="1"/>
  <c r="F2817" i="19"/>
  <c r="H2817" i="19" s="1"/>
  <c r="F2890" i="19"/>
  <c r="H2890" i="19" s="1"/>
  <c r="F2891" i="19"/>
  <c r="H2891" i="19" s="1"/>
  <c r="F2833" i="19"/>
  <c r="H2833" i="19" s="1"/>
  <c r="F2829" i="19"/>
  <c r="H2829" i="19" s="1"/>
  <c r="F2825" i="19"/>
  <c r="H2825" i="19" s="1"/>
  <c r="F2886" i="19"/>
  <c r="H2886" i="19" s="1"/>
  <c r="F2882" i="19"/>
  <c r="H2882" i="19" s="1"/>
  <c r="F2881" i="19"/>
  <c r="H2881" i="19" s="1"/>
  <c r="F1957" i="19"/>
  <c r="F1959" i="19"/>
  <c r="F1958" i="19"/>
  <c r="H1958" i="19" s="1"/>
  <c r="F2876" i="19"/>
  <c r="H2876" i="19" s="1"/>
  <c r="F2877" i="19"/>
  <c r="H2877" i="19" s="1"/>
  <c r="F3778" i="19"/>
  <c r="H3778" i="19" s="1"/>
  <c r="F3779" i="19"/>
  <c r="F3780" i="19"/>
  <c r="F3776" i="19"/>
  <c r="H3776" i="19" s="1"/>
  <c r="F3754" i="19"/>
  <c r="F3753" i="19"/>
  <c r="H3753" i="19" s="1"/>
  <c r="F3751" i="19"/>
  <c r="H3751" i="19" s="1"/>
  <c r="F3749" i="19"/>
  <c r="H3749" i="19" s="1"/>
  <c r="F3750" i="19"/>
  <c r="F3752" i="19"/>
  <c r="F3748" i="19"/>
  <c r="H3748" i="19" s="1"/>
  <c r="F3726" i="19"/>
  <c r="F3725" i="19"/>
  <c r="H3725" i="19" s="1"/>
  <c r="F3724" i="19"/>
  <c r="H3724" i="19" s="1"/>
  <c r="F3723" i="19"/>
  <c r="F2797" i="19"/>
  <c r="H2797" i="19" s="1"/>
  <c r="F2796" i="19"/>
  <c r="H2796" i="19" s="1"/>
  <c r="F2795" i="19"/>
  <c r="H2795" i="19" s="1"/>
  <c r="F2791" i="19"/>
  <c r="H2791" i="19" s="1"/>
  <c r="F2790" i="19"/>
  <c r="H2790" i="19" s="1"/>
  <c r="F2789" i="19"/>
  <c r="H2789" i="19" s="1"/>
  <c r="F2779" i="19"/>
  <c r="H2779" i="19" s="1"/>
  <c r="F2778" i="19"/>
  <c r="H2778" i="19" s="1"/>
  <c r="F2742" i="19"/>
  <c r="H2742" i="19" s="1"/>
  <c r="F2740" i="19"/>
  <c r="H2740" i="19" s="1"/>
  <c r="F2743" i="19"/>
  <c r="H2743" i="19" s="1"/>
  <c r="F3714" i="19"/>
  <c r="F3713" i="19"/>
  <c r="H3713" i="19" s="1"/>
  <c r="F3711" i="19"/>
  <c r="F3712" i="19"/>
  <c r="F2801" i="19"/>
  <c r="H2801" i="19" s="1"/>
  <c r="F2735" i="19"/>
  <c r="H2735" i="19" s="1"/>
  <c r="F2733" i="19"/>
  <c r="H2733" i="19" s="1"/>
  <c r="F2734" i="19"/>
  <c r="H2734" i="19" s="1"/>
  <c r="F2736" i="19"/>
  <c r="H2736" i="19" s="1"/>
  <c r="F2727" i="19"/>
  <c r="H2727" i="19" s="1"/>
  <c r="F2726" i="19"/>
  <c r="H2726" i="19" s="1"/>
  <c r="F2728" i="19"/>
  <c r="H2728" i="19" s="1"/>
  <c r="F2722" i="19"/>
  <c r="H2722" i="19" s="1"/>
  <c r="F2721" i="19"/>
  <c r="H2721" i="19" s="1"/>
  <c r="F2719" i="19"/>
  <c r="H2719" i="19" s="1"/>
  <c r="F2720" i="19"/>
  <c r="H2720" i="19" s="1"/>
  <c r="F2714" i="19"/>
  <c r="H2714" i="19" s="1"/>
  <c r="F2712" i="19"/>
  <c r="H2712" i="19" s="1"/>
  <c r="F2715" i="19"/>
  <c r="H2715" i="19" s="1"/>
  <c r="F2707" i="19"/>
  <c r="H2707" i="19" s="1"/>
  <c r="F2705" i="19"/>
  <c r="H2705" i="19" s="1"/>
  <c r="F2708" i="19"/>
  <c r="H2708" i="19" s="1"/>
  <c r="F2706" i="19"/>
  <c r="H2706" i="19" s="1"/>
  <c r="F2774" i="19"/>
  <c r="H2774" i="19" s="1"/>
  <c r="F2772" i="19"/>
  <c r="H2772" i="19" s="1"/>
  <c r="F2773" i="19"/>
  <c r="H2773" i="19" s="1"/>
  <c r="F2768" i="19"/>
  <c r="H2768" i="19" s="1"/>
  <c r="F2766" i="19"/>
  <c r="H2766" i="19" s="1"/>
  <c r="F2767" i="19"/>
  <c r="H2767" i="19" s="1"/>
  <c r="F2762" i="19"/>
  <c r="H2762" i="19" s="1"/>
  <c r="F2761" i="19"/>
  <c r="H2761" i="19" s="1"/>
  <c r="F2760" i="19"/>
  <c r="H2760" i="19" s="1"/>
  <c r="F2756" i="19"/>
  <c r="H2756" i="19" s="1"/>
  <c r="F2754" i="19"/>
  <c r="H2754" i="19" s="1"/>
  <c r="F2755" i="19"/>
  <c r="H2755" i="19" s="1"/>
  <c r="F2750" i="19"/>
  <c r="H2750" i="19" s="1"/>
  <c r="F2749" i="19"/>
  <c r="H2749" i="19" s="1"/>
  <c r="F2748" i="19"/>
  <c r="H2748" i="19" s="1"/>
  <c r="F2747" i="19"/>
  <c r="H2747" i="19" s="1"/>
  <c r="F2903" i="19"/>
  <c r="H2903" i="19" s="1"/>
  <c r="F2905" i="19"/>
  <c r="H2905" i="19" s="1"/>
  <c r="F2896" i="19"/>
  <c r="H2896" i="19" s="1"/>
  <c r="F2895" i="19"/>
  <c r="H2895" i="19" s="1"/>
  <c r="F2897" i="19"/>
  <c r="H2897" i="19" s="1"/>
  <c r="F2683" i="19"/>
  <c r="H2683" i="19" s="1"/>
  <c r="F2677" i="19"/>
  <c r="H2677" i="19" s="1"/>
  <c r="F2672" i="19"/>
  <c r="H2672" i="19" s="1"/>
  <c r="F2670" i="19"/>
  <c r="H2670" i="19" s="1"/>
  <c r="F2671" i="19"/>
  <c r="H2671" i="19" s="1"/>
  <c r="F2665" i="19"/>
  <c r="H2665" i="19" s="1"/>
  <c r="F2664" i="19"/>
  <c r="H2664" i="19" s="1"/>
  <c r="F2657" i="19"/>
  <c r="H2657" i="19" s="1"/>
  <c r="F2659" i="19"/>
  <c r="H2659" i="19" s="1"/>
  <c r="F2658" i="19"/>
  <c r="H2658" i="19" s="1"/>
  <c r="F2651" i="19"/>
  <c r="H2651" i="19" s="1"/>
  <c r="F2652" i="19"/>
  <c r="H2652" i="19" s="1"/>
  <c r="F2653" i="19"/>
  <c r="H2653" i="19" s="1"/>
  <c r="F2656" i="19"/>
  <c r="H2656" i="19" s="1"/>
  <c r="F2654" i="19"/>
  <c r="H2654" i="19" s="1"/>
  <c r="F2655" i="19"/>
  <c r="H2655" i="19" s="1"/>
  <c r="F2501" i="19"/>
  <c r="H2501" i="19" s="1"/>
  <c r="F2466" i="19"/>
  <c r="H2466" i="19" s="1"/>
  <c r="F2461" i="19"/>
  <c r="H2461" i="19" s="1"/>
  <c r="F2471" i="19"/>
  <c r="H2471" i="19" s="1"/>
  <c r="F2569" i="19"/>
  <c r="H2569" i="19" s="1"/>
  <c r="F2581" i="19"/>
  <c r="H2581" i="19" s="1"/>
  <c r="F2575" i="19"/>
  <c r="H2575" i="19" s="1"/>
  <c r="F2557" i="19"/>
  <c r="H2557" i="19" s="1"/>
  <c r="F2563" i="19"/>
  <c r="H2563" i="19" s="1"/>
  <c r="F2456" i="19"/>
  <c r="H2456" i="19" s="1"/>
  <c r="F2455" i="19"/>
  <c r="H2455" i="19" s="1"/>
  <c r="F2450" i="19"/>
  <c r="H2450" i="19" s="1"/>
  <c r="F2449" i="19"/>
  <c r="H2449" i="19" s="1"/>
  <c r="F2443" i="19"/>
  <c r="F2445" i="19"/>
  <c r="H2445" i="19" s="1"/>
  <c r="F2441" i="19"/>
  <c r="H2441" i="19" s="1"/>
  <c r="F2442" i="19"/>
  <c r="H2442" i="19" s="1"/>
  <c r="F2444" i="19"/>
  <c r="H2444" i="19" s="1"/>
  <c r="F2554" i="19"/>
  <c r="F2550" i="19"/>
  <c r="H2550" i="19" s="1"/>
  <c r="F2548" i="19"/>
  <c r="H2548" i="19" s="1"/>
  <c r="F2549" i="19"/>
  <c r="H2549" i="19" s="1"/>
  <c r="F2551" i="19"/>
  <c r="H2551" i="19" s="1"/>
  <c r="F2547" i="19"/>
  <c r="H2547" i="19" s="1"/>
  <c r="F2546" i="19"/>
  <c r="H2546" i="19" s="1"/>
  <c r="F2544" i="19"/>
  <c r="F2537" i="19"/>
  <c r="H2537" i="19" s="1"/>
  <c r="F2538" i="19"/>
  <c r="H2538" i="19" s="1"/>
  <c r="F2539" i="19"/>
  <c r="H2539" i="19" s="1"/>
  <c r="F2536" i="19"/>
  <c r="H2536" i="19" s="1"/>
  <c r="F2533" i="19"/>
  <c r="F2527" i="19"/>
  <c r="H2527" i="19" s="1"/>
  <c r="F2526" i="19"/>
  <c r="H2526" i="19" s="1"/>
  <c r="F2528" i="19"/>
  <c r="H2528" i="19" s="1"/>
  <c r="F2529" i="19"/>
  <c r="H2529" i="19" s="1"/>
  <c r="F2510" i="19"/>
  <c r="H2510" i="19" s="1"/>
  <c r="F2509" i="19"/>
  <c r="H2509" i="19" s="1"/>
  <c r="F2489" i="19"/>
  <c r="H2489" i="19" s="1"/>
  <c r="F2481" i="19"/>
  <c r="H2481" i="19" s="1"/>
  <c r="F2483" i="19"/>
  <c r="H2483" i="19" s="1"/>
  <c r="F2473" i="19"/>
  <c r="H2473" i="19" s="1"/>
  <c r="F2475" i="19"/>
  <c r="H2475" i="19" s="1"/>
  <c r="F2436" i="19"/>
  <c r="H2436" i="19" s="1"/>
  <c r="F2429" i="19"/>
  <c r="H2429" i="19" s="1"/>
  <c r="F2435" i="19"/>
  <c r="H2435" i="19" s="1"/>
  <c r="F2434" i="19"/>
  <c r="H2434" i="19" s="1"/>
  <c r="F2430" i="19"/>
  <c r="H2430" i="19" s="1"/>
  <c r="F2433" i="19"/>
  <c r="H2433" i="19" s="1"/>
  <c r="F2432" i="19"/>
  <c r="H2432" i="19" s="1"/>
  <c r="F2431" i="19"/>
  <c r="H2431" i="19" s="1"/>
  <c r="F2424" i="19"/>
  <c r="H2424" i="19" s="1"/>
  <c r="F2423" i="19"/>
  <c r="H2423" i="19" s="1"/>
  <c r="F2422" i="19"/>
  <c r="H2422" i="19" s="1"/>
  <c r="F2417" i="19"/>
  <c r="H2417" i="19" s="1"/>
  <c r="F2418" i="19"/>
  <c r="H2418" i="19" s="1"/>
  <c r="F2421" i="19"/>
  <c r="H2421" i="19" s="1"/>
  <c r="F2420" i="19"/>
  <c r="H2420" i="19" s="1"/>
  <c r="F2419" i="19"/>
  <c r="H2419" i="19" s="1"/>
  <c r="F2412" i="19"/>
  <c r="H2412" i="19" s="1"/>
  <c r="F2410" i="19"/>
  <c r="H2410" i="19" s="1"/>
  <c r="F2411" i="19"/>
  <c r="H2411" i="19" s="1"/>
  <c r="F2405" i="19"/>
  <c r="H2405" i="19" s="1"/>
  <c r="F2406" i="19"/>
  <c r="H2406" i="19" s="1"/>
  <c r="F2409" i="19"/>
  <c r="H2409" i="19" s="1"/>
  <c r="F2408" i="19"/>
  <c r="H2408" i="19" s="1"/>
  <c r="F2407" i="19"/>
  <c r="H2407" i="19" s="1"/>
  <c r="F2400" i="19"/>
  <c r="H2400" i="19" s="1"/>
  <c r="F2398" i="19"/>
  <c r="H2398" i="19" s="1"/>
  <c r="F2399" i="19"/>
  <c r="H2399" i="19" s="1"/>
  <c r="F2393" i="19"/>
  <c r="H2393" i="19" s="1"/>
  <c r="F2394" i="19"/>
  <c r="H2394" i="19" s="1"/>
  <c r="F2397" i="19"/>
  <c r="H2397" i="19" s="1"/>
  <c r="F2396" i="19"/>
  <c r="H2396" i="19" s="1"/>
  <c r="F2395" i="19"/>
  <c r="H2395" i="19" s="1"/>
  <c r="F2387" i="19"/>
  <c r="H2387" i="19" s="1"/>
  <c r="F2388" i="19"/>
  <c r="H2388" i="19" s="1"/>
  <c r="F2386" i="19"/>
  <c r="H2386" i="19" s="1"/>
  <c r="F2381" i="19"/>
  <c r="H2381" i="19" s="1"/>
  <c r="F2382" i="19"/>
  <c r="H2382" i="19" s="1"/>
  <c r="F2385" i="19"/>
  <c r="H2385" i="19" s="1"/>
  <c r="F2383" i="19"/>
  <c r="H2383" i="19" s="1"/>
  <c r="F2384" i="19"/>
  <c r="H2384" i="19" s="1"/>
  <c r="F2375" i="19"/>
  <c r="H2375" i="19" s="1"/>
  <c r="F2371" i="19"/>
  <c r="H2371" i="19" s="1"/>
  <c r="F2372" i="19"/>
  <c r="H2372" i="19" s="1"/>
  <c r="F2374" i="19"/>
  <c r="H2374" i="19" s="1"/>
  <c r="F2376" i="19"/>
  <c r="H2376" i="19" s="1"/>
  <c r="F2373" i="19"/>
  <c r="H2373" i="19" s="1"/>
  <c r="F2370" i="19"/>
  <c r="H2370" i="19" s="1"/>
  <c r="F3794" i="19"/>
  <c r="H3794" i="19" s="1"/>
  <c r="F3788" i="19"/>
  <c r="H3788" i="19" s="1"/>
  <c r="F3790" i="19"/>
  <c r="H3790" i="19" s="1"/>
  <c r="F3789" i="19"/>
  <c r="H3789" i="19" s="1"/>
  <c r="F3792" i="19"/>
  <c r="H3792" i="19" s="1"/>
  <c r="F3791" i="19"/>
  <c r="H3791" i="19" s="1"/>
  <c r="F3793" i="19"/>
  <c r="H3793" i="19" s="1"/>
  <c r="F3795" i="19"/>
  <c r="F2222" i="19"/>
  <c r="H2222" i="19" s="1"/>
  <c r="F2224" i="19"/>
  <c r="H2224" i="19" s="1"/>
  <c r="F2363" i="19"/>
  <c r="H2363" i="19" s="1"/>
  <c r="F2343" i="19"/>
  <c r="H2343" i="19" s="1"/>
  <c r="F2344" i="19"/>
  <c r="H2344" i="19" s="1"/>
  <c r="F2358" i="19"/>
  <c r="H2358" i="19" s="1"/>
  <c r="F2357" i="19"/>
  <c r="H2357" i="19" s="1"/>
  <c r="F2354" i="19"/>
  <c r="F2350" i="19"/>
  <c r="H2350" i="19" s="1"/>
  <c r="F2351" i="19"/>
  <c r="H2351" i="19" s="1"/>
  <c r="F2349" i="19"/>
  <c r="H2349" i="19" s="1"/>
  <c r="F2333" i="19"/>
  <c r="H2333" i="19" s="1"/>
  <c r="F2338" i="19"/>
  <c r="H2338" i="19" s="1"/>
  <c r="F2337" i="19"/>
  <c r="H2337" i="19" s="1"/>
  <c r="F2334" i="19"/>
  <c r="H2334" i="19" s="1"/>
  <c r="F2335" i="19"/>
  <c r="H2335" i="19" s="1"/>
  <c r="F2336" i="19"/>
  <c r="H2336" i="19" s="1"/>
  <c r="F2323" i="19"/>
  <c r="H2323" i="19" s="1"/>
  <c r="F2328" i="19"/>
  <c r="H2328" i="19" s="1"/>
  <c r="F2327" i="19"/>
  <c r="H2327" i="19" s="1"/>
  <c r="F2324" i="19"/>
  <c r="H2324" i="19" s="1"/>
  <c r="F2325" i="19"/>
  <c r="H2325" i="19" s="1"/>
  <c r="F2326" i="19"/>
  <c r="H2326" i="19" s="1"/>
  <c r="F2313" i="19"/>
  <c r="H2313" i="19" s="1"/>
  <c r="F2318" i="19"/>
  <c r="H2318" i="19" s="1"/>
  <c r="F2317" i="19"/>
  <c r="H2317" i="19" s="1"/>
  <c r="F2314" i="19"/>
  <c r="H2314" i="19" s="1"/>
  <c r="F2315" i="19"/>
  <c r="H2315" i="19" s="1"/>
  <c r="F2316" i="19"/>
  <c r="H2316" i="19" s="1"/>
  <c r="F2305" i="19"/>
  <c r="H2305" i="19" s="1"/>
  <c r="F2301" i="19"/>
  <c r="H2301" i="19" s="1"/>
  <c r="F2300" i="19"/>
  <c r="H2300" i="19" s="1"/>
  <c r="F2307" i="19"/>
  <c r="H2307" i="19" s="1"/>
  <c r="F2306" i="19"/>
  <c r="H2306" i="19" s="1"/>
  <c r="F2302" i="19"/>
  <c r="H2302" i="19" s="1"/>
  <c r="F2299" i="19"/>
  <c r="H2299" i="19" s="1"/>
  <c r="F2308" i="19"/>
  <c r="H2308" i="19" s="1"/>
  <c r="F2304" i="19"/>
  <c r="H2304" i="19" s="1"/>
  <c r="F2292" i="19"/>
  <c r="H2292" i="19" s="1"/>
  <c r="F2288" i="19"/>
  <c r="H2288" i="19" s="1"/>
  <c r="F2294" i="19"/>
  <c r="H2294" i="19" s="1"/>
  <c r="F2293" i="19"/>
  <c r="H2293" i="19" s="1"/>
  <c r="F2290" i="19"/>
  <c r="H2290" i="19" s="1"/>
  <c r="F2291" i="19"/>
  <c r="H2291" i="19" s="1"/>
  <c r="F2281" i="19"/>
  <c r="H2281" i="19" s="1"/>
  <c r="F2277" i="19"/>
  <c r="H2277" i="19" s="1"/>
  <c r="F2283" i="19"/>
  <c r="H2283" i="19" s="1"/>
  <c r="F2282" i="19"/>
  <c r="H2282" i="19" s="1"/>
  <c r="F2279" i="19"/>
  <c r="H2279" i="19" s="1"/>
  <c r="F2280" i="19"/>
  <c r="H2280" i="19" s="1"/>
  <c r="F2267" i="19"/>
  <c r="H2267" i="19" s="1"/>
  <c r="F2272" i="19"/>
  <c r="H2272" i="19" s="1"/>
  <c r="F2271" i="19"/>
  <c r="H2271" i="19" s="1"/>
  <c r="F2268" i="19"/>
  <c r="H2268" i="19" s="1"/>
  <c r="F2269" i="19"/>
  <c r="H2269" i="19" s="1"/>
  <c r="F2270" i="19"/>
  <c r="H2270" i="19" s="1"/>
  <c r="F2261" i="19"/>
  <c r="H2261" i="19" s="1"/>
  <c r="F2262" i="19"/>
  <c r="H2262" i="19" s="1"/>
  <c r="F2253" i="19"/>
  <c r="H2253" i="19" s="1"/>
  <c r="F2254" i="19"/>
  <c r="H2254" i="19" s="1"/>
  <c r="F2252" i="19"/>
  <c r="H2252" i="19" s="1"/>
  <c r="F2251" i="19"/>
  <c r="H2251" i="19" s="1"/>
  <c r="F2245" i="19"/>
  <c r="H2245" i="19" s="1"/>
  <c r="F2244" i="19"/>
  <c r="H2244" i="19" s="1"/>
  <c r="F2239" i="19"/>
  <c r="H2239" i="19" s="1"/>
  <c r="F2238" i="19"/>
  <c r="H2238" i="19" s="1"/>
  <c r="F2232" i="19"/>
  <c r="H2232" i="19" s="1"/>
  <c r="F2231" i="19"/>
  <c r="H2231" i="19" s="1"/>
  <c r="F2230" i="19"/>
  <c r="H2230" i="19" s="1"/>
  <c r="F2215" i="19"/>
  <c r="H2215" i="19" s="1"/>
  <c r="F2217" i="19"/>
  <c r="H2217" i="19" s="1"/>
  <c r="F2216" i="19"/>
  <c r="H2216" i="19" s="1"/>
  <c r="F2209" i="19"/>
  <c r="H2209" i="19" s="1"/>
  <c r="F2208" i="19"/>
  <c r="H2208" i="19" s="1"/>
  <c r="F2210" i="19"/>
  <c r="H2210" i="19" s="1"/>
  <c r="F2199" i="19"/>
  <c r="H2199" i="19" s="1"/>
  <c r="F2198" i="19"/>
  <c r="H2198" i="19" s="1"/>
  <c r="F2197" i="19"/>
  <c r="H2197" i="19" s="1"/>
  <c r="F2200" i="19"/>
  <c r="H2200" i="19" s="1"/>
  <c r="F2196" i="19"/>
  <c r="H2196" i="19" s="1"/>
  <c r="F2190" i="19"/>
  <c r="H2190" i="19" s="1"/>
  <c r="F2189" i="19"/>
  <c r="H2189" i="19" s="1"/>
  <c r="F2191" i="19"/>
  <c r="H2191" i="19" s="1"/>
  <c r="F2182" i="19"/>
  <c r="H2182" i="19" s="1"/>
  <c r="F2183" i="19"/>
  <c r="H2183" i="19" s="1"/>
  <c r="F2181" i="19"/>
  <c r="H2181" i="19" s="1"/>
  <c r="F2061" i="19"/>
  <c r="H2061" i="19" s="1"/>
  <c r="F2143" i="19"/>
  <c r="H2143" i="19" s="1"/>
  <c r="F2144" i="19"/>
  <c r="H2144" i="19" s="1"/>
  <c r="F2137" i="19"/>
  <c r="H2137" i="19" s="1"/>
  <c r="F2138" i="19"/>
  <c r="H2138" i="19" s="1"/>
  <c r="F2131" i="19"/>
  <c r="H2131" i="19" s="1"/>
  <c r="F2132" i="19"/>
  <c r="H2132" i="19" s="1"/>
  <c r="F2127" i="19"/>
  <c r="H2127" i="19" s="1"/>
  <c r="F2126" i="19"/>
  <c r="H2126" i="19" s="1"/>
  <c r="H2121" i="19"/>
  <c r="F2056" i="19"/>
  <c r="H2056" i="19" s="1"/>
  <c r="F2051" i="19"/>
  <c r="H2051" i="19" s="1"/>
  <c r="F2045" i="19"/>
  <c r="H2045" i="19" s="1"/>
  <c r="F2004" i="19"/>
  <c r="H2004" i="19" s="1"/>
  <c r="F1999" i="19"/>
  <c r="H1999" i="19" s="1"/>
  <c r="F2040" i="19"/>
  <c r="H2040" i="19" s="1"/>
  <c r="F2039" i="19"/>
  <c r="H2039" i="19" s="1"/>
  <c r="F2009" i="19"/>
  <c r="H2009" i="19" s="1"/>
  <c r="F2034" i="19"/>
  <c r="H2034" i="19" s="1"/>
  <c r="F2033" i="19"/>
  <c r="H2033" i="19" s="1"/>
  <c r="F1989" i="19"/>
  <c r="H1989" i="19" s="1"/>
  <c r="F1984" i="19"/>
  <c r="H1984" i="19" s="1"/>
  <c r="F1983" i="19"/>
  <c r="H1983" i="19" s="1"/>
  <c r="F1978" i="19"/>
  <c r="H1978" i="19" s="1"/>
  <c r="F1977" i="19"/>
  <c r="H1977" i="19" s="1"/>
  <c r="F1967" i="19"/>
  <c r="H1967" i="19" s="1"/>
  <c r="F1952" i="19"/>
  <c r="F1370" i="19"/>
  <c r="H1370" i="19" s="1"/>
  <c r="F1348" i="19"/>
  <c r="H1348" i="19" s="1"/>
  <c r="F1349" i="19"/>
  <c r="H1349" i="19" s="1"/>
  <c r="F1352" i="19"/>
  <c r="H1352" i="19" s="1"/>
  <c r="F1351" i="19"/>
  <c r="H1351" i="19" s="1"/>
  <c r="F1347" i="19"/>
  <c r="H1347" i="19" s="1"/>
  <c r="F1346" i="19"/>
  <c r="H1346" i="19" s="1"/>
  <c r="F1350" i="19"/>
  <c r="H1350" i="19" s="1"/>
  <c r="F1473" i="19"/>
  <c r="H1473" i="19" s="1"/>
  <c r="F1476" i="19"/>
  <c r="H1476" i="19" s="1"/>
  <c r="F1474" i="19"/>
  <c r="H1474" i="19" s="1"/>
  <c r="F1475" i="19"/>
  <c r="H1475" i="19" s="1"/>
  <c r="F1942" i="19"/>
  <c r="H1942" i="19" s="1"/>
  <c r="F1944" i="19"/>
  <c r="H1944" i="19" s="1"/>
  <c r="F1947" i="19"/>
  <c r="H1947" i="19" s="1"/>
  <c r="F1946" i="19"/>
  <c r="F1943" i="19"/>
  <c r="H1943" i="19" s="1"/>
  <c r="F1937" i="19"/>
  <c r="H1937" i="19" s="1"/>
  <c r="F1935" i="19"/>
  <c r="H1935" i="19" s="1"/>
  <c r="F1932" i="19"/>
  <c r="H1932" i="19" s="1"/>
  <c r="F1936" i="19"/>
  <c r="H1936" i="19" s="1"/>
  <c r="F1933" i="19"/>
  <c r="H1933" i="19" s="1"/>
  <c r="F1927" i="19"/>
  <c r="H1927" i="19" s="1"/>
  <c r="F1926" i="19"/>
  <c r="F1923" i="19"/>
  <c r="H1923" i="19" s="1"/>
  <c r="F1924" i="19"/>
  <c r="H1924" i="19" s="1"/>
  <c r="F1911" i="19"/>
  <c r="H1911" i="19" s="1"/>
  <c r="F1914" i="19"/>
  <c r="H1914" i="19" s="1"/>
  <c r="F1915" i="19"/>
  <c r="H1915" i="19" s="1"/>
  <c r="F1917" i="19"/>
  <c r="H1917" i="19" s="1"/>
  <c r="F1918" i="19"/>
  <c r="H1918" i="19" s="1"/>
  <c r="F1916" i="19"/>
  <c r="F1912" i="19"/>
  <c r="H1912" i="19" s="1"/>
  <c r="F1913" i="19"/>
  <c r="H1913" i="19" s="1"/>
  <c r="F1837" i="19"/>
  <c r="F1838" i="19"/>
  <c r="H1838" i="19" s="1"/>
  <c r="F1822" i="19"/>
  <c r="H1822" i="19" s="1"/>
  <c r="F1824" i="19"/>
  <c r="H1824" i="19" s="1"/>
  <c r="F1826" i="19"/>
  <c r="H1826" i="19" s="1"/>
  <c r="F1827" i="19"/>
  <c r="F1823" i="19"/>
  <c r="H1823" i="19" s="1"/>
  <c r="F1802" i="19"/>
  <c r="H1802" i="19" s="1"/>
  <c r="F1799" i="19"/>
  <c r="H1799" i="19" s="1"/>
  <c r="F1803" i="19"/>
  <c r="H1803" i="19" s="1"/>
  <c r="F1804" i="19"/>
  <c r="H1804" i="19" s="1"/>
  <c r="F1805" i="19"/>
  <c r="F1800" i="19"/>
  <c r="H1800" i="19" s="1"/>
  <c r="F1801" i="19"/>
  <c r="H1801" i="19" s="1"/>
  <c r="F1848" i="19"/>
  <c r="F1850" i="19"/>
  <c r="F1849" i="19"/>
  <c r="F1717" i="19"/>
  <c r="H1717" i="19" s="1"/>
  <c r="F1715" i="19"/>
  <c r="H1715" i="19" s="1"/>
  <c r="F1716" i="19"/>
  <c r="H1716" i="19" s="1"/>
  <c r="F1696" i="19"/>
  <c r="H1696" i="19" s="1"/>
  <c r="F1694" i="19"/>
  <c r="H1694" i="19" s="1"/>
  <c r="F1697" i="19"/>
  <c r="H1697" i="19" s="1"/>
  <c r="F1695" i="19"/>
  <c r="H1695" i="19" s="1"/>
  <c r="F1760" i="19"/>
  <c r="H1760" i="19" s="1"/>
  <c r="F1757" i="19"/>
  <c r="H1757" i="19" s="1"/>
  <c r="F1759" i="19"/>
  <c r="H1759" i="19" s="1"/>
  <c r="F1896" i="19"/>
  <c r="H1896" i="19" s="1"/>
  <c r="F1893" i="19"/>
  <c r="H1893" i="19" s="1"/>
  <c r="F1894" i="19"/>
  <c r="H1894" i="19" s="1"/>
  <c r="F1892" i="19"/>
  <c r="H1892" i="19" s="1"/>
  <c r="F1878" i="19"/>
  <c r="H1878" i="19" s="1"/>
  <c r="F1875" i="19"/>
  <c r="H1875" i="19" s="1"/>
  <c r="F1877" i="19"/>
  <c r="H1877" i="19" s="1"/>
  <c r="F1876" i="19"/>
  <c r="H1876" i="19" s="1"/>
  <c r="F1874" i="19"/>
  <c r="H1874" i="19" s="1"/>
  <c r="F1860" i="19"/>
  <c r="H1860" i="19" s="1"/>
  <c r="F1857" i="19"/>
  <c r="H1857" i="19" s="1"/>
  <c r="F1859" i="19"/>
  <c r="H1859" i="19" s="1"/>
  <c r="F1858" i="19"/>
  <c r="H1858" i="19" s="1"/>
  <c r="F1856" i="19"/>
  <c r="H1856" i="19" s="1"/>
  <c r="F1687" i="19"/>
  <c r="H1687" i="19" s="1"/>
  <c r="F1689" i="19"/>
  <c r="H1689" i="19" s="1"/>
  <c r="F1688" i="19"/>
  <c r="H1688" i="19" s="1"/>
  <c r="F1670" i="19"/>
  <c r="H1670" i="19" s="1"/>
  <c r="F1674" i="19"/>
  <c r="H1674" i="19" s="1"/>
  <c r="F1673" i="19"/>
  <c r="H1673" i="19" s="1"/>
  <c r="F1672" i="19"/>
  <c r="H1672" i="19" s="1"/>
  <c r="F1671" i="19"/>
  <c r="H1671" i="19" s="1"/>
  <c r="F1664" i="19"/>
  <c r="H1664" i="19" s="1"/>
  <c r="F1665" i="19"/>
  <c r="H1665" i="19" s="1"/>
  <c r="F1659" i="19"/>
  <c r="F1660" i="19"/>
  <c r="H1660" i="19" s="1"/>
  <c r="F1609" i="19"/>
  <c r="H1609" i="19" s="1"/>
  <c r="F1608" i="19"/>
  <c r="H1608" i="19" s="1"/>
  <c r="F1610" i="19"/>
  <c r="H1610" i="19" s="1"/>
  <c r="F1649" i="19"/>
  <c r="H1649" i="19" s="1"/>
  <c r="F1653" i="19"/>
  <c r="H1653" i="19" s="1"/>
  <c r="F1651" i="19"/>
  <c r="H1651" i="19" s="1"/>
  <c r="F1650" i="19"/>
  <c r="H1650" i="19" s="1"/>
  <c r="F1633" i="19"/>
  <c r="H1633" i="19" s="1"/>
  <c r="F1635" i="19"/>
  <c r="H1635" i="19" s="1"/>
  <c r="F1634" i="19"/>
  <c r="H1634" i="19" s="1"/>
  <c r="F1536" i="19"/>
  <c r="H1536" i="19" s="1"/>
  <c r="F1535" i="19"/>
  <c r="H1535" i="19" s="1"/>
  <c r="F1532" i="19"/>
  <c r="H1532" i="19" s="1"/>
  <c r="F1537" i="19"/>
  <c r="H1537" i="19" s="1"/>
  <c r="F1534" i="19"/>
  <c r="H1534" i="19" s="1"/>
  <c r="F1533" i="19"/>
  <c r="H1533" i="19" s="1"/>
  <c r="F1640" i="19"/>
  <c r="H1640" i="19" s="1"/>
  <c r="F1644" i="19"/>
  <c r="H1644" i="19" s="1"/>
  <c r="F1641" i="19"/>
  <c r="H1641" i="19" s="1"/>
  <c r="F1582" i="19"/>
  <c r="H1582" i="19" s="1"/>
  <c r="F1580" i="19"/>
  <c r="H1580" i="19" s="1"/>
  <c r="F1583" i="19"/>
  <c r="H1583" i="19" s="1"/>
  <c r="F1581" i="19"/>
  <c r="H1581" i="19" s="1"/>
  <c r="F1618" i="19"/>
  <c r="H1618" i="19" s="1"/>
  <c r="F1615" i="19"/>
  <c r="H1615" i="19" s="1"/>
  <c r="F1617" i="19"/>
  <c r="H1617" i="19" s="1"/>
  <c r="F1616" i="19"/>
  <c r="H1616" i="19" s="1"/>
  <c r="F1546" i="19"/>
  <c r="H1546" i="19" s="1"/>
  <c r="F1543" i="19"/>
  <c r="H1543" i="19" s="1"/>
  <c r="F1565" i="19"/>
  <c r="H1565" i="19" s="1"/>
  <c r="F1561" i="19"/>
  <c r="H1561" i="19" s="1"/>
  <c r="F1564" i="19"/>
  <c r="H1564" i="19" s="1"/>
  <c r="F1563" i="19"/>
  <c r="H1563" i="19" s="1"/>
  <c r="F1562" i="19"/>
  <c r="H1562" i="19" s="1"/>
  <c r="F1576" i="19"/>
  <c r="H1576" i="19" s="1"/>
  <c r="F1575" i="19"/>
  <c r="H1575" i="19" s="1"/>
  <c r="F1571" i="19"/>
  <c r="H1571" i="19" s="1"/>
  <c r="F1574" i="19"/>
  <c r="H1574" i="19" s="1"/>
  <c r="F1573" i="19"/>
  <c r="H1573" i="19" s="1"/>
  <c r="F1572" i="19"/>
  <c r="H1572" i="19" s="1"/>
  <c r="F1589" i="19"/>
  <c r="H1589" i="19" s="1"/>
  <c r="F1587" i="19"/>
  <c r="H1587" i="19" s="1"/>
  <c r="F1590" i="19"/>
  <c r="H1590" i="19" s="1"/>
  <c r="F1588" i="19"/>
  <c r="H1588" i="19" s="1"/>
  <c r="F1555" i="19"/>
  <c r="H1555" i="19" s="1"/>
  <c r="F1551" i="19"/>
  <c r="H1551" i="19" s="1"/>
  <c r="F1554" i="19"/>
  <c r="H1554" i="19" s="1"/>
  <c r="F1553" i="19"/>
  <c r="H1553" i="19" s="1"/>
  <c r="F1552" i="19"/>
  <c r="H1552" i="19" s="1"/>
  <c r="F1513" i="19"/>
  <c r="H1513" i="19" s="1"/>
  <c r="F1511" i="19"/>
  <c r="H1511" i="19" s="1"/>
  <c r="F1514" i="19"/>
  <c r="H1514" i="19" s="1"/>
  <c r="F1512" i="19"/>
  <c r="H1512" i="19" s="1"/>
  <c r="F1524" i="19"/>
  <c r="H1524" i="19" s="1"/>
  <c r="F1525" i="19"/>
  <c r="H1525" i="19" s="1"/>
  <c r="F1519" i="19"/>
  <c r="H1519" i="19" s="1"/>
  <c r="F1518" i="19"/>
  <c r="H1518" i="19" s="1"/>
  <c r="F1438" i="19"/>
  <c r="H1438" i="19" s="1"/>
  <c r="F1412" i="19"/>
  <c r="H1412" i="19" s="1"/>
  <c r="F1409" i="19"/>
  <c r="H1409" i="19" s="1"/>
  <c r="F1402" i="19"/>
  <c r="H1402" i="19" s="1"/>
  <c r="F1401" i="19"/>
  <c r="H1401" i="19" s="1"/>
  <c r="F1403" i="19"/>
  <c r="H1403" i="19" s="1"/>
  <c r="F1394" i="19"/>
  <c r="H1394" i="19" s="1"/>
  <c r="F1395" i="19"/>
  <c r="H1395" i="19" s="1"/>
  <c r="F1387" i="19"/>
  <c r="H1387" i="19" s="1"/>
  <c r="F1388" i="19"/>
  <c r="H1388" i="19" s="1"/>
  <c r="F1376" i="19"/>
  <c r="H1376" i="19" s="1"/>
  <c r="F1377" i="19"/>
  <c r="F1358" i="19"/>
  <c r="H1358" i="19" s="1"/>
  <c r="F1265" i="19"/>
  <c r="H1265" i="19" s="1"/>
  <c r="F1339" i="19"/>
  <c r="H1339" i="19" s="1"/>
  <c r="F1336" i="19"/>
  <c r="H1336" i="19" s="1"/>
  <c r="F1335" i="19"/>
  <c r="H1335" i="19" s="1"/>
  <c r="F1341" i="19"/>
  <c r="H1341" i="19" s="1"/>
  <c r="F1340" i="19"/>
  <c r="H1340" i="19" s="1"/>
  <c r="F1337" i="19"/>
  <c r="H1337" i="19" s="1"/>
  <c r="F1338" i="19"/>
  <c r="H1338" i="19" s="1"/>
  <c r="F1334" i="19"/>
  <c r="H1334" i="19" s="1"/>
  <c r="F1315" i="19"/>
  <c r="H1315" i="19" s="1"/>
  <c r="F1312" i="19"/>
  <c r="H1312" i="19" s="1"/>
  <c r="F1311" i="19"/>
  <c r="H1311" i="19" s="1"/>
  <c r="F1317" i="19"/>
  <c r="H1317" i="19" s="1"/>
  <c r="F1316" i="19"/>
  <c r="H1316" i="19" s="1"/>
  <c r="F1313" i="19"/>
  <c r="H1313" i="19" s="1"/>
  <c r="F1314" i="19"/>
  <c r="H1314" i="19" s="1"/>
  <c r="F1310" i="19"/>
  <c r="H1310" i="19" s="1"/>
  <c r="F1278" i="19"/>
  <c r="H1278" i="19" s="1"/>
  <c r="F1274" i="19"/>
  <c r="H1274" i="19" s="1"/>
  <c r="F1276" i="19"/>
  <c r="H1276" i="19" s="1"/>
  <c r="F1273" i="19"/>
  <c r="H1273" i="19" s="1"/>
  <c r="F1280" i="19"/>
  <c r="H1280" i="19" s="1"/>
  <c r="F1279" i="19"/>
  <c r="H1279" i="19" s="1"/>
  <c r="F1275" i="19"/>
  <c r="H1275" i="19" s="1"/>
  <c r="F1277" i="19"/>
  <c r="H1277" i="19" s="1"/>
  <c r="F1272" i="19"/>
  <c r="H1272" i="19" s="1"/>
  <c r="F1258" i="19"/>
  <c r="H1258" i="19" s="1"/>
  <c r="F1252" i="19"/>
  <c r="H1252" i="19" s="1"/>
  <c r="F1245" i="19"/>
  <c r="H1245" i="19" s="1"/>
  <c r="F1246" i="19"/>
  <c r="H1246" i="19" s="1"/>
  <c r="F1239" i="19"/>
  <c r="H1239" i="19" s="1"/>
  <c r="F1238" i="19"/>
  <c r="F1224" i="19"/>
  <c r="H1224" i="19" s="1"/>
  <c r="F1225" i="19"/>
  <c r="H1225" i="19" s="1"/>
  <c r="F1217" i="19"/>
  <c r="H1217" i="19" s="1"/>
  <c r="F1218" i="19"/>
  <c r="H1218" i="19" s="1"/>
  <c r="F1210" i="19"/>
  <c r="H1210" i="19" s="1"/>
  <c r="F1211" i="19"/>
  <c r="H1211" i="19" s="1"/>
  <c r="F1203" i="19"/>
  <c r="H1203" i="19" s="1"/>
  <c r="F1204" i="19"/>
  <c r="H1204" i="19" s="1"/>
  <c r="F1130" i="19"/>
  <c r="F1129" i="19"/>
  <c r="H1129" i="19" s="1"/>
  <c r="F1126" i="19"/>
  <c r="H1126" i="19" s="1"/>
  <c r="F1128" i="19"/>
  <c r="F1127" i="19"/>
  <c r="H1127" i="19" s="1"/>
  <c r="F1119" i="19"/>
  <c r="H1119" i="19" s="1"/>
  <c r="F1116" i="19"/>
  <c r="H1116" i="19" s="1"/>
  <c r="F1117" i="19"/>
  <c r="F1120" i="19"/>
  <c r="H1120" i="19" s="1"/>
  <c r="F1118" i="19"/>
  <c r="F1108" i="19"/>
  <c r="H1108" i="19" s="1"/>
  <c r="F1106" i="19"/>
  <c r="H1106" i="19" s="1"/>
  <c r="F1107" i="19"/>
  <c r="F1109" i="19"/>
  <c r="H1109" i="19" s="1"/>
  <c r="F1110" i="19"/>
  <c r="F1086" i="19"/>
  <c r="F1081" i="19"/>
  <c r="H1081" i="19" s="1"/>
  <c r="F1082" i="19"/>
  <c r="F1084" i="19"/>
  <c r="H1084" i="19" s="1"/>
  <c r="F1085" i="19"/>
  <c r="F1083" i="19"/>
  <c r="F1074" i="19"/>
  <c r="H1074" i="19" s="1"/>
  <c r="F1072" i="19"/>
  <c r="H1072" i="19" s="1"/>
  <c r="F1073" i="19"/>
  <c r="F1075" i="19"/>
  <c r="F1057" i="19"/>
  <c r="F1054" i="19"/>
  <c r="H1054" i="19" s="1"/>
  <c r="F1053" i="19"/>
  <c r="H1053" i="19" s="1"/>
  <c r="F1055" i="19"/>
  <c r="H1055" i="19" s="1"/>
  <c r="F1056" i="19"/>
  <c r="F1045" i="19"/>
  <c r="F1042" i="19"/>
  <c r="H1042" i="19" s="1"/>
  <c r="F1041" i="19"/>
  <c r="H1041" i="19" s="1"/>
  <c r="F1043" i="19"/>
  <c r="H1043" i="19" s="1"/>
  <c r="F1044" i="19"/>
  <c r="F1033" i="19"/>
  <c r="H1033" i="19" s="1"/>
  <c r="F1030" i="19"/>
  <c r="H1030" i="19" s="1"/>
  <c r="F1029" i="19"/>
  <c r="H1029" i="19" s="1"/>
  <c r="F1031" i="19"/>
  <c r="H1031" i="19" s="1"/>
  <c r="F1032" i="19"/>
  <c r="H1032" i="19" s="1"/>
  <c r="F1025" i="19"/>
  <c r="H1025" i="19" s="1"/>
  <c r="F1020" i="19"/>
  <c r="F1016" i="19"/>
  <c r="H1016" i="19" s="1"/>
  <c r="F1015" i="19"/>
  <c r="H1015" i="19" s="1"/>
  <c r="F1018" i="19"/>
  <c r="H1018" i="19" s="1"/>
  <c r="F1017" i="19"/>
  <c r="H1017" i="19" s="1"/>
  <c r="F1019" i="19"/>
  <c r="H1019" i="19" s="1"/>
  <c r="F994" i="19"/>
  <c r="F990" i="19"/>
  <c r="H990" i="19" s="1"/>
  <c r="F989" i="19"/>
  <c r="H989" i="19" s="1"/>
  <c r="F992" i="19"/>
  <c r="H992" i="19" s="1"/>
  <c r="F993" i="19"/>
  <c r="F980" i="19"/>
  <c r="F976" i="19"/>
  <c r="H976" i="19" s="1"/>
  <c r="F975" i="19"/>
  <c r="H975" i="19" s="1"/>
  <c r="F978" i="19"/>
  <c r="H978" i="19" s="1"/>
  <c r="F979" i="19"/>
  <c r="F972" i="19"/>
  <c r="H972" i="19" s="1"/>
  <c r="F962" i="19"/>
  <c r="H962" i="19" s="1"/>
  <c r="F961" i="19"/>
  <c r="H961" i="19" s="1"/>
  <c r="F965" i="19"/>
  <c r="H965" i="19" s="1"/>
  <c r="F964" i="19"/>
  <c r="H964" i="19" s="1"/>
  <c r="F963" i="19"/>
  <c r="H963" i="19" s="1"/>
  <c r="F966" i="19"/>
  <c r="H966" i="19" s="1"/>
  <c r="F952" i="19"/>
  <c r="H952" i="19" s="1"/>
  <c r="F951" i="19"/>
  <c r="H951" i="19" s="1"/>
  <c r="F953" i="19"/>
  <c r="H953" i="19" s="1"/>
  <c r="F902" i="19"/>
  <c r="F892" i="19"/>
  <c r="H892" i="19" s="1"/>
  <c r="F893" i="19"/>
  <c r="H893" i="19" s="1"/>
  <c r="F883" i="19"/>
  <c r="F874" i="19"/>
  <c r="H874" i="19" s="1"/>
  <c r="F873" i="19"/>
  <c r="H873" i="19" s="1"/>
  <c r="F865" i="19"/>
  <c r="H865" i="19" s="1"/>
  <c r="F864" i="19"/>
  <c r="H864" i="19" s="1"/>
  <c r="F856" i="19"/>
  <c r="F853" i="19"/>
  <c r="H853" i="19" s="1"/>
  <c r="F852" i="19"/>
  <c r="H852" i="19" s="1"/>
  <c r="F851" i="19"/>
  <c r="H851" i="19" s="1"/>
  <c r="F854" i="19"/>
  <c r="H854" i="19" s="1"/>
  <c r="F855" i="19"/>
  <c r="F846" i="19"/>
  <c r="F843" i="19"/>
  <c r="H843" i="19" s="1"/>
  <c r="F842" i="19"/>
  <c r="H842" i="19" s="1"/>
  <c r="F841" i="19"/>
  <c r="H841" i="19" s="1"/>
  <c r="F844" i="19"/>
  <c r="H844" i="19" s="1"/>
  <c r="F845" i="19"/>
  <c r="F827" i="19"/>
  <c r="H827" i="19" s="1"/>
  <c r="F826" i="19"/>
  <c r="H826" i="19" s="1"/>
  <c r="F831" i="19"/>
  <c r="H831" i="19" s="1"/>
  <c r="F829" i="19"/>
  <c r="F830" i="19"/>
  <c r="F828" i="19"/>
  <c r="F833" i="19"/>
  <c r="F832" i="19"/>
  <c r="F812" i="19"/>
  <c r="H812" i="19" s="1"/>
  <c r="F811" i="19"/>
  <c r="H811" i="19" s="1"/>
  <c r="F816" i="19"/>
  <c r="H816" i="19" s="1"/>
  <c r="F814" i="19"/>
  <c r="F815" i="19"/>
  <c r="F813" i="19"/>
  <c r="F818" i="19"/>
  <c r="F817" i="19"/>
  <c r="F802" i="19"/>
  <c r="F799" i="19"/>
  <c r="H799" i="19" s="1"/>
  <c r="F798" i="19"/>
  <c r="H798" i="19" s="1"/>
  <c r="F800" i="19"/>
  <c r="H800" i="19" s="1"/>
  <c r="F801" i="19"/>
  <c r="F786" i="19"/>
  <c r="H786" i="19" s="1"/>
  <c r="F785" i="19"/>
  <c r="H785" i="19" s="1"/>
  <c r="F787" i="19"/>
  <c r="H787" i="19" s="1"/>
  <c r="F789" i="19"/>
  <c r="F788" i="19"/>
  <c r="F776" i="19"/>
  <c r="F773" i="19"/>
  <c r="H773" i="19" s="1"/>
  <c r="F772" i="19"/>
  <c r="H772" i="19" s="1"/>
  <c r="F774" i="19"/>
  <c r="H774" i="19" s="1"/>
  <c r="F775" i="19"/>
  <c r="F763" i="19"/>
  <c r="F760" i="19"/>
  <c r="H760" i="19" s="1"/>
  <c r="F759" i="19"/>
  <c r="H759" i="19" s="1"/>
  <c r="F761" i="19"/>
  <c r="H761" i="19" s="1"/>
  <c r="F762" i="19"/>
  <c r="F747" i="19"/>
  <c r="H747" i="19" s="1"/>
  <c r="F746" i="19"/>
  <c r="H746" i="19" s="1"/>
  <c r="F749" i="19"/>
  <c r="H749" i="19" s="1"/>
  <c r="F751" i="19"/>
  <c r="F748" i="19"/>
  <c r="F750" i="19"/>
  <c r="F734" i="19"/>
  <c r="H734" i="19" s="1"/>
  <c r="F733" i="19"/>
  <c r="H733" i="19" s="1"/>
  <c r="F736" i="19"/>
  <c r="H736" i="19" s="1"/>
  <c r="F738" i="19"/>
  <c r="F735" i="19"/>
  <c r="F737" i="19"/>
  <c r="F724" i="19"/>
  <c r="H724" i="19" s="1"/>
  <c r="F725" i="19"/>
  <c r="H725" i="19" s="1"/>
  <c r="F726" i="19"/>
  <c r="H726" i="19" s="1"/>
  <c r="F728" i="19"/>
  <c r="F727" i="19"/>
  <c r="F715" i="19"/>
  <c r="H715" i="19" s="1"/>
  <c r="F719" i="19"/>
  <c r="F716" i="19"/>
  <c r="H716" i="19" s="1"/>
  <c r="F717" i="19"/>
  <c r="H717" i="19" s="1"/>
  <c r="F718" i="19"/>
  <c r="F706" i="19"/>
  <c r="H706" i="19" s="1"/>
  <c r="F707" i="19"/>
  <c r="H707" i="19" s="1"/>
  <c r="F708" i="19"/>
  <c r="H708" i="19" s="1"/>
  <c r="F710" i="19"/>
  <c r="F709" i="19"/>
  <c r="F695" i="19"/>
  <c r="H695" i="19" s="1"/>
  <c r="F694" i="19"/>
  <c r="H694" i="19" s="1"/>
  <c r="F698" i="19"/>
  <c r="H698" i="19" s="1"/>
  <c r="F697" i="19"/>
  <c r="F696" i="19"/>
  <c r="F699" i="19"/>
  <c r="F687" i="19"/>
  <c r="H687" i="19" s="1"/>
  <c r="F680" i="19"/>
  <c r="H680" i="19" s="1"/>
  <c r="F673" i="19"/>
  <c r="H673" i="19" s="1"/>
  <c r="F666" i="19"/>
  <c r="H666" i="19" s="1"/>
  <c r="F659" i="19"/>
  <c r="F655" i="19"/>
  <c r="H655" i="19" s="1"/>
  <c r="F658" i="19"/>
  <c r="H658" i="19" s="1"/>
  <c r="F657" i="19"/>
  <c r="F656" i="19"/>
  <c r="F648" i="19"/>
  <c r="F644" i="19"/>
  <c r="H644" i="19" s="1"/>
  <c r="F647" i="19"/>
  <c r="H647" i="19" s="1"/>
  <c r="F646" i="19"/>
  <c r="F645" i="19"/>
  <c r="F637" i="19"/>
  <c r="F633" i="19"/>
  <c r="H633" i="19" s="1"/>
  <c r="F636" i="19"/>
  <c r="H636" i="19" s="1"/>
  <c r="F635" i="19"/>
  <c r="F634" i="19"/>
  <c r="H634" i="19" s="1"/>
  <c r="F622" i="19"/>
  <c r="H622" i="19" s="1"/>
  <c r="F626" i="19"/>
  <c r="F625" i="19"/>
  <c r="H625" i="19" s="1"/>
  <c r="F624" i="19"/>
  <c r="F623" i="19"/>
  <c r="F573" i="19"/>
  <c r="H573" i="19" s="1"/>
  <c r="F560" i="19"/>
  <c r="H560" i="19" s="1"/>
  <c r="H276" i="19"/>
  <c r="H275" i="19"/>
  <c r="H277" i="19"/>
  <c r="H270" i="19"/>
  <c r="H268" i="19"/>
  <c r="H271" i="19"/>
  <c r="H269" i="19"/>
  <c r="H264" i="19"/>
  <c r="H262" i="19"/>
  <c r="H261" i="19"/>
  <c r="F3874" i="19"/>
  <c r="H3874" i="19" s="1"/>
  <c r="F3875" i="19"/>
  <c r="H3875" i="19" s="1"/>
  <c r="F3876" i="19"/>
  <c r="H3876" i="19" s="1"/>
  <c r="F3873" i="19"/>
  <c r="H3873" i="19" s="1"/>
  <c r="F3866" i="19"/>
  <c r="H3866" i="19" s="1"/>
  <c r="F3867" i="19"/>
  <c r="H3867" i="19" s="1"/>
  <c r="F3865" i="19"/>
  <c r="H3865" i="19" s="1"/>
  <c r="F3862" i="19"/>
  <c r="F3850" i="19"/>
  <c r="H3850" i="19" s="1"/>
  <c r="F3853" i="19"/>
  <c r="H3853" i="19" s="1"/>
  <c r="F3851" i="19"/>
  <c r="H3851" i="19" s="1"/>
  <c r="F3852" i="19"/>
  <c r="H3852" i="19" s="1"/>
  <c r="F3849" i="19"/>
  <c r="H3849" i="19" s="1"/>
  <c r="F3846" i="19"/>
  <c r="F3837" i="19"/>
  <c r="H3837" i="19" s="1"/>
  <c r="F3836" i="19"/>
  <c r="H3836" i="19" s="1"/>
  <c r="F3834" i="19"/>
  <c r="H3834" i="19" s="1"/>
  <c r="F3835" i="19"/>
  <c r="H3835" i="19" s="1"/>
  <c r="F3833" i="19"/>
  <c r="H3833" i="19" s="1"/>
  <c r="F3830" i="19"/>
  <c r="F3820" i="19"/>
  <c r="H3820" i="19" s="1"/>
  <c r="F3817" i="19"/>
  <c r="H3817" i="19" s="1"/>
  <c r="F3819" i="19"/>
  <c r="H3819" i="19" s="1"/>
  <c r="F3816" i="19"/>
  <c r="H3816" i="19" s="1"/>
  <c r="F3818" i="19"/>
  <c r="H3818" i="19" s="1"/>
  <c r="F3954" i="19"/>
  <c r="H3954" i="19" s="1"/>
  <c r="F3955" i="19"/>
  <c r="H3955" i="19" s="1"/>
  <c r="F3953" i="19"/>
  <c r="H3953" i="19" s="1"/>
  <c r="F3963" i="19"/>
  <c r="H3963" i="19" s="1"/>
  <c r="F3962" i="19"/>
  <c r="H3962" i="19" s="1"/>
  <c r="F3961" i="19"/>
  <c r="H3961" i="19" s="1"/>
  <c r="F3960" i="19"/>
  <c r="H3960" i="19" s="1"/>
  <c r="F3959" i="19"/>
  <c r="H249" i="19"/>
  <c r="H248" i="19"/>
  <c r="H243" i="19"/>
  <c r="H239" i="19"/>
  <c r="F229" i="19"/>
  <c r="H229" i="19" s="1"/>
  <c r="H225" i="19"/>
  <c r="F221" i="19"/>
  <c r="H221" i="19" s="1"/>
  <c r="H158" i="19"/>
  <c r="H157" i="19"/>
  <c r="H161" i="19"/>
  <c r="H162" i="19"/>
  <c r="H159" i="19"/>
  <c r="H160" i="19"/>
  <c r="H163" i="19"/>
  <c r="H151" i="19"/>
  <c r="H145" i="19"/>
  <c r="F146" i="19"/>
  <c r="H146" i="19" s="1"/>
  <c r="F124" i="19"/>
  <c r="F109" i="19"/>
  <c r="F104" i="19"/>
  <c r="H104" i="19" s="1"/>
  <c r="F105" i="19"/>
  <c r="H105" i="19" s="1"/>
  <c r="F98" i="19"/>
  <c r="F99" i="19"/>
  <c r="H99" i="19" s="1"/>
  <c r="F91" i="19"/>
  <c r="F92" i="19"/>
  <c r="H92" i="19" s="1"/>
  <c r="F93" i="19"/>
  <c r="H93" i="19" s="1"/>
  <c r="F85" i="19"/>
  <c r="H85" i="19" s="1"/>
  <c r="F86" i="19"/>
  <c r="F87" i="19"/>
  <c r="H87" i="19" s="1"/>
  <c r="F80" i="19"/>
  <c r="H80" i="19" s="1"/>
  <c r="F75" i="19"/>
  <c r="H75" i="19" s="1"/>
  <c r="F71" i="19"/>
  <c r="H71" i="19" s="1"/>
  <c r="F68" i="19"/>
  <c r="H68" i="19" s="1"/>
  <c r="F65" i="19"/>
  <c r="H65" i="19" s="1"/>
  <c r="F62" i="19"/>
  <c r="H62" i="19" s="1"/>
  <c r="F59" i="19"/>
  <c r="H59" i="19" s="1"/>
  <c r="F56" i="19"/>
  <c r="F51" i="19"/>
  <c r="H51" i="19" s="1"/>
  <c r="F54" i="19"/>
  <c r="F52" i="19"/>
  <c r="H52" i="19" s="1"/>
  <c r="F53" i="19"/>
  <c r="H53" i="19" s="1"/>
  <c r="F48" i="19"/>
  <c r="F43" i="19"/>
  <c r="H43" i="19" s="1"/>
  <c r="F46" i="19"/>
  <c r="H46" i="19" s="1"/>
  <c r="F44" i="19"/>
  <c r="H44" i="19" s="1"/>
  <c r="F45" i="19"/>
  <c r="H45" i="19" s="1"/>
  <c r="F40" i="19"/>
  <c r="F35" i="19"/>
  <c r="F38" i="19"/>
  <c r="F36" i="19"/>
  <c r="H36" i="19" s="1"/>
  <c r="H37" i="19"/>
  <c r="F32" i="19"/>
  <c r="F27" i="19"/>
  <c r="H27" i="19" s="1"/>
  <c r="F30" i="19"/>
  <c r="F28" i="19"/>
  <c r="H28" i="19" s="1"/>
  <c r="F29" i="19"/>
  <c r="H29" i="19" s="1"/>
  <c r="F24" i="19"/>
  <c r="F19" i="19"/>
  <c r="H19" i="19" s="1"/>
  <c r="F22" i="19"/>
  <c r="F20" i="19"/>
  <c r="H20" i="19" s="1"/>
  <c r="F21" i="19"/>
  <c r="H21" i="19" s="1"/>
  <c r="F16" i="19"/>
  <c r="F11" i="19"/>
  <c r="H11" i="19" s="1"/>
  <c r="F14" i="19"/>
  <c r="F12" i="19"/>
  <c r="H12" i="19" s="1"/>
  <c r="F3413" i="19" l="1"/>
  <c r="H3413" i="19" s="1"/>
  <c r="F3389" i="19"/>
  <c r="H3389" i="19" s="1"/>
  <c r="F3380" i="19"/>
  <c r="H3380" i="19" s="1"/>
  <c r="F3356" i="19"/>
  <c r="H3356" i="19" s="1"/>
  <c r="F3349" i="19"/>
  <c r="H3349" i="19" s="1"/>
  <c r="F3094" i="19"/>
  <c r="H3094" i="19" s="1"/>
  <c r="F3087" i="19"/>
  <c r="H3087" i="19" s="1"/>
  <c r="F3080" i="19"/>
  <c r="H3080" i="19" s="1"/>
  <c r="F3108" i="19"/>
  <c r="H3108" i="19" s="1"/>
  <c r="F3073" i="19"/>
  <c r="H3073" i="19" s="1"/>
  <c r="F3101" i="19"/>
  <c r="H3101" i="19" s="1"/>
  <c r="H1238" i="19"/>
  <c r="F2907" i="19"/>
  <c r="H2907" i="19" s="1"/>
  <c r="H86" i="19"/>
  <c r="H902" i="19"/>
  <c r="H1849" i="19"/>
  <c r="H98" i="19"/>
  <c r="F3436" i="19"/>
  <c r="H3436" i="19" s="1"/>
  <c r="F3404" i="19"/>
  <c r="H3404" i="19" s="1"/>
  <c r="F3363" i="19"/>
  <c r="H3363" i="19" s="1"/>
  <c r="F2951" i="19"/>
  <c r="H2951" i="19" s="1"/>
  <c r="H35" i="19"/>
  <c r="H2689" i="19"/>
  <c r="F2688" i="19" s="1"/>
  <c r="H54" i="19"/>
  <c r="H38" i="19"/>
  <c r="H22" i="19"/>
  <c r="H30" i="19"/>
  <c r="H14" i="19"/>
  <c r="H91" i="19"/>
  <c r="F1006" i="10"/>
  <c r="H1006" i="10" s="1"/>
  <c r="F1007" i="10"/>
  <c r="H1007" i="10" s="1"/>
  <c r="F995" i="10"/>
  <c r="F996" i="10"/>
  <c r="F998" i="10"/>
  <c r="H998" i="10" s="1"/>
  <c r="F999" i="10"/>
  <c r="F994" i="10"/>
  <c r="H994" i="10" s="1"/>
  <c r="F986" i="10"/>
  <c r="H986" i="10" s="1"/>
  <c r="F979" i="10"/>
  <c r="F972" i="10"/>
  <c r="H972" i="10" s="1"/>
  <c r="F971" i="10"/>
  <c r="H971" i="10" s="1"/>
  <c r="F973" i="10"/>
  <c r="F969" i="10"/>
  <c r="H969" i="10" s="1"/>
  <c r="F970" i="10"/>
  <c r="H970" i="10" s="1"/>
  <c r="F974" i="10"/>
  <c r="H974" i="10" s="1"/>
  <c r="F959" i="10"/>
  <c r="H959" i="10" s="1"/>
  <c r="F958" i="10"/>
  <c r="H958" i="10" s="1"/>
  <c r="F960" i="10"/>
  <c r="H960" i="10" s="1"/>
  <c r="F956" i="10"/>
  <c r="H956" i="10" s="1"/>
  <c r="F957" i="10"/>
  <c r="H957" i="10" s="1"/>
  <c r="F961" i="10"/>
  <c r="H961" i="10" s="1"/>
  <c r="F952" i="10"/>
  <c r="H952" i="10" s="1"/>
  <c r="F946" i="10"/>
  <c r="H946" i="10" s="1"/>
  <c r="F940" i="10"/>
  <c r="H940" i="10" s="1"/>
  <c r="F935" i="10"/>
  <c r="H935" i="10" s="1"/>
  <c r="F932" i="10"/>
  <c r="H932" i="10" s="1"/>
  <c r="F929" i="10"/>
  <c r="H929" i="10" s="1"/>
  <c r="F919" i="10"/>
  <c r="H919" i="10" s="1"/>
  <c r="F920" i="10"/>
  <c r="H920" i="10" s="1"/>
  <c r="F921" i="10"/>
  <c r="H921" i="10" s="1"/>
  <c r="F923" i="10"/>
  <c r="F922" i="10"/>
  <c r="F913" i="10"/>
  <c r="H913" i="10" s="1"/>
  <c r="F912" i="10"/>
  <c r="F911" i="10"/>
  <c r="F910" i="10"/>
  <c r="F914" i="10"/>
  <c r="F904" i="10"/>
  <c r="H904" i="10" s="1"/>
  <c r="F898" i="10"/>
  <c r="H898" i="10" s="1"/>
  <c r="F896" i="10"/>
  <c r="H896" i="10" s="1"/>
  <c r="F897" i="10"/>
  <c r="H897" i="10" s="1"/>
  <c r="F899" i="10"/>
  <c r="H899" i="10" s="1"/>
  <c r="F890" i="10"/>
  <c r="H890" i="10" s="1"/>
  <c r="F887" i="10"/>
  <c r="H887" i="10" s="1"/>
  <c r="F876" i="10"/>
  <c r="H876" i="10" s="1"/>
  <c r="F877" i="10"/>
  <c r="F880" i="10"/>
  <c r="H880" i="10" s="1"/>
  <c r="F879" i="10"/>
  <c r="F878" i="10"/>
  <c r="F881" i="10"/>
  <c r="F873" i="10"/>
  <c r="H873" i="10" s="1"/>
  <c r="F862" i="10"/>
  <c r="H862" i="10" s="1"/>
  <c r="F864" i="10"/>
  <c r="H864" i="10" s="1"/>
  <c r="F863" i="10"/>
  <c r="H863" i="10" s="1"/>
  <c r="F866" i="10"/>
  <c r="H866" i="10" s="1"/>
  <c r="F865" i="10"/>
  <c r="F867" i="10"/>
  <c r="H867" i="10" s="1"/>
  <c r="F847" i="10"/>
  <c r="H847" i="10" s="1"/>
  <c r="F849" i="10"/>
  <c r="H849" i="10" s="1"/>
  <c r="F848" i="10"/>
  <c r="H848" i="10" s="1"/>
  <c r="F852" i="10"/>
  <c r="H852" i="10" s="1"/>
  <c r="F851" i="10"/>
  <c r="F850" i="10"/>
  <c r="F853" i="10"/>
  <c r="F836" i="10"/>
  <c r="H836" i="10" s="1"/>
  <c r="F838" i="10"/>
  <c r="H838" i="10" s="1"/>
  <c r="F837" i="10"/>
  <c r="H837" i="10" s="1"/>
  <c r="F841" i="10"/>
  <c r="H841" i="10" s="1"/>
  <c r="F840" i="10"/>
  <c r="F839" i="10"/>
  <c r="F842" i="10"/>
  <c r="F825" i="10"/>
  <c r="H825" i="10" s="1"/>
  <c r="F827" i="10"/>
  <c r="H827" i="10" s="1"/>
  <c r="F826" i="10"/>
  <c r="H826" i="10" s="1"/>
  <c r="F830" i="10"/>
  <c r="H830" i="10" s="1"/>
  <c r="F829" i="10"/>
  <c r="F828" i="10"/>
  <c r="F831" i="10"/>
  <c r="F814" i="10"/>
  <c r="H814" i="10" s="1"/>
  <c r="F815" i="10"/>
  <c r="H815" i="10" s="1"/>
  <c r="F818" i="10"/>
  <c r="H818" i="10" s="1"/>
  <c r="F817" i="10"/>
  <c r="F816" i="10"/>
  <c r="F819" i="10"/>
  <c r="F802" i="10"/>
  <c r="H802" i="10" s="1"/>
  <c r="F804" i="10"/>
  <c r="H804" i="10" s="1"/>
  <c r="F803" i="10"/>
  <c r="H803" i="10" s="1"/>
  <c r="F807" i="10"/>
  <c r="H807" i="10" s="1"/>
  <c r="F806" i="10"/>
  <c r="F805" i="10"/>
  <c r="F808" i="10"/>
  <c r="F790" i="10"/>
  <c r="H790" i="10" s="1"/>
  <c r="F792" i="10"/>
  <c r="H792" i="10" s="1"/>
  <c r="F791" i="10"/>
  <c r="H791" i="10" s="1"/>
  <c r="F795" i="10"/>
  <c r="H795" i="10" s="1"/>
  <c r="F794" i="10"/>
  <c r="F793" i="10"/>
  <c r="F796" i="10"/>
  <c r="F780" i="10"/>
  <c r="H780" i="10" s="1"/>
  <c r="F781" i="10"/>
  <c r="H781" i="10" s="1"/>
  <c r="F783" i="10"/>
  <c r="H783" i="10" s="1"/>
  <c r="F782" i="10"/>
  <c r="F784" i="10"/>
  <c r="F768" i="10"/>
  <c r="H768" i="10" s="1"/>
  <c r="F770" i="10"/>
  <c r="H770" i="10" s="1"/>
  <c r="F769" i="10"/>
  <c r="H769" i="10" s="1"/>
  <c r="F773" i="10"/>
  <c r="H773" i="10" s="1"/>
  <c r="F772" i="10"/>
  <c r="F771" i="10"/>
  <c r="F774" i="10"/>
  <c r="F762" i="10"/>
  <c r="F759" i="10"/>
  <c r="H759" i="10" s="1"/>
  <c r="F758" i="10"/>
  <c r="H758" i="10" s="1"/>
  <c r="F757" i="10"/>
  <c r="H757" i="10" s="1"/>
  <c r="F760" i="10"/>
  <c r="H760" i="10" s="1"/>
  <c r="F761" i="10"/>
  <c r="F746" i="10"/>
  <c r="F743" i="10"/>
  <c r="H743" i="10" s="1"/>
  <c r="F742" i="10"/>
  <c r="H742" i="10" s="1"/>
  <c r="F744" i="10"/>
  <c r="H744" i="10" s="1"/>
  <c r="F745" i="10"/>
  <c r="F734" i="10"/>
  <c r="F731" i="10"/>
  <c r="H731" i="10" s="1"/>
  <c r="F730" i="10"/>
  <c r="H730" i="10" s="1"/>
  <c r="F732" i="10"/>
  <c r="F733" i="10"/>
  <c r="F723" i="10"/>
  <c r="F720" i="10"/>
  <c r="H720" i="10" s="1"/>
  <c r="F719" i="10"/>
  <c r="H719" i="10" s="1"/>
  <c r="F721" i="10"/>
  <c r="H721" i="10" s="1"/>
  <c r="F722" i="10"/>
  <c r="F714" i="10"/>
  <c r="F711" i="10"/>
  <c r="H711" i="10" s="1"/>
  <c r="F710" i="10"/>
  <c r="H710" i="10" s="1"/>
  <c r="F712" i="10"/>
  <c r="H712" i="10" s="1"/>
  <c r="F713" i="10"/>
  <c r="F702" i="10"/>
  <c r="H702" i="10" s="1"/>
  <c r="F700" i="10"/>
  <c r="H700" i="10" s="1"/>
  <c r="F704" i="10"/>
  <c r="F701" i="10"/>
  <c r="H701" i="10" s="1"/>
  <c r="F703" i="10"/>
  <c r="F695" i="10"/>
  <c r="F692" i="10"/>
  <c r="H692" i="10" s="1"/>
  <c r="F693" i="10"/>
  <c r="F694" i="10"/>
  <c r="H694" i="10" s="1"/>
  <c r="F688" i="10"/>
  <c r="H688" i="10" s="1"/>
  <c r="F685" i="10"/>
  <c r="H685" i="10" s="1"/>
  <c r="F678" i="10"/>
  <c r="H678" i="10" s="1"/>
  <c r="F670" i="10"/>
  <c r="H670" i="10" s="1"/>
  <c r="F669" i="10"/>
  <c r="F671" i="10"/>
  <c r="F662" i="10"/>
  <c r="H662" i="10" s="1"/>
  <c r="F664" i="10"/>
  <c r="H664" i="10" s="1"/>
  <c r="F663" i="10"/>
  <c r="H663" i="10" s="1"/>
  <c r="F656" i="10"/>
  <c r="H656" i="10" s="1"/>
  <c r="F657" i="10"/>
  <c r="H657" i="10" s="1"/>
  <c r="F648" i="10"/>
  <c r="H648" i="10" s="1"/>
  <c r="F650" i="10"/>
  <c r="H650" i="10" s="1"/>
  <c r="F649" i="10"/>
  <c r="F652" i="10"/>
  <c r="F651" i="10"/>
  <c r="H651" i="10" s="1"/>
  <c r="F638" i="10"/>
  <c r="H638" i="10" s="1"/>
  <c r="F621" i="10"/>
  <c r="H621" i="10" s="1"/>
  <c r="F617" i="10"/>
  <c r="F613" i="10"/>
  <c r="H613" i="10" s="1"/>
  <c r="F612" i="10"/>
  <c r="H612" i="10" s="1"/>
  <c r="F616" i="10"/>
  <c r="H616" i="10" s="1"/>
  <c r="F615" i="10"/>
  <c r="F614" i="10"/>
  <c r="F604" i="10"/>
  <c r="H604" i="10" s="1"/>
  <c r="F597" i="10"/>
  <c r="F594" i="10"/>
  <c r="H594" i="10" s="1"/>
  <c r="F593" i="10"/>
  <c r="H593" i="10" s="1"/>
  <c r="F595" i="10"/>
  <c r="H595" i="10" s="1"/>
  <c r="F596" i="10"/>
  <c r="F582" i="10"/>
  <c r="H582" i="10" s="1"/>
  <c r="F583" i="10"/>
  <c r="H583" i="10" s="1"/>
  <c r="F586" i="10"/>
  <c r="F584" i="10"/>
  <c r="H584" i="10" s="1"/>
  <c r="F585" i="10"/>
  <c r="F576" i="10"/>
  <c r="H576" i="10" s="1"/>
  <c r="F568" i="10"/>
  <c r="H568" i="10" s="1"/>
  <c r="F569" i="10"/>
  <c r="H569" i="10" s="1"/>
  <c r="F570" i="10"/>
  <c r="F559" i="10"/>
  <c r="H559" i="10" s="1"/>
  <c r="F560" i="10"/>
  <c r="H560" i="10" s="1"/>
  <c r="F562" i="10"/>
  <c r="H562" i="10" s="1"/>
  <c r="F561" i="10"/>
  <c r="F563" i="10"/>
  <c r="F550" i="10"/>
  <c r="H550" i="10" s="1"/>
  <c r="F551" i="10"/>
  <c r="H551" i="10" s="1"/>
  <c r="F553" i="10"/>
  <c r="H553" i="10" s="1"/>
  <c r="F552" i="10"/>
  <c r="F554" i="10"/>
  <c r="F548" i="10"/>
  <c r="F545" i="10"/>
  <c r="H545" i="10" s="1"/>
  <c r="F543" i="10"/>
  <c r="H543" i="10" s="1"/>
  <c r="F544" i="10"/>
  <c r="H544" i="10" s="1"/>
  <c r="F540" i="10"/>
  <c r="F537" i="10"/>
  <c r="H537" i="10" s="1"/>
  <c r="F534" i="10"/>
  <c r="H534" i="10" s="1"/>
  <c r="F535" i="10"/>
  <c r="H535" i="10" s="1"/>
  <c r="F536" i="10"/>
  <c r="H536" i="10" s="1"/>
  <c r="F521" i="10"/>
  <c r="H521" i="10" s="1"/>
  <c r="F508" i="10"/>
  <c r="H508" i="10" s="1"/>
  <c r="F510" i="10"/>
  <c r="H510" i="10" s="1"/>
  <c r="F511" i="10"/>
  <c r="H511" i="10" s="1"/>
  <c r="F513" i="10"/>
  <c r="F512" i="10"/>
  <c r="F504" i="10"/>
  <c r="H504" i="10" s="1"/>
  <c r="F492" i="10"/>
  <c r="H492" i="10" s="1"/>
  <c r="F494" i="10"/>
  <c r="H494" i="10" s="1"/>
  <c r="F491" i="10"/>
  <c r="H491" i="10" s="1"/>
  <c r="F490" i="10"/>
  <c r="H490" i="10" s="1"/>
  <c r="F485" i="10"/>
  <c r="H485" i="10" s="1"/>
  <c r="F483" i="10"/>
  <c r="F478" i="10"/>
  <c r="H478" i="10" s="1"/>
  <c r="F480" i="10"/>
  <c r="F477" i="10"/>
  <c r="H477" i="10" s="1"/>
  <c r="F476" i="10"/>
  <c r="H476" i="10" s="1"/>
  <c r="F471" i="10"/>
  <c r="H471" i="10" s="1"/>
  <c r="F469" i="10"/>
  <c r="F464" i="10"/>
  <c r="H464" i="10" s="1"/>
  <c r="F466" i="10"/>
  <c r="F463" i="10"/>
  <c r="H463" i="10" s="1"/>
  <c r="F462" i="10"/>
  <c r="H462" i="10" s="1"/>
  <c r="F457" i="10"/>
  <c r="H457" i="10" s="1"/>
  <c r="F455" i="10"/>
  <c r="F450" i="10"/>
  <c r="H450" i="10" s="1"/>
  <c r="F452" i="10"/>
  <c r="F449" i="10"/>
  <c r="H449" i="10" s="1"/>
  <c r="F448" i="10"/>
  <c r="H448" i="10" s="1"/>
  <c r="F443" i="10"/>
  <c r="H443" i="10" s="1"/>
  <c r="F441" i="10"/>
  <c r="F436" i="10"/>
  <c r="H436" i="10" s="1"/>
  <c r="F438" i="10"/>
  <c r="F435" i="10"/>
  <c r="H435" i="10" s="1"/>
  <c r="F434" i="10"/>
  <c r="H434" i="10" s="1"/>
  <c r="F428" i="10"/>
  <c r="H428" i="10" s="1"/>
  <c r="F429" i="10"/>
  <c r="H429" i="10" s="1"/>
  <c r="F427" i="10"/>
  <c r="F422" i="10"/>
  <c r="H422" i="10" s="1"/>
  <c r="F424" i="10"/>
  <c r="F421" i="10"/>
  <c r="H421" i="10" s="1"/>
  <c r="F420" i="10"/>
  <c r="H420" i="10" s="1"/>
  <c r="F415" i="10"/>
  <c r="H415" i="10" s="1"/>
  <c r="F414" i="10"/>
  <c r="F409" i="10"/>
  <c r="H409" i="10" s="1"/>
  <c r="F411" i="10"/>
  <c r="F408" i="10"/>
  <c r="H408" i="10" s="1"/>
  <c r="F407" i="10"/>
  <c r="H407" i="10" s="1"/>
  <c r="F401" i="10"/>
  <c r="H401" i="10" s="1"/>
  <c r="F400" i="10"/>
  <c r="F395" i="10"/>
  <c r="H395" i="10" s="1"/>
  <c r="F397" i="10"/>
  <c r="F394" i="10"/>
  <c r="H394" i="10" s="1"/>
  <c r="F393" i="10"/>
  <c r="H393" i="10" s="1"/>
  <c r="F387" i="10"/>
  <c r="H387" i="10" s="1"/>
  <c r="F386" i="10"/>
  <c r="F381" i="10"/>
  <c r="F383" i="10"/>
  <c r="F380" i="10"/>
  <c r="H380" i="10" s="1"/>
  <c r="F379" i="10"/>
  <c r="H379" i="10" s="1"/>
  <c r="F373" i="10"/>
  <c r="H373" i="10" s="1"/>
  <c r="F372" i="10"/>
  <c r="H372" i="10" s="1"/>
  <c r="F365" i="10"/>
  <c r="F357" i="10"/>
  <c r="F351" i="10"/>
  <c r="H348" i="10"/>
  <c r="F346" i="10"/>
  <c r="F342" i="10"/>
  <c r="H342" i="10" s="1"/>
  <c r="F340" i="10"/>
  <c r="F337" i="10"/>
  <c r="H337" i="10" s="1"/>
  <c r="F334" i="10"/>
  <c r="F332" i="10"/>
  <c r="F330" i="10"/>
  <c r="H330" i="10" s="1"/>
  <c r="F327" i="10"/>
  <c r="F325" i="10"/>
  <c r="F320" i="10"/>
  <c r="F318" i="10"/>
  <c r="F314" i="10"/>
  <c r="H314" i="10" s="1"/>
  <c r="F315" i="10"/>
  <c r="H315" i="10" s="1"/>
  <c r="F307" i="10"/>
  <c r="F304" i="10"/>
  <c r="H304" i="10" s="1"/>
  <c r="F300" i="10"/>
  <c r="H300" i="10" s="1"/>
  <c r="F297" i="10"/>
  <c r="H297" i="10" s="1"/>
  <c r="F296" i="10"/>
  <c r="H296" i="10" s="1"/>
  <c r="F292" i="10"/>
  <c r="H292" i="10" s="1"/>
  <c r="F289" i="10"/>
  <c r="H289" i="10" s="1"/>
  <c r="F288" i="10"/>
  <c r="H288" i="10" s="1"/>
  <c r="F284" i="10"/>
  <c r="F280" i="10"/>
  <c r="H280" i="10" s="1"/>
  <c r="F281" i="10"/>
  <c r="H281" i="10" s="1"/>
  <c r="F276" i="10"/>
  <c r="H276" i="10" s="1"/>
  <c r="F272" i="10"/>
  <c r="H272" i="10" s="1"/>
  <c r="F273" i="10"/>
  <c r="H273" i="10" s="1"/>
  <c r="F264" i="10"/>
  <c r="H264" i="10" s="1"/>
  <c r="F265" i="10"/>
  <c r="H265" i="10" s="1"/>
  <c r="F255" i="10"/>
  <c r="H255" i="10" s="1"/>
  <c r="F251" i="10"/>
  <c r="F252" i="10"/>
  <c r="F238" i="10"/>
  <c r="H238" i="10" s="1"/>
  <c r="F240" i="10"/>
  <c r="H240" i="10" s="1"/>
  <c r="F242" i="10"/>
  <c r="H242" i="10" s="1"/>
  <c r="F239" i="10"/>
  <c r="H239" i="10" s="1"/>
  <c r="F230" i="10"/>
  <c r="H230" i="10" s="1"/>
  <c r="F229" i="10"/>
  <c r="H229" i="10" s="1"/>
  <c r="F216" i="10"/>
  <c r="H216" i="10" s="1"/>
  <c r="F213" i="10"/>
  <c r="H213" i="10" s="1"/>
  <c r="F217" i="10"/>
  <c r="H217" i="10" s="1"/>
  <c r="F214" i="10"/>
  <c r="H214" i="10" s="1"/>
  <c r="F218" i="10"/>
  <c r="H218" i="10" s="1"/>
  <c r="F219" i="10"/>
  <c r="H219" i="10" s="1"/>
  <c r="F215" i="10"/>
  <c r="H215" i="10" s="1"/>
  <c r="F203" i="10"/>
  <c r="H203" i="10" s="1"/>
  <c r="F200" i="10"/>
  <c r="H200" i="10" s="1"/>
  <c r="F204" i="10"/>
  <c r="H204" i="10" s="1"/>
  <c r="F201" i="10"/>
  <c r="H201" i="10" s="1"/>
  <c r="F205" i="10"/>
  <c r="H205" i="10" s="1"/>
  <c r="F199" i="10"/>
  <c r="H199" i="10" s="1"/>
  <c r="F202" i="10"/>
  <c r="H202" i="10" s="1"/>
  <c r="F180" i="10"/>
  <c r="H180" i="10" s="1"/>
  <c r="F62" i="10"/>
  <c r="F61" i="10"/>
  <c r="F57" i="10"/>
  <c r="F56" i="10"/>
  <c r="F53" i="10"/>
  <c r="H53" i="10" s="1"/>
  <c r="F44" i="10"/>
  <c r="H44" i="10" s="1"/>
  <c r="F42" i="10"/>
  <c r="H42" i="10" s="1"/>
  <c r="F38" i="10"/>
  <c r="F37" i="10"/>
  <c r="F34" i="10"/>
  <c r="F33" i="10"/>
  <c r="F32" i="10"/>
  <c r="F31" i="10"/>
  <c r="F30" i="10"/>
  <c r="F28" i="10"/>
  <c r="F29" i="10"/>
  <c r="F27" i="10"/>
  <c r="F26" i="10"/>
  <c r="F25" i="10"/>
  <c r="F36" i="10"/>
  <c r="F24" i="10"/>
  <c r="F10" i="10"/>
  <c r="H973" i="10" l="1"/>
  <c r="H732" i="10"/>
  <c r="E3798" i="19"/>
  <c r="C1355" i="19" l="1"/>
  <c r="G1037" i="19"/>
  <c r="G701" i="19" l="1"/>
  <c r="F354" i="10" l="1"/>
  <c r="H354" i="10" s="1"/>
  <c r="F2260" i="19"/>
  <c r="H2260" i="19" s="1"/>
  <c r="F2207" i="19"/>
  <c r="H2207" i="19" s="1"/>
  <c r="F2229" i="19"/>
  <c r="H2229" i="19" s="1"/>
  <c r="F2188" i="19"/>
  <c r="H2188" i="19" s="1"/>
  <c r="F2237" i="19"/>
  <c r="H2237" i="19" s="1"/>
  <c r="F2180" i="19"/>
  <c r="H2180" i="19" s="1"/>
  <c r="F2250" i="19"/>
  <c r="H2250" i="19" s="1"/>
  <c r="E990" i="4" l="1"/>
  <c r="F134" i="19" s="1"/>
  <c r="E947" i="4"/>
  <c r="F309" i="19" s="1"/>
  <c r="F556" i="19"/>
  <c r="H556" i="19" s="1"/>
  <c r="E935" i="4"/>
  <c r="F1009" i="10"/>
  <c r="H1009" i="10" s="1"/>
  <c r="F175" i="19"/>
  <c r="F2497" i="19"/>
  <c r="H2497" i="19" s="1"/>
  <c r="F187" i="19"/>
  <c r="F1820" i="19" l="1"/>
  <c r="H1820" i="19" s="1"/>
  <c r="F1631" i="19"/>
  <c r="H1631" i="19" s="1"/>
  <c r="F299" i="19"/>
  <c r="F303" i="19"/>
  <c r="F2048" i="19"/>
  <c r="F578" i="19"/>
  <c r="F585" i="19"/>
  <c r="F367" i="10"/>
  <c r="F350" i="10"/>
  <c r="F356" i="10"/>
  <c r="H356" i="10" s="1"/>
  <c r="F503" i="19"/>
  <c r="F535" i="19"/>
  <c r="F497" i="19"/>
  <c r="F529" i="19"/>
  <c r="F491" i="19"/>
  <c r="F523" i="19"/>
  <c r="H218" i="19"/>
  <c r="F884" i="10"/>
  <c r="F870" i="10"/>
  <c r="F50" i="10"/>
  <c r="F54" i="10"/>
  <c r="H54" i="10" s="1"/>
  <c r="F22" i="10"/>
  <c r="F84" i="10"/>
  <c r="H84" i="10" s="1"/>
  <c r="F49" i="10"/>
  <c r="F130" i="19"/>
  <c r="F190" i="19"/>
  <c r="H190" i="19" s="1"/>
  <c r="F117" i="10"/>
  <c r="H117" i="10" s="1"/>
  <c r="F171" i="10"/>
  <c r="H171" i="10" s="1"/>
  <c r="F166" i="10"/>
  <c r="H166" i="10" s="1"/>
  <c r="F15" i="10"/>
  <c r="F570" i="19"/>
  <c r="F1104" i="19"/>
  <c r="F903" i="19"/>
  <c r="F879" i="19"/>
  <c r="F670" i="19"/>
  <c r="F958" i="19"/>
  <c r="F838" i="19"/>
  <c r="F823" i="19"/>
  <c r="F756" i="19"/>
  <c r="F691" i="19"/>
  <c r="F971" i="19"/>
  <c r="F888" i="19"/>
  <c r="F861" i="19"/>
  <c r="F684" i="19"/>
  <c r="F1098" i="19"/>
  <c r="F1026" i="19"/>
  <c r="F870" i="19"/>
  <c r="F743" i="19"/>
  <c r="F703" i="19"/>
  <c r="F677" i="19"/>
  <c r="F3762" i="19"/>
  <c r="F1559" i="19"/>
  <c r="F1921" i="19"/>
  <c r="F1568" i="19"/>
  <c r="F3786" i="19"/>
  <c r="F1540" i="19"/>
  <c r="F1808" i="19"/>
  <c r="F286" i="10"/>
  <c r="F188" i="10"/>
  <c r="F294" i="10"/>
  <c r="F227" i="10"/>
  <c r="F178" i="10"/>
  <c r="F236" i="10"/>
  <c r="H236" i="10" s="1"/>
  <c r="F211" i="10"/>
  <c r="F302" i="10"/>
  <c r="H302" i="10" s="1"/>
  <c r="F270" i="10"/>
  <c r="H270" i="10" s="1"/>
  <c r="F310" i="10"/>
  <c r="H310" i="10" s="1"/>
  <c r="F278" i="10"/>
  <c r="H278" i="10" s="1"/>
  <c r="F165" i="10"/>
  <c r="H165" i="10" s="1"/>
  <c r="F170" i="10"/>
  <c r="H170" i="10" s="1"/>
  <c r="F133" i="10"/>
  <c r="F161" i="10"/>
  <c r="F112" i="10"/>
  <c r="H112" i="10" s="1"/>
  <c r="F888" i="10"/>
  <c r="F800" i="10"/>
  <c r="F453" i="10"/>
  <c r="F788" i="10"/>
  <c r="F467" i="10"/>
  <c r="H467" i="10" s="1"/>
  <c r="F680" i="10"/>
  <c r="F622" i="10"/>
  <c r="F481" i="10"/>
  <c r="H481" i="10" s="1"/>
  <c r="F425" i="10"/>
  <c r="F384" i="10"/>
  <c r="F412" i="10"/>
  <c r="F874" i="10"/>
  <c r="F823" i="10"/>
  <c r="F812" i="10"/>
  <c r="F495" i="10"/>
  <c r="H495" i="10" s="1"/>
  <c r="F439" i="10"/>
  <c r="F398" i="10"/>
  <c r="F64" i="10"/>
  <c r="F59" i="10"/>
  <c r="F184" i="10"/>
  <c r="H184" i="10" s="1"/>
  <c r="F21" i="10"/>
  <c r="F131" i="10"/>
  <c r="F223" i="10"/>
  <c r="H223" i="10" s="1"/>
  <c r="F232" i="10"/>
  <c r="H232" i="10" s="1"/>
  <c r="F159" i="10"/>
  <c r="F48" i="10"/>
  <c r="F115" i="10"/>
  <c r="F207" i="10"/>
  <c r="H207" i="10" s="1"/>
  <c r="F174" i="10"/>
  <c r="H174" i="10" s="1"/>
  <c r="F40" i="10"/>
  <c r="F283" i="10"/>
  <c r="F233" i="10"/>
  <c r="H233" i="10" s="1"/>
  <c r="F291" i="10"/>
  <c r="H291" i="10" s="1"/>
  <c r="F267" i="10"/>
  <c r="H267" i="10" s="1"/>
  <c r="F299" i="10"/>
  <c r="H299" i="10" s="1"/>
  <c r="F275" i="10"/>
  <c r="H275" i="10" s="1"/>
  <c r="F208" i="10"/>
  <c r="F185" i="10"/>
  <c r="F224" i="10"/>
  <c r="F175" i="10"/>
  <c r="F76" i="10"/>
  <c r="H76" i="10" s="1"/>
  <c r="F85" i="10"/>
  <c r="H85" i="10" s="1"/>
  <c r="F186" i="10"/>
  <c r="H186" i="10" s="1"/>
  <c r="F176" i="10"/>
  <c r="H176" i="10" s="1"/>
  <c r="F333" i="10"/>
  <c r="F319" i="10"/>
  <c r="F209" i="10"/>
  <c r="H209" i="10" s="1"/>
  <c r="F225" i="10"/>
  <c r="H225" i="10" s="1"/>
  <c r="F326" i="10"/>
  <c r="F234" i="10"/>
  <c r="H234" i="10" s="1"/>
  <c r="F2634" i="19" l="1"/>
  <c r="H2634" i="19" s="1"/>
  <c r="F2492" i="19"/>
  <c r="H2492" i="19" s="1"/>
  <c r="F2476" i="19"/>
  <c r="H2476" i="19" s="1"/>
  <c r="F2255" i="19"/>
  <c r="F2484" i="19"/>
  <c r="H2484" i="19" s="1"/>
  <c r="G2225" i="19"/>
  <c r="F2638" i="19"/>
  <c r="H2638" i="19" s="1"/>
  <c r="F2223" i="19" l="1"/>
  <c r="H2223" i="19" s="1"/>
  <c r="G546" i="10"/>
  <c r="H138" i="19" l="1"/>
  <c r="F137" i="19" l="1"/>
  <c r="H1952" i="19"/>
  <c r="F19" i="10" l="1"/>
  <c r="H19" i="10" s="1"/>
  <c r="F129" i="10"/>
  <c r="H129" i="10" s="1"/>
  <c r="F157" i="10"/>
  <c r="H157" i="10" s="1"/>
  <c r="F137" i="10"/>
  <c r="H137" i="10" s="1"/>
  <c r="F211" i="19"/>
  <c r="H211" i="19" s="1"/>
  <c r="F206" i="19"/>
  <c r="F214" i="19"/>
  <c r="H214" i="19" l="1"/>
  <c r="H206" i="19"/>
  <c r="F3547" i="19"/>
  <c r="H3547" i="19" s="1"/>
  <c r="F3796" i="19" l="1"/>
  <c r="H3796" i="19" s="1"/>
  <c r="F35" i="10" l="1"/>
  <c r="H35" i="10" s="1"/>
  <c r="F3184" i="19"/>
  <c r="H3184" i="19" s="1"/>
  <c r="F125" i="19"/>
  <c r="F247" i="10"/>
  <c r="H247" i="10" s="1"/>
  <c r="F2303" i="19"/>
  <c r="H2303" i="19" s="1"/>
  <c r="D33" i="6" l="1"/>
  <c r="D34" i="6"/>
  <c r="F61" i="6" l="1"/>
  <c r="G859" i="10" l="1"/>
  <c r="G833" i="10"/>
  <c r="G821" i="10"/>
  <c r="G739" i="10"/>
  <c r="G716" i="10"/>
  <c r="G697" i="10"/>
  <c r="G640" i="10"/>
  <c r="G942" i="10" l="1"/>
  <c r="G883" i="10"/>
  <c r="G870" i="10"/>
  <c r="H870" i="10" s="1"/>
  <c r="G754" i="10"/>
  <c r="G619" i="10"/>
  <c r="G606" i="10"/>
  <c r="G556" i="10"/>
  <c r="G344" i="10"/>
  <c r="G324" i="10"/>
  <c r="G2989" i="19"/>
  <c r="G2986" i="19"/>
  <c r="G2983" i="19"/>
  <c r="G2468" i="19"/>
  <c r="G2507" i="19"/>
  <c r="G2352" i="19"/>
  <c r="G2203" i="19"/>
  <c r="G1241" i="19"/>
  <c r="G641" i="19"/>
  <c r="G308" i="19"/>
  <c r="G401" i="19"/>
  <c r="G340" i="19"/>
  <c r="H187" i="19"/>
  <c r="G421" i="19"/>
  <c r="G441" i="19"/>
  <c r="G311" i="19"/>
  <c r="G315" i="19"/>
  <c r="G3879" i="19"/>
  <c r="G3828" i="19"/>
  <c r="G3844" i="19"/>
  <c r="E29" i="6"/>
  <c r="G665" i="10"/>
  <c r="G658" i="10"/>
  <c r="G644" i="10"/>
  <c r="H134" i="19"/>
  <c r="G132" i="19"/>
  <c r="H130" i="19"/>
  <c r="H124" i="19"/>
  <c r="H125" i="19"/>
  <c r="H120" i="19"/>
  <c r="H119" i="19"/>
  <c r="H115" i="19"/>
  <c r="H114" i="19"/>
  <c r="H109" i="19"/>
  <c r="G56" i="19"/>
  <c r="H56" i="19" s="1"/>
  <c r="G48" i="19"/>
  <c r="H48" i="19" s="1"/>
  <c r="G40" i="19"/>
  <c r="H40" i="19" s="1"/>
  <c r="G32" i="19"/>
  <c r="H32" i="19" s="1"/>
  <c r="G24" i="19"/>
  <c r="H24" i="19" s="1"/>
  <c r="G16" i="19"/>
  <c r="H16" i="19" s="1"/>
  <c r="F1002" i="10"/>
  <c r="H1002" i="10" s="1"/>
  <c r="F990" i="10"/>
  <c r="H990" i="10" s="1"/>
  <c r="G1000" i="10"/>
  <c r="G999" i="10"/>
  <c r="H999" i="10" s="1"/>
  <c r="G996" i="10"/>
  <c r="H996" i="10" s="1"/>
  <c r="G976" i="10"/>
  <c r="G901" i="10"/>
  <c r="G764" i="10"/>
  <c r="G578" i="10"/>
  <c r="G573" i="10"/>
  <c r="G424" i="10"/>
  <c r="H424" i="10" s="1"/>
  <c r="G425" i="10"/>
  <c r="H425" i="10" s="1"/>
  <c r="G367" i="10"/>
  <c r="H367" i="10" s="1"/>
  <c r="H365" i="10"/>
  <c r="G357" i="10"/>
  <c r="H357" i="10" s="1"/>
  <c r="G350" i="10"/>
  <c r="H350" i="10" s="1"/>
  <c r="G351" i="10"/>
  <c r="H351" i="10" s="1"/>
  <c r="G338" i="10"/>
  <c r="G331" i="10"/>
  <c r="G298" i="10"/>
  <c r="H294" i="10"/>
  <c r="G231" i="10"/>
  <c r="G250" i="10"/>
  <c r="G251" i="10"/>
  <c r="H251" i="10" s="1"/>
  <c r="G252" i="10"/>
  <c r="H252" i="10" s="1"/>
  <c r="G227" i="10"/>
  <c r="H227" i="10" s="1"/>
  <c r="G224" i="10"/>
  <c r="H224" i="10" s="1"/>
  <c r="G222" i="10"/>
  <c r="G211" i="10"/>
  <c r="H211" i="10" s="1"/>
  <c r="G208" i="10"/>
  <c r="H208" i="10" s="1"/>
  <c r="G206" i="10"/>
  <c r="G183" i="10"/>
  <c r="G188" i="10"/>
  <c r="H188" i="10" s="1"/>
  <c r="G185" i="10"/>
  <c r="H185" i="10" s="1"/>
  <c r="G178" i="10"/>
  <c r="H178" i="10" s="1"/>
  <c r="G175" i="10"/>
  <c r="H175" i="10" s="1"/>
  <c r="G161" i="10"/>
  <c r="H161" i="10" s="1"/>
  <c r="H159" i="10"/>
  <c r="G131" i="10"/>
  <c r="H131" i="10" s="1"/>
  <c r="H133" i="10"/>
  <c r="G58" i="10"/>
  <c r="G50" i="10"/>
  <c r="H50" i="10" s="1"/>
  <c r="G48" i="10"/>
  <c r="H48" i="10" s="1"/>
  <c r="G49" i="10"/>
  <c r="H49" i="10" s="1"/>
  <c r="G47" i="10"/>
  <c r="G21" i="10"/>
  <c r="H21" i="10" s="1"/>
  <c r="G22" i="10"/>
  <c r="H22" i="10" s="1"/>
  <c r="G173" i="10"/>
  <c r="G88" i="10"/>
  <c r="H570" i="19"/>
  <c r="G604" i="19"/>
  <c r="G1163" i="19"/>
  <c r="H1163" i="19" s="1"/>
  <c r="G1155" i="19"/>
  <c r="H1155" i="19" s="1"/>
  <c r="G3032" i="19"/>
  <c r="F3234" i="19"/>
  <c r="H3234" i="19" s="1"/>
  <c r="F3443" i="19"/>
  <c r="H3443" i="19" s="1"/>
  <c r="F2946" i="19"/>
  <c r="H2946" i="19" s="1"/>
  <c r="F3115" i="19"/>
  <c r="H3115" i="19" s="1"/>
  <c r="F3066" i="19"/>
  <c r="H3066" i="19" s="1"/>
  <c r="F3217" i="19"/>
  <c r="H3217" i="19" s="1"/>
  <c r="F3008" i="19"/>
  <c r="H3008" i="19" s="1"/>
  <c r="F3015" i="19"/>
  <c r="H3015" i="19" s="1"/>
  <c r="F2470" i="19"/>
  <c r="G3525" i="19"/>
  <c r="G995" i="10"/>
  <c r="H995" i="10" s="1"/>
  <c r="G987" i="10"/>
  <c r="G979" i="10"/>
  <c r="H979" i="10" s="1"/>
  <c r="G977" i="10"/>
  <c r="G966" i="10"/>
  <c r="H966" i="10" s="1"/>
  <c r="G964" i="10"/>
  <c r="G963" i="10"/>
  <c r="G953" i="10"/>
  <c r="G948" i="10"/>
  <c r="G937" i="10"/>
  <c r="G931" i="10"/>
  <c r="G925" i="10"/>
  <c r="G923" i="10"/>
  <c r="H923" i="10" s="1"/>
  <c r="G922" i="10"/>
  <c r="H922" i="10" s="1"/>
  <c r="G916" i="10"/>
  <c r="G912" i="10"/>
  <c r="H912" i="10" s="1"/>
  <c r="G911" i="10"/>
  <c r="H911" i="10" s="1"/>
  <c r="G910" i="10"/>
  <c r="H910" i="10" s="1"/>
  <c r="G914" i="10"/>
  <c r="H914" i="10" s="1"/>
  <c r="G906" i="10"/>
  <c r="G892" i="10"/>
  <c r="G888" i="10"/>
  <c r="H888" i="10" s="1"/>
  <c r="G884" i="10"/>
  <c r="H884" i="10" s="1"/>
  <c r="E877" i="10"/>
  <c r="H877" i="10" s="1"/>
  <c r="G879" i="10"/>
  <c r="H879" i="10" s="1"/>
  <c r="G878" i="10"/>
  <c r="H878" i="10" s="1"/>
  <c r="G881" i="10"/>
  <c r="H881" i="10" s="1"/>
  <c r="G874" i="10"/>
  <c r="H874" i="10" s="1"/>
  <c r="G865" i="10"/>
  <c r="H865" i="10" s="1"/>
  <c r="G855" i="10"/>
  <c r="G851" i="10"/>
  <c r="H851" i="10" s="1"/>
  <c r="G850" i="10"/>
  <c r="H850" i="10" s="1"/>
  <c r="G853" i="10"/>
  <c r="H853" i="10" s="1"/>
  <c r="G844" i="10"/>
  <c r="G840" i="10"/>
  <c r="H840" i="10" s="1"/>
  <c r="G839" i="10"/>
  <c r="H839" i="10" s="1"/>
  <c r="G842" i="10"/>
  <c r="H842" i="10" s="1"/>
  <c r="G829" i="10"/>
  <c r="H829" i="10" s="1"/>
  <c r="G828" i="10"/>
  <c r="H828" i="10" s="1"/>
  <c r="G831" i="10"/>
  <c r="H831" i="10" s="1"/>
  <c r="G823" i="10"/>
  <c r="H823" i="10" s="1"/>
  <c r="G817" i="10"/>
  <c r="H817" i="10" s="1"/>
  <c r="G816" i="10"/>
  <c r="H816" i="10" s="1"/>
  <c r="G819" i="10"/>
  <c r="H819" i="10" s="1"/>
  <c r="G812" i="10"/>
  <c r="H812" i="10" s="1"/>
  <c r="G810" i="10"/>
  <c r="G806" i="10"/>
  <c r="H806" i="10" s="1"/>
  <c r="G805" i="10"/>
  <c r="H805" i="10" s="1"/>
  <c r="G808" i="10"/>
  <c r="H808" i="10" s="1"/>
  <c r="G800" i="10"/>
  <c r="H800" i="10" s="1"/>
  <c r="G798" i="10"/>
  <c r="G794" i="10"/>
  <c r="H794" i="10" s="1"/>
  <c r="G793" i="10"/>
  <c r="H793" i="10" s="1"/>
  <c r="G796" i="10"/>
  <c r="H796" i="10" s="1"/>
  <c r="G788" i="10"/>
  <c r="H788" i="10" s="1"/>
  <c r="G786" i="10"/>
  <c r="G782" i="10"/>
  <c r="H782" i="10" s="1"/>
  <c r="G784" i="10"/>
  <c r="H784" i="10" s="1"/>
  <c r="G776" i="10"/>
  <c r="G772" i="10"/>
  <c r="H772" i="10" s="1"/>
  <c r="G771" i="10"/>
  <c r="H771" i="10" s="1"/>
  <c r="G774" i="10"/>
  <c r="H774" i="10" s="1"/>
  <c r="G762" i="10"/>
  <c r="H762" i="10" s="1"/>
  <c r="G761" i="10"/>
  <c r="H761" i="10" s="1"/>
  <c r="G746" i="10"/>
  <c r="H746" i="10" s="1"/>
  <c r="G745" i="10"/>
  <c r="H745" i="10" s="1"/>
  <c r="G734" i="10"/>
  <c r="H734" i="10" s="1"/>
  <c r="G733" i="10"/>
  <c r="H733" i="10" s="1"/>
  <c r="G727" i="10"/>
  <c r="G723" i="10"/>
  <c r="H723" i="10" s="1"/>
  <c r="G722" i="10"/>
  <c r="H722" i="10" s="1"/>
  <c r="G714" i="10"/>
  <c r="H714" i="10" s="1"/>
  <c r="G713" i="10"/>
  <c r="H713" i="10" s="1"/>
  <c r="G707" i="10"/>
  <c r="G704" i="10"/>
  <c r="H704" i="10" s="1"/>
  <c r="G703" i="10"/>
  <c r="H703" i="10" s="1"/>
  <c r="G695" i="10"/>
  <c r="H695" i="10" s="1"/>
  <c r="G693" i="10"/>
  <c r="H693" i="10" s="1"/>
  <c r="G689" i="10"/>
  <c r="G684" i="10"/>
  <c r="E683" i="10"/>
  <c r="G680" i="10"/>
  <c r="H680" i="10" s="1"/>
  <c r="G677" i="10"/>
  <c r="G673" i="10"/>
  <c r="G669" i="10"/>
  <c r="H669" i="10" s="1"/>
  <c r="G671" i="10"/>
  <c r="H671" i="10" s="1"/>
  <c r="G649" i="10"/>
  <c r="H649" i="10" s="1"/>
  <c r="G652" i="10"/>
  <c r="H652" i="10" s="1"/>
  <c r="G622" i="10"/>
  <c r="H622" i="10" s="1"/>
  <c r="G617" i="10"/>
  <c r="H617" i="10" s="1"/>
  <c r="G615" i="10"/>
  <c r="H615" i="10" s="1"/>
  <c r="G614" i="10"/>
  <c r="H614" i="10" s="1"/>
  <c r="G600" i="10"/>
  <c r="G597" i="10"/>
  <c r="H597" i="10" s="1"/>
  <c r="G596" i="10"/>
  <c r="H596" i="10" s="1"/>
  <c r="G589" i="10"/>
  <c r="G586" i="10"/>
  <c r="H586" i="10" s="1"/>
  <c r="G585" i="10"/>
  <c r="H585" i="10" s="1"/>
  <c r="G570" i="10"/>
  <c r="H570" i="10" s="1"/>
  <c r="G565" i="10"/>
  <c r="G561" i="10"/>
  <c r="H561" i="10" s="1"/>
  <c r="G563" i="10"/>
  <c r="H563" i="10" s="1"/>
  <c r="G552" i="10"/>
  <c r="H552" i="10" s="1"/>
  <c r="G554" i="10"/>
  <c r="H554" i="10" s="1"/>
  <c r="G548" i="10"/>
  <c r="H548" i="10" s="1"/>
  <c r="G540" i="10"/>
  <c r="H540" i="10" s="1"/>
  <c r="G513" i="10"/>
  <c r="H513" i="10" s="1"/>
  <c r="G512" i="10"/>
  <c r="H512" i="10" s="1"/>
  <c r="G505" i="10"/>
  <c r="E483" i="10"/>
  <c r="H483" i="10" s="1"/>
  <c r="G480" i="10"/>
  <c r="H480" i="10" s="1"/>
  <c r="E469" i="10"/>
  <c r="H469" i="10" s="1"/>
  <c r="G466" i="10"/>
  <c r="H466" i="10" s="1"/>
  <c r="E455" i="10"/>
  <c r="H455" i="10" s="1"/>
  <c r="G452" i="10"/>
  <c r="H452" i="10" s="1"/>
  <c r="G453" i="10"/>
  <c r="H453" i="10" s="1"/>
  <c r="E441" i="10"/>
  <c r="H441" i="10" s="1"/>
  <c r="G438" i="10"/>
  <c r="H438" i="10" s="1"/>
  <c r="G439" i="10"/>
  <c r="H439" i="10" s="1"/>
  <c r="E427" i="10"/>
  <c r="H427" i="10" s="1"/>
  <c r="E414" i="10"/>
  <c r="H414" i="10" s="1"/>
  <c r="G411" i="10"/>
  <c r="H411" i="10" s="1"/>
  <c r="G412" i="10"/>
  <c r="H412" i="10" s="1"/>
  <c r="E400" i="10"/>
  <c r="H400" i="10" s="1"/>
  <c r="G397" i="10"/>
  <c r="H397" i="10" s="1"/>
  <c r="G398" i="10"/>
  <c r="H398" i="10" s="1"/>
  <c r="E386" i="10"/>
  <c r="H386" i="10" s="1"/>
  <c r="G381" i="10"/>
  <c r="H381" i="10" s="1"/>
  <c r="G383" i="10"/>
  <c r="H383" i="10" s="1"/>
  <c r="G384" i="10"/>
  <c r="H384" i="10" s="1"/>
  <c r="G366" i="10"/>
  <c r="G346" i="10"/>
  <c r="H346" i="10" s="1"/>
  <c r="G340" i="10"/>
  <c r="H340" i="10" s="1"/>
  <c r="G334" i="10"/>
  <c r="H334" i="10" s="1"/>
  <c r="G333" i="10"/>
  <c r="H333" i="10" s="1"/>
  <c r="G332" i="10"/>
  <c r="H332" i="10" s="1"/>
  <c r="G327" i="10"/>
  <c r="H327" i="10" s="1"/>
  <c r="G326" i="10"/>
  <c r="H326" i="10" s="1"/>
  <c r="G325" i="10"/>
  <c r="H325" i="10" s="1"/>
  <c r="G320" i="10"/>
  <c r="H320" i="10" s="1"/>
  <c r="G319" i="10"/>
  <c r="H319" i="10" s="1"/>
  <c r="G318" i="10"/>
  <c r="H318" i="10" s="1"/>
  <c r="G317" i="10"/>
  <c r="B316" i="10"/>
  <c r="G307" i="10"/>
  <c r="H307" i="10" s="1"/>
  <c r="G305" i="10"/>
  <c r="H284" i="10"/>
  <c r="H283" i="10"/>
  <c r="H286" i="10"/>
  <c r="G256" i="10"/>
  <c r="G119" i="10"/>
  <c r="G115" i="10"/>
  <c r="H115" i="10" s="1"/>
  <c r="G114" i="10"/>
  <c r="G104" i="10"/>
  <c r="G309" i="10"/>
  <c r="G92" i="10"/>
  <c r="G79" i="10"/>
  <c r="G70" i="10"/>
  <c r="G66" i="10"/>
  <c r="G64" i="10"/>
  <c r="H64" i="10" s="1"/>
  <c r="G63" i="10"/>
  <c r="G62" i="10"/>
  <c r="H62" i="10" s="1"/>
  <c r="G61" i="10"/>
  <c r="H61" i="10" s="1"/>
  <c r="G59" i="10"/>
  <c r="H59" i="10" s="1"/>
  <c r="G57" i="10"/>
  <c r="H57" i="10" s="1"/>
  <c r="G56" i="10"/>
  <c r="H56" i="10" s="1"/>
  <c r="G40" i="10"/>
  <c r="H40" i="10" s="1"/>
  <c r="G38" i="10"/>
  <c r="H38" i="10" s="1"/>
  <c r="G37" i="10"/>
  <c r="H37" i="10" s="1"/>
  <c r="G34" i="10"/>
  <c r="H34" i="10" s="1"/>
  <c r="G33" i="10"/>
  <c r="H33" i="10" s="1"/>
  <c r="G32" i="10"/>
  <c r="H32" i="10" s="1"/>
  <c r="G31" i="10"/>
  <c r="H31" i="10" s="1"/>
  <c r="G30" i="10"/>
  <c r="H30" i="10" s="1"/>
  <c r="G28" i="10"/>
  <c r="H28" i="10" s="1"/>
  <c r="G29" i="10"/>
  <c r="H29" i="10" s="1"/>
  <c r="G27" i="10"/>
  <c r="H27" i="10" s="1"/>
  <c r="G26" i="10"/>
  <c r="H26" i="10" s="1"/>
  <c r="G25" i="10"/>
  <c r="H25" i="10" s="1"/>
  <c r="G36" i="10"/>
  <c r="H36" i="10" s="1"/>
  <c r="G24" i="10"/>
  <c r="H24" i="10" s="1"/>
  <c r="H15" i="10"/>
  <c r="H10" i="10"/>
  <c r="G3908" i="19"/>
  <c r="G3902" i="19"/>
  <c r="G1162" i="19"/>
  <c r="G1158" i="19"/>
  <c r="G1154" i="19"/>
  <c r="G1150" i="19"/>
  <c r="G1145" i="19"/>
  <c r="H1145" i="19" s="1"/>
  <c r="G1146" i="19"/>
  <c r="H1146" i="19" s="1"/>
  <c r="G1148" i="19"/>
  <c r="H1148" i="19" s="1"/>
  <c r="G1141" i="19"/>
  <c r="G1139" i="19"/>
  <c r="H1139" i="19" s="1"/>
  <c r="G3913" i="19"/>
  <c r="G1972" i="19"/>
  <c r="G4049" i="19"/>
  <c r="G4028" i="19"/>
  <c r="G4020" i="19"/>
  <c r="G4004" i="19"/>
  <c r="G3996" i="19"/>
  <c r="G3988" i="19"/>
  <c r="G3980" i="19"/>
  <c r="G3972" i="19"/>
  <c r="G4012" i="19"/>
  <c r="G3950" i="19"/>
  <c r="G3942" i="19"/>
  <c r="G3936" i="19"/>
  <c r="G3929" i="19"/>
  <c r="G3922" i="19"/>
  <c r="G2939" i="19"/>
  <c r="G2936" i="19"/>
  <c r="G3686" i="19"/>
  <c r="G1192" i="19"/>
  <c r="G1176" i="19"/>
  <c r="G1180" i="19"/>
  <c r="G1188" i="19"/>
  <c r="G1184" i="19"/>
  <c r="G3680" i="19"/>
  <c r="G3673" i="19"/>
  <c r="G3666" i="19"/>
  <c r="G3644" i="19"/>
  <c r="G3639" i="19"/>
  <c r="G3634" i="19"/>
  <c r="G3629" i="19"/>
  <c r="G3624" i="19"/>
  <c r="G3619" i="19"/>
  <c r="G3614" i="19"/>
  <c r="G3609" i="19"/>
  <c r="G3603" i="19"/>
  <c r="G3597" i="19"/>
  <c r="G3591" i="19"/>
  <c r="G3585" i="19"/>
  <c r="G3579" i="19"/>
  <c r="G3573" i="19"/>
  <c r="G3567" i="19"/>
  <c r="G3561" i="19"/>
  <c r="G3555" i="19"/>
  <c r="G3549" i="19"/>
  <c r="G3543" i="19"/>
  <c r="G3537" i="19"/>
  <c r="G3531" i="19"/>
  <c r="G3520" i="19"/>
  <c r="G3515" i="19"/>
  <c r="G3510" i="19"/>
  <c r="G3505" i="19"/>
  <c r="G3501" i="19"/>
  <c r="G3498" i="19"/>
  <c r="G3495" i="19"/>
  <c r="G3484" i="19"/>
  <c r="G3469" i="19"/>
  <c r="G3454" i="19"/>
  <c r="G3446" i="19"/>
  <c r="G3439" i="19"/>
  <c r="G3432" i="19"/>
  <c r="G3425" i="19"/>
  <c r="G3417" i="19"/>
  <c r="G3408" i="19"/>
  <c r="G3399" i="19"/>
  <c r="G3393" i="19"/>
  <c r="G3384" i="19"/>
  <c r="G3375" i="19"/>
  <c r="G3366" i="19"/>
  <c r="G3359" i="19"/>
  <c r="G3352" i="19"/>
  <c r="G3328" i="19"/>
  <c r="G3706" i="19"/>
  <c r="G3703" i="19"/>
  <c r="H3703" i="19" s="1"/>
  <c r="G3700" i="19"/>
  <c r="G3696" i="19"/>
  <c r="H3696" i="19" s="1"/>
  <c r="G3693" i="19"/>
  <c r="G3689" i="19"/>
  <c r="H3689" i="19" s="1"/>
  <c r="G1167" i="19"/>
  <c r="G1172" i="19"/>
  <c r="G3039" i="19"/>
  <c r="G3035" i="19"/>
  <c r="H3035" i="19" s="1"/>
  <c r="G3043" i="19"/>
  <c r="H3043" i="19" s="1"/>
  <c r="G3055" i="19"/>
  <c r="G3051" i="19"/>
  <c r="H3051" i="19" s="1"/>
  <c r="G3344" i="19"/>
  <c r="G3340" i="19"/>
  <c r="H3340" i="19" s="1"/>
  <c r="G3336" i="19"/>
  <c r="G3332" i="19"/>
  <c r="H3332" i="19" s="1"/>
  <c r="G3319" i="19"/>
  <c r="H3319" i="19" s="1"/>
  <c r="G3310" i="19"/>
  <c r="H3310" i="19" s="1"/>
  <c r="G3301" i="19"/>
  <c r="H3301" i="19" s="1"/>
  <c r="G3292" i="19"/>
  <c r="H3292" i="19" s="1"/>
  <c r="G3288" i="19"/>
  <c r="G3283" i="19"/>
  <c r="H3283" i="19" s="1"/>
  <c r="G3062" i="19"/>
  <c r="G3058" i="19"/>
  <c r="H3058" i="19" s="1"/>
  <c r="G3268" i="19"/>
  <c r="H3268" i="19" s="1"/>
  <c r="G3276" i="19"/>
  <c r="H3276" i="19" s="1"/>
  <c r="G3260" i="19"/>
  <c r="H3260" i="19" s="1"/>
  <c r="G3255" i="19"/>
  <c r="G3252" i="19"/>
  <c r="H3252" i="19" s="1"/>
  <c r="G2980" i="19"/>
  <c r="G2977" i="19"/>
  <c r="G2974" i="19"/>
  <c r="G2971" i="19"/>
  <c r="G2998" i="19"/>
  <c r="G2995" i="19"/>
  <c r="G2992" i="19"/>
  <c r="G2967" i="19"/>
  <c r="G2962" i="19"/>
  <c r="G2957" i="19"/>
  <c r="G2952" i="19"/>
  <c r="G2947" i="19"/>
  <c r="G3111" i="19"/>
  <c r="G3104" i="19"/>
  <c r="G3097" i="19"/>
  <c r="G3090" i="19"/>
  <c r="G3083" i="19"/>
  <c r="G3076" i="19"/>
  <c r="G3069" i="19"/>
  <c r="G3120" i="19"/>
  <c r="G3137" i="19"/>
  <c r="G3154" i="19"/>
  <c r="G3188" i="19"/>
  <c r="G3239" i="19"/>
  <c r="G3004" i="19"/>
  <c r="G3018" i="19"/>
  <c r="G3022" i="19"/>
  <c r="H3022" i="19" s="1"/>
  <c r="G2838" i="19"/>
  <c r="G2698" i="19"/>
  <c r="G2694" i="19"/>
  <c r="G2822" i="19"/>
  <c r="G2814" i="19"/>
  <c r="G2810" i="19"/>
  <c r="G2806" i="19"/>
  <c r="G2818" i="19"/>
  <c r="G2892" i="19"/>
  <c r="G2834" i="19"/>
  <c r="G2830" i="19"/>
  <c r="G1964" i="19"/>
  <c r="G1957" i="19"/>
  <c r="H1957" i="19" s="1"/>
  <c r="G1959" i="19"/>
  <c r="H1959" i="19" s="1"/>
  <c r="G2878" i="19"/>
  <c r="G3786" i="19"/>
  <c r="H3786" i="19" s="1"/>
  <c r="G3784" i="19"/>
  <c r="G3779" i="19"/>
  <c r="H3779" i="19" s="1"/>
  <c r="G3780" i="19"/>
  <c r="H3780" i="19" s="1"/>
  <c r="G3762" i="19"/>
  <c r="H3762" i="19" s="1"/>
  <c r="G3760" i="19"/>
  <c r="G3754" i="19"/>
  <c r="H3754" i="19" s="1"/>
  <c r="G3750" i="19"/>
  <c r="H3750" i="19" s="1"/>
  <c r="G3752" i="19"/>
  <c r="H3752" i="19" s="1"/>
  <c r="G3745" i="19"/>
  <c r="G3732" i="19"/>
  <c r="G3726" i="19"/>
  <c r="H3726" i="19" s="1"/>
  <c r="G3723" i="19"/>
  <c r="H3723" i="19" s="1"/>
  <c r="G2798" i="19"/>
  <c r="G2780" i="19"/>
  <c r="G2744" i="19"/>
  <c r="G3720" i="19"/>
  <c r="G3714" i="19"/>
  <c r="H3714" i="19" s="1"/>
  <c r="G3711" i="19"/>
  <c r="H3711" i="19" s="1"/>
  <c r="G3712" i="19"/>
  <c r="H3712" i="19" s="1"/>
  <c r="G2737" i="19"/>
  <c r="G2730" i="19"/>
  <c r="G2723" i="19"/>
  <c r="G2716" i="19"/>
  <c r="G2709" i="19"/>
  <c r="G2775" i="19"/>
  <c r="G2769" i="19"/>
  <c r="G2763" i="19"/>
  <c r="G2757" i="19"/>
  <c r="G2751" i="19"/>
  <c r="G2908" i="19"/>
  <c r="G2900" i="19"/>
  <c r="G2686" i="19"/>
  <c r="G2680" i="19"/>
  <c r="G2674" i="19"/>
  <c r="G2667" i="19"/>
  <c r="G2661" i="19"/>
  <c r="G2504" i="19"/>
  <c r="G2463" i="19"/>
  <c r="G2458" i="19"/>
  <c r="G2452" i="19"/>
  <c r="G2446" i="19"/>
  <c r="G2443" i="19"/>
  <c r="H2443" i="19" s="1"/>
  <c r="G2554" i="19"/>
  <c r="H2554" i="19" s="1"/>
  <c r="G2553" i="19"/>
  <c r="G2552" i="19"/>
  <c r="G2544" i="19"/>
  <c r="H2544" i="19" s="1"/>
  <c r="G2542" i="19"/>
  <c r="G2541" i="19"/>
  <c r="H2533" i="19"/>
  <c r="G2532" i="19"/>
  <c r="G2531" i="19"/>
  <c r="G2498" i="19"/>
  <c r="G2494" i="19"/>
  <c r="G2486" i="19"/>
  <c r="G2478" i="19"/>
  <c r="G2438" i="19"/>
  <c r="G2426" i="19"/>
  <c r="G2414" i="19"/>
  <c r="G2402" i="19"/>
  <c r="G2390" i="19"/>
  <c r="G2378" i="19"/>
  <c r="H2378" i="19" s="1"/>
  <c r="G2377" i="19"/>
  <c r="G3802" i="19"/>
  <c r="H3802" i="19" s="1"/>
  <c r="G3801" i="19"/>
  <c r="G3800" i="19"/>
  <c r="G3795" i="19"/>
  <c r="H3795" i="19" s="1"/>
  <c r="G2364" i="19"/>
  <c r="G2345" i="19"/>
  <c r="G2360" i="19"/>
  <c r="G2354" i="19"/>
  <c r="H2354" i="19" s="1"/>
  <c r="G2339" i="19"/>
  <c r="G2329" i="19"/>
  <c r="G2319" i="19"/>
  <c r="G2309" i="19"/>
  <c r="G2263" i="19"/>
  <c r="G2256" i="19"/>
  <c r="E2255" i="19"/>
  <c r="H2255" i="19" s="1"/>
  <c r="G2246" i="19"/>
  <c r="G2240" i="19"/>
  <c r="G2233" i="19"/>
  <c r="E2202" i="19"/>
  <c r="G2184" i="19"/>
  <c r="G2168" i="19"/>
  <c r="G2164" i="19"/>
  <c r="G2160" i="19"/>
  <c r="G2062" i="19"/>
  <c r="G2145" i="19"/>
  <c r="G2139" i="19"/>
  <c r="G2133" i="19"/>
  <c r="G2128" i="19"/>
  <c r="G2122" i="19"/>
  <c r="G2057" i="19"/>
  <c r="G2052" i="19"/>
  <c r="G2048" i="19"/>
  <c r="H2048" i="19" s="1"/>
  <c r="G2046" i="19"/>
  <c r="G2005" i="19"/>
  <c r="G2000" i="19"/>
  <c r="G2041" i="19"/>
  <c r="G2010" i="19"/>
  <c r="G2035" i="19"/>
  <c r="G1990" i="19"/>
  <c r="G1985" i="19"/>
  <c r="G1979" i="19"/>
  <c r="G1969" i="19"/>
  <c r="G1372" i="19"/>
  <c r="G1353" i="19"/>
  <c r="G2149" i="19"/>
  <c r="G1479" i="19"/>
  <c r="H1479" i="19" s="1"/>
  <c r="G1477" i="19"/>
  <c r="G1949" i="19"/>
  <c r="G1946" i="19"/>
  <c r="H1946" i="19" s="1"/>
  <c r="G1939" i="19"/>
  <c r="G1929" i="19"/>
  <c r="G1926" i="19"/>
  <c r="H1926" i="19" s="1"/>
  <c r="H1921" i="19"/>
  <c r="G1919" i="19"/>
  <c r="G1916" i="19"/>
  <c r="H1916" i="19" s="1"/>
  <c r="G1839" i="19"/>
  <c r="G1837" i="19"/>
  <c r="H1837" i="19" s="1"/>
  <c r="G1827" i="19"/>
  <c r="H1827" i="19" s="1"/>
  <c r="G1808" i="19"/>
  <c r="H1808" i="19" s="1"/>
  <c r="G1805" i="19"/>
  <c r="H1805" i="19" s="1"/>
  <c r="G1852" i="19"/>
  <c r="G1848" i="19"/>
  <c r="H1848" i="19" s="1"/>
  <c r="G1850" i="19"/>
  <c r="H1850" i="19" s="1"/>
  <c r="G1719" i="19"/>
  <c r="G1698" i="19"/>
  <c r="G1761" i="19"/>
  <c r="G1897" i="19"/>
  <c r="G1879" i="19"/>
  <c r="G1861" i="19"/>
  <c r="G1690" i="19"/>
  <c r="G1661" i="19"/>
  <c r="G1659" i="19"/>
  <c r="H1659" i="19" s="1"/>
  <c r="G1611" i="19"/>
  <c r="G1655" i="19"/>
  <c r="G1637" i="19"/>
  <c r="G1540" i="19"/>
  <c r="H1540" i="19" s="1"/>
  <c r="G1538" i="19"/>
  <c r="G1646" i="19"/>
  <c r="G1584" i="19"/>
  <c r="G1619" i="19"/>
  <c r="G1548" i="19"/>
  <c r="G1568" i="19"/>
  <c r="H1568" i="19" s="1"/>
  <c r="G1566" i="19"/>
  <c r="G1577" i="19"/>
  <c r="G1591" i="19"/>
  <c r="G1559" i="19"/>
  <c r="H1559" i="19" s="1"/>
  <c r="G1557" i="19"/>
  <c r="G1521" i="19"/>
  <c r="G1466" i="19"/>
  <c r="G1440" i="19"/>
  <c r="G1434" i="19"/>
  <c r="G1424" i="19"/>
  <c r="G1419" i="19"/>
  <c r="G1410" i="19"/>
  <c r="G1405" i="19"/>
  <c r="G1397" i="19"/>
  <c r="G1390" i="19"/>
  <c r="G1383" i="19"/>
  <c r="G1379" i="19"/>
  <c r="E1377" i="19"/>
  <c r="H1377" i="19" s="1"/>
  <c r="G1360" i="19"/>
  <c r="G1268" i="19"/>
  <c r="G1342" i="19"/>
  <c r="G1318" i="19"/>
  <c r="G1281" i="19"/>
  <c r="G1254" i="19"/>
  <c r="G1248" i="19"/>
  <c r="G1227" i="19"/>
  <c r="G1220" i="19"/>
  <c r="G1213" i="19"/>
  <c r="G1206" i="19"/>
  <c r="G1132" i="19"/>
  <c r="G1130" i="19"/>
  <c r="H1130" i="19" s="1"/>
  <c r="G1128" i="19"/>
  <c r="H1128" i="19" s="1"/>
  <c r="E1117" i="19"/>
  <c r="H1117" i="19" s="1"/>
  <c r="G1118" i="19"/>
  <c r="H1118" i="19" s="1"/>
  <c r="E1107" i="19"/>
  <c r="H1107" i="19" s="1"/>
  <c r="G1110" i="19"/>
  <c r="H1110" i="19" s="1"/>
  <c r="G1104" i="19"/>
  <c r="H1104" i="19" s="1"/>
  <c r="G1102" i="19"/>
  <c r="G1098" i="19"/>
  <c r="H1098" i="19" s="1"/>
  <c r="G1096" i="19"/>
  <c r="E1090" i="19"/>
  <c r="G1086" i="19"/>
  <c r="H1086" i="19" s="1"/>
  <c r="E1082" i="19"/>
  <c r="H1082" i="19" s="1"/>
  <c r="G1085" i="19"/>
  <c r="H1085" i="19" s="1"/>
  <c r="E1083" i="19"/>
  <c r="H1083" i="19" s="1"/>
  <c r="E1076" i="19"/>
  <c r="G1073" i="19"/>
  <c r="H1073" i="19" s="1"/>
  <c r="G1075" i="19"/>
  <c r="H1075" i="19" s="1"/>
  <c r="G1061" i="19"/>
  <c r="G1057" i="19"/>
  <c r="H1057" i="19" s="1"/>
  <c r="G1056" i="19"/>
  <c r="H1056" i="19" s="1"/>
  <c r="G1049" i="19"/>
  <c r="G1045" i="19"/>
  <c r="H1045" i="19" s="1"/>
  <c r="G1044" i="19"/>
  <c r="H1044" i="19" s="1"/>
  <c r="E1027" i="19"/>
  <c r="G1026" i="19"/>
  <c r="H1026" i="19" s="1"/>
  <c r="G1020" i="19"/>
  <c r="H1020" i="19" s="1"/>
  <c r="G1011" i="19"/>
  <c r="G1007" i="19"/>
  <c r="H1007" i="19" s="1"/>
  <c r="G1006" i="19"/>
  <c r="H1006" i="19" s="1"/>
  <c r="E1001" i="19"/>
  <c r="G998" i="19"/>
  <c r="G994" i="19"/>
  <c r="H994" i="19" s="1"/>
  <c r="G993" i="19"/>
  <c r="H993" i="19" s="1"/>
  <c r="E987" i="19"/>
  <c r="E983" i="19"/>
  <c r="G980" i="19"/>
  <c r="H980" i="19" s="1"/>
  <c r="G979" i="19"/>
  <c r="H979" i="19" s="1"/>
  <c r="E973" i="19"/>
  <c r="G971" i="19"/>
  <c r="H971" i="19" s="1"/>
  <c r="E959" i="19"/>
  <c r="G958" i="19"/>
  <c r="H958" i="19" s="1"/>
  <c r="G955" i="19"/>
  <c r="E904" i="19"/>
  <c r="H903" i="19"/>
  <c r="E889" i="19"/>
  <c r="G888" i="19"/>
  <c r="H888" i="19" s="1"/>
  <c r="E883" i="19"/>
  <c r="H883" i="19" s="1"/>
  <c r="E880" i="19"/>
  <c r="G879" i="19"/>
  <c r="H879" i="19" s="1"/>
  <c r="G877" i="19"/>
  <c r="G876" i="19"/>
  <c r="E871" i="19"/>
  <c r="G870" i="19"/>
  <c r="H870" i="19" s="1"/>
  <c r="G868" i="19"/>
  <c r="G867" i="19"/>
  <c r="E862" i="19"/>
  <c r="G861" i="19"/>
  <c r="H861" i="19" s="1"/>
  <c r="G859" i="19"/>
  <c r="G858" i="19"/>
  <c r="G856" i="19"/>
  <c r="H856" i="19" s="1"/>
  <c r="G855" i="19"/>
  <c r="H855" i="19" s="1"/>
  <c r="G848" i="19"/>
  <c r="G846" i="19"/>
  <c r="H846" i="19" s="1"/>
  <c r="G845" i="19"/>
  <c r="H845" i="19" s="1"/>
  <c r="E839" i="19"/>
  <c r="G838" i="19"/>
  <c r="H838" i="19" s="1"/>
  <c r="G835" i="19"/>
  <c r="G829" i="19"/>
  <c r="H829" i="19" s="1"/>
  <c r="G830" i="19"/>
  <c r="H830" i="19" s="1"/>
  <c r="G828" i="19"/>
  <c r="H828" i="19" s="1"/>
  <c r="G833" i="19"/>
  <c r="H833" i="19" s="1"/>
  <c r="G832" i="19"/>
  <c r="H832" i="19" s="1"/>
  <c r="E824" i="19"/>
  <c r="G823" i="19"/>
  <c r="H823" i="19" s="1"/>
  <c r="G820" i="19"/>
  <c r="G814" i="19"/>
  <c r="H814" i="19" s="1"/>
  <c r="G815" i="19"/>
  <c r="H815" i="19" s="1"/>
  <c r="G813" i="19"/>
  <c r="H813" i="19" s="1"/>
  <c r="G818" i="19"/>
  <c r="H818" i="19" s="1"/>
  <c r="G817" i="19"/>
  <c r="H817" i="19" s="1"/>
  <c r="E809" i="19"/>
  <c r="G802" i="19"/>
  <c r="H802" i="19" s="1"/>
  <c r="G801" i="19"/>
  <c r="H801" i="19" s="1"/>
  <c r="E796" i="19"/>
  <c r="G789" i="19"/>
  <c r="H789" i="19" s="1"/>
  <c r="G788" i="19"/>
  <c r="H788" i="19" s="1"/>
  <c r="E783" i="19"/>
  <c r="E779" i="19"/>
  <c r="G776" i="19"/>
  <c r="H776" i="19" s="1"/>
  <c r="G775" i="19"/>
  <c r="H775" i="19" s="1"/>
  <c r="E770" i="19"/>
  <c r="E766" i="19"/>
  <c r="G763" i="19"/>
  <c r="H763" i="19" s="1"/>
  <c r="G762" i="19"/>
  <c r="H762" i="19" s="1"/>
  <c r="E757" i="19"/>
  <c r="G756" i="19"/>
  <c r="H756" i="19" s="1"/>
  <c r="G753" i="19"/>
  <c r="G751" i="19"/>
  <c r="H751" i="19" s="1"/>
  <c r="G748" i="19"/>
  <c r="H748" i="19" s="1"/>
  <c r="G750" i="19"/>
  <c r="H750" i="19" s="1"/>
  <c r="E744" i="19"/>
  <c r="G743" i="19"/>
  <c r="H743" i="19" s="1"/>
  <c r="G740" i="19"/>
  <c r="G738" i="19"/>
  <c r="H738" i="19" s="1"/>
  <c r="G735" i="19"/>
  <c r="H735" i="19" s="1"/>
  <c r="G737" i="19"/>
  <c r="H737" i="19" s="1"/>
  <c r="G728" i="19"/>
  <c r="H728" i="19" s="1"/>
  <c r="G727" i="19"/>
  <c r="H727" i="19" s="1"/>
  <c r="G721" i="19"/>
  <c r="G719" i="19"/>
  <c r="H719" i="19" s="1"/>
  <c r="G718" i="19"/>
  <c r="H718" i="19" s="1"/>
  <c r="G712" i="19"/>
  <c r="G710" i="19"/>
  <c r="H710" i="19" s="1"/>
  <c r="G709" i="19"/>
  <c r="H709" i="19" s="1"/>
  <c r="E704" i="19"/>
  <c r="G703" i="19"/>
  <c r="H703" i="19" s="1"/>
  <c r="G697" i="19"/>
  <c r="H697" i="19" s="1"/>
  <c r="G696" i="19"/>
  <c r="H696" i="19" s="1"/>
  <c r="G699" i="19"/>
  <c r="H699" i="19" s="1"/>
  <c r="E692" i="19"/>
  <c r="G691" i="19"/>
  <c r="H691" i="19" s="1"/>
  <c r="G689" i="19"/>
  <c r="E685" i="19"/>
  <c r="G684" i="19"/>
  <c r="H684" i="19" s="1"/>
  <c r="G682" i="19"/>
  <c r="E678" i="19"/>
  <c r="G677" i="19"/>
  <c r="H677" i="19" s="1"/>
  <c r="E671" i="19"/>
  <c r="G670" i="19"/>
  <c r="H670" i="19" s="1"/>
  <c r="G668" i="19"/>
  <c r="G659" i="19"/>
  <c r="H659" i="19" s="1"/>
  <c r="G657" i="19"/>
  <c r="H657" i="19" s="1"/>
  <c r="E656" i="19"/>
  <c r="H656" i="19" s="1"/>
  <c r="G652" i="19"/>
  <c r="G648" i="19"/>
  <c r="H648" i="19" s="1"/>
  <c r="G646" i="19"/>
  <c r="H646" i="19" s="1"/>
  <c r="E645" i="19"/>
  <c r="H645" i="19" s="1"/>
  <c r="G637" i="19"/>
  <c r="H637" i="19" s="1"/>
  <c r="G635" i="19"/>
  <c r="H635" i="19" s="1"/>
  <c r="G630" i="19"/>
  <c r="G626" i="19"/>
  <c r="H626" i="19" s="1"/>
  <c r="G624" i="19"/>
  <c r="H624" i="19" s="1"/>
  <c r="E623" i="19"/>
  <c r="H623" i="19" s="1"/>
  <c r="G614" i="19"/>
  <c r="G609" i="19"/>
  <c r="E601" i="19"/>
  <c r="H601" i="19" s="1"/>
  <c r="G600" i="19"/>
  <c r="H600" i="19" s="1"/>
  <c r="E594" i="19"/>
  <c r="H594" i="19" s="1"/>
  <c r="H593" i="19"/>
  <c r="E587" i="19"/>
  <c r="H587" i="19" s="1"/>
  <c r="H585" i="19"/>
  <c r="E580" i="19"/>
  <c r="H580" i="19" s="1"/>
  <c r="H578" i="19"/>
  <c r="E566" i="19"/>
  <c r="H566" i="19" s="1"/>
  <c r="G565" i="19"/>
  <c r="H565" i="19" s="1"/>
  <c r="G563" i="19"/>
  <c r="H563" i="19" s="1"/>
  <c r="G555" i="19"/>
  <c r="G551" i="19"/>
  <c r="G547" i="19"/>
  <c r="G542" i="19"/>
  <c r="G537" i="19"/>
  <c r="G535" i="19"/>
  <c r="H535" i="19" s="1"/>
  <c r="G531" i="19"/>
  <c r="G529" i="19"/>
  <c r="H529" i="19" s="1"/>
  <c r="G525" i="19"/>
  <c r="G523" i="19"/>
  <c r="H523" i="19" s="1"/>
  <c r="G519" i="19"/>
  <c r="G514" i="19"/>
  <c r="G509" i="19"/>
  <c r="G505" i="19"/>
  <c r="G503" i="19"/>
  <c r="H503" i="19" s="1"/>
  <c r="G499" i="19"/>
  <c r="H497" i="19"/>
  <c r="G491" i="19"/>
  <c r="H491" i="19" s="1"/>
  <c r="G487" i="19"/>
  <c r="G309" i="19"/>
  <c r="G307" i="19"/>
  <c r="H307" i="19" s="1"/>
  <c r="G306" i="19"/>
  <c r="H306" i="19" s="1"/>
  <c r="G416" i="19"/>
  <c r="G368" i="19"/>
  <c r="G331" i="19"/>
  <c r="G354" i="19"/>
  <c r="G323" i="19"/>
  <c r="G436" i="19"/>
  <c r="G379" i="19"/>
  <c r="G319" i="19"/>
  <c r="G363" i="19"/>
  <c r="G398" i="19"/>
  <c r="G431" i="19"/>
  <c r="G393" i="19"/>
  <c r="G388" i="19"/>
  <c r="G406" i="19"/>
  <c r="G335" i="19"/>
  <c r="G327" i="19"/>
  <c r="G349" i="19"/>
  <c r="G358" i="19"/>
  <c r="G344" i="19"/>
  <c r="G303" i="19"/>
  <c r="G301" i="19"/>
  <c r="G299" i="19"/>
  <c r="H299" i="19" s="1"/>
  <c r="G298" i="19"/>
  <c r="G278" i="19"/>
  <c r="G272" i="19"/>
  <c r="G3870" i="19"/>
  <c r="G3862" i="19"/>
  <c r="H3862" i="19" s="1"/>
  <c r="G3860" i="19"/>
  <c r="G3846" i="19"/>
  <c r="H3846" i="19" s="1"/>
  <c r="G3830" i="19"/>
  <c r="H3830" i="19" s="1"/>
  <c r="G3956" i="19"/>
  <c r="G3964" i="19"/>
  <c r="E3959" i="19"/>
  <c r="H3959" i="19" s="1"/>
  <c r="G250" i="19"/>
  <c r="G247" i="19"/>
  <c r="H247" i="19" s="1"/>
  <c r="G244" i="19"/>
  <c r="G242" i="19"/>
  <c r="H242" i="19" s="1"/>
  <c r="G238" i="19"/>
  <c r="H238" i="19" s="1"/>
  <c r="G230" i="19"/>
  <c r="G226" i="19"/>
  <c r="G222" i="19"/>
  <c r="H219" i="19"/>
  <c r="G217" i="19"/>
  <c r="H215" i="19"/>
  <c r="G207" i="19"/>
  <c r="G203" i="19"/>
  <c r="G201" i="19"/>
  <c r="H201" i="19" s="1"/>
  <c r="G200" i="19"/>
  <c r="G196" i="19"/>
  <c r="G192" i="19"/>
  <c r="G183" i="19"/>
  <c r="G179" i="19"/>
  <c r="H175" i="19"/>
  <c r="H172" i="19"/>
  <c r="G166" i="19"/>
  <c r="H166" i="19" s="1"/>
  <c r="G154" i="19"/>
  <c r="H154" i="19" s="1"/>
  <c r="G153" i="19"/>
  <c r="G147" i="19"/>
  <c r="C47" i="6"/>
  <c r="D47" i="6" s="1"/>
  <c r="D29" i="6"/>
  <c r="D37" i="6" s="1"/>
  <c r="C40" i="6"/>
  <c r="C44" i="6"/>
  <c r="D44" i="6" s="1"/>
  <c r="D40" i="6" l="1"/>
  <c r="D46" i="6"/>
  <c r="F129" i="19"/>
  <c r="F133" i="19"/>
  <c r="E45" i="6"/>
  <c r="F45" i="6" s="1"/>
  <c r="D39" i="6"/>
  <c r="E39" i="6" s="1"/>
  <c r="F39" i="6" s="1"/>
  <c r="F3001" i="19"/>
  <c r="H3001" i="19" s="1"/>
  <c r="F2966" i="19"/>
  <c r="H2966" i="19" s="1"/>
  <c r="F2961" i="19"/>
  <c r="H2961" i="19" s="1"/>
  <c r="F2956" i="19"/>
  <c r="H2956" i="19" s="1"/>
  <c r="H303" i="19"/>
  <c r="H309" i="19"/>
  <c r="F3132" i="19"/>
  <c r="H3132" i="19" s="1"/>
  <c r="H132" i="19"/>
  <c r="E47" i="6"/>
  <c r="F47" i="6" s="1"/>
  <c r="C42" i="6"/>
  <c r="D42" i="6" s="1"/>
  <c r="E42" i="6" s="1"/>
  <c r="F42" i="6" s="1"/>
  <c r="E37" i="6"/>
  <c r="F37" i="6" s="1"/>
  <c r="E33" i="6"/>
  <c r="F33" i="6" s="1"/>
  <c r="E8" i="4" s="1"/>
  <c r="C43" i="6"/>
  <c r="D38" i="6"/>
  <c r="E38" i="6" s="1"/>
  <c r="F38" i="6" s="1"/>
  <c r="C41" i="6"/>
  <c r="D41" i="6" s="1"/>
  <c r="D36" i="6"/>
  <c r="E36" i="6" s="1"/>
  <c r="F36" i="6" s="1"/>
  <c r="E40" i="6"/>
  <c r="F40" i="6" s="1"/>
  <c r="F55" i="6" s="1"/>
  <c r="E25" i="4" s="1"/>
  <c r="F146" i="10" s="1"/>
  <c r="H146" i="10" s="1"/>
  <c r="D35" i="6"/>
  <c r="E35" i="6" s="1"/>
  <c r="F35" i="6" s="1"/>
  <c r="E44" i="6"/>
  <c r="F44" i="6" s="1"/>
  <c r="E34" i="6"/>
  <c r="F34" i="6" s="1"/>
  <c r="F48" i="6" s="1"/>
  <c r="F3166" i="19"/>
  <c r="H3166" i="19" s="1"/>
  <c r="F3371" i="19"/>
  <c r="H3371" i="19" s="1"/>
  <c r="F3200" i="19"/>
  <c r="H3200" i="19" s="1"/>
  <c r="F3149" i="19"/>
  <c r="H3149" i="19" s="1"/>
  <c r="F56" i="6" l="1"/>
  <c r="F148" i="10"/>
  <c r="H148" i="10" s="1"/>
  <c r="F142" i="10" s="1"/>
  <c r="F131" i="19"/>
  <c r="F138" i="10"/>
  <c r="H138" i="10" s="1"/>
  <c r="F140" i="10" s="1"/>
  <c r="H140" i="10" s="1"/>
  <c r="F134" i="10" s="1"/>
  <c r="F152" i="10"/>
  <c r="H152" i="10" s="1"/>
  <c r="F499" i="10"/>
  <c r="H499" i="10" s="1"/>
  <c r="F308" i="19"/>
  <c r="H308" i="19" s="1"/>
  <c r="D43" i="6"/>
  <c r="E43" i="6" s="1"/>
  <c r="F43" i="6" s="1"/>
  <c r="F64" i="6"/>
  <c r="E24" i="4" s="1"/>
  <c r="F54" i="6"/>
  <c r="E11" i="4" s="1"/>
  <c r="F66" i="6"/>
  <c r="F52" i="6"/>
  <c r="F50" i="6"/>
  <c r="F60" i="6"/>
  <c r="E17" i="4" s="1"/>
  <c r="F59" i="6"/>
  <c r="E14" i="4" s="1"/>
  <c r="F164" i="19" s="1"/>
  <c r="F57" i="6"/>
  <c r="F2149" i="19"/>
  <c r="H2149" i="19" s="1"/>
  <c r="F505" i="10"/>
  <c r="H505" i="10" s="1"/>
  <c r="F63" i="10"/>
  <c r="H63" i="10" s="1"/>
  <c r="F60" i="10" s="1"/>
  <c r="F58" i="10"/>
  <c r="H58" i="10" s="1"/>
  <c r="F55" i="10" s="1"/>
  <c r="E7" i="4"/>
  <c r="F3183" i="19"/>
  <c r="H3183" i="19" s="1"/>
  <c r="E9" i="4"/>
  <c r="F173" i="19" s="1"/>
  <c r="E41" i="6"/>
  <c r="F41" i="6" s="1"/>
  <c r="E19" i="4" s="1"/>
  <c r="E46" i="6"/>
  <c r="E28" i="4" s="1"/>
  <c r="F4054" i="19" s="1"/>
  <c r="H4054" i="19" s="1"/>
  <c r="F4053" i="19" s="1"/>
  <c r="F65" i="6"/>
  <c r="E23" i="4" s="1"/>
  <c r="E26" i="4"/>
  <c r="F2645" i="19" s="1"/>
  <c r="H2645" i="19" s="1"/>
  <c r="E6" i="4"/>
  <c r="E20" i="4"/>
  <c r="F466" i="19" l="1"/>
  <c r="H466" i="19" s="1"/>
  <c r="F234" i="19"/>
  <c r="H234" i="19" s="1"/>
  <c r="F293" i="19"/>
  <c r="H293" i="19" s="1"/>
  <c r="F2647" i="19"/>
  <c r="H2647" i="19" s="1"/>
  <c r="F2646" i="19"/>
  <c r="H2646" i="19" s="1"/>
  <c r="F2786" i="19"/>
  <c r="H2786" i="19" s="1"/>
  <c r="F2787" i="19" s="1"/>
  <c r="H2787" i="19" s="1"/>
  <c r="F2782" i="19" s="1"/>
  <c r="F467" i="19"/>
  <c r="H467" i="19" s="1"/>
  <c r="F305" i="19"/>
  <c r="F154" i="10"/>
  <c r="H154" i="10" s="1"/>
  <c r="F150" i="10" s="1"/>
  <c r="F361" i="10"/>
  <c r="H361" i="10" s="1"/>
  <c r="F363" i="10" s="1"/>
  <c r="H363" i="10" s="1"/>
  <c r="F359" i="10" s="1"/>
  <c r="F124" i="10"/>
  <c r="H124" i="10" s="1"/>
  <c r="F449" i="19"/>
  <c r="H449" i="19" s="1"/>
  <c r="F372" i="19"/>
  <c r="H372" i="19" s="1"/>
  <c r="F1198" i="19"/>
  <c r="H1198" i="19" s="1"/>
  <c r="F457" i="19"/>
  <c r="H457" i="19" s="1"/>
  <c r="F1085" i="10"/>
  <c r="H1085" i="10" s="1"/>
  <c r="F1086" i="10" s="1"/>
  <c r="H1086" i="10" s="1"/>
  <c r="F1092" i="10"/>
  <c r="H1092" i="10" s="1"/>
  <c r="F1135" i="10"/>
  <c r="H1135" i="10" s="1"/>
  <c r="F1140" i="10"/>
  <c r="H1140" i="10" s="1"/>
  <c r="F1064" i="10"/>
  <c r="H1064" i="10" s="1"/>
  <c r="F1098" i="10"/>
  <c r="H1098" i="10" s="1"/>
  <c r="F1060" i="10"/>
  <c r="H1060" i="10" s="1"/>
  <c r="F1058" i="10" s="1"/>
  <c r="F1104" i="10"/>
  <c r="H1104" i="10" s="1"/>
  <c r="F1070" i="10"/>
  <c r="H1070" i="10" s="1"/>
  <c r="F1047" i="10"/>
  <c r="H1047" i="10" s="1"/>
  <c r="F1055" i="10"/>
  <c r="H1055" i="10" s="1"/>
  <c r="F462" i="19"/>
  <c r="H462" i="19" s="1"/>
  <c r="F301" i="19"/>
  <c r="H301" i="19" s="1"/>
  <c r="F340" i="19"/>
  <c r="H340" i="19" s="1"/>
  <c r="F327" i="19"/>
  <c r="H327" i="19" s="1"/>
  <c r="F358" i="19"/>
  <c r="H358" i="19" s="1"/>
  <c r="F319" i="19"/>
  <c r="H319" i="19" s="1"/>
  <c r="F315" i="19"/>
  <c r="H315" i="19" s="1"/>
  <c r="F344" i="19"/>
  <c r="H344" i="19" s="1"/>
  <c r="F311" i="19"/>
  <c r="H311" i="19" s="1"/>
  <c r="F207" i="19"/>
  <c r="H207" i="19" s="1"/>
  <c r="F335" i="19"/>
  <c r="H335" i="19" s="1"/>
  <c r="F349" i="19"/>
  <c r="H349" i="19" s="1"/>
  <c r="F614" i="19"/>
  <c r="H614" i="19" s="1"/>
  <c r="F461" i="19"/>
  <c r="H461" i="19" s="1"/>
  <c r="F288" i="19"/>
  <c r="H288" i="19" s="1"/>
  <c r="F226" i="19"/>
  <c r="H226" i="19" s="1"/>
  <c r="F169" i="19"/>
  <c r="H169" i="19" s="1"/>
  <c r="F363" i="19"/>
  <c r="F240" i="19"/>
  <c r="H240" i="19" s="1"/>
  <c r="F281" i="19"/>
  <c r="F250" i="19"/>
  <c r="H250" i="19" s="1"/>
  <c r="F244" i="19"/>
  <c r="H244" i="19" s="1"/>
  <c r="F376" i="10"/>
  <c r="H376" i="10" s="1"/>
  <c r="F751" i="10"/>
  <c r="H751" i="10" s="1"/>
  <c r="F500" i="10"/>
  <c r="H500" i="10" s="1"/>
  <c r="F496" i="10" s="1"/>
  <c r="F753" i="10" s="1"/>
  <c r="H753" i="10" s="1"/>
  <c r="F473" i="10"/>
  <c r="H473" i="10" s="1"/>
  <c r="F516" i="10"/>
  <c r="H516" i="10" s="1"/>
  <c r="F487" i="10"/>
  <c r="H487" i="10" s="1"/>
  <c r="F445" i="10"/>
  <c r="H445" i="10" s="1"/>
  <c r="F459" i="10"/>
  <c r="H459" i="10" s="1"/>
  <c r="F404" i="10"/>
  <c r="H404" i="10" s="1"/>
  <c r="F431" i="10"/>
  <c r="H431" i="10" s="1"/>
  <c r="F390" i="10"/>
  <c r="H390" i="10" s="1"/>
  <c r="F53" i="6"/>
  <c r="F51" i="6"/>
  <c r="F213" i="19"/>
  <c r="H213" i="19" s="1"/>
  <c r="F2869" i="19"/>
  <c r="H2869" i="19" s="1"/>
  <c r="F2865" i="19"/>
  <c r="H2865" i="19" s="1"/>
  <c r="F2861" i="19"/>
  <c r="H2861" i="19" s="1"/>
  <c r="F2857" i="19"/>
  <c r="H2857" i="19" s="1"/>
  <c r="F2853" i="19"/>
  <c r="H2853" i="19" s="1"/>
  <c r="F2849" i="19"/>
  <c r="H2849" i="19" s="1"/>
  <c r="F2845" i="19"/>
  <c r="H2845" i="19" s="1"/>
  <c r="F2841" i="19"/>
  <c r="H2841" i="19" s="1"/>
  <c r="F4052" i="19"/>
  <c r="H4052" i="19" s="1"/>
  <c r="F49" i="6"/>
  <c r="F58" i="6"/>
  <c r="F136" i="19"/>
  <c r="F2641" i="19"/>
  <c r="H2641" i="19" s="1"/>
  <c r="F2635" i="19"/>
  <c r="H2635" i="19" s="1"/>
  <c r="H173" i="19"/>
  <c r="F171" i="19" s="1"/>
  <c r="F11" i="10"/>
  <c r="F4049" i="19"/>
  <c r="H4049" i="19" s="1"/>
  <c r="F186" i="19"/>
  <c r="F323" i="19"/>
  <c r="F203" i="19"/>
  <c r="H203" i="19" s="1"/>
  <c r="F701" i="19"/>
  <c r="H701" i="19" s="1"/>
  <c r="F740" i="19"/>
  <c r="H740" i="19" s="1"/>
  <c r="H164" i="19"/>
  <c r="F835" i="19"/>
  <c r="H835" i="19" s="1"/>
  <c r="F820" i="19"/>
  <c r="H820" i="19" s="1"/>
  <c r="F753" i="19"/>
  <c r="H753" i="19" s="1"/>
  <c r="F968" i="19"/>
  <c r="H968" i="19" s="1"/>
  <c r="F886" i="19"/>
  <c r="H886" i="19" s="1"/>
  <c r="F2553" i="19"/>
  <c r="H2553" i="19" s="1"/>
  <c r="F3801" i="19"/>
  <c r="H3801" i="19" s="1"/>
  <c r="F2542" i="19"/>
  <c r="H2542" i="19" s="1"/>
  <c r="F2532" i="19"/>
  <c r="H2532" i="19" s="1"/>
  <c r="F4028" i="19"/>
  <c r="H4028" i="19" s="1"/>
  <c r="F4004" i="19"/>
  <c r="H4004" i="19" s="1"/>
  <c r="F3988" i="19"/>
  <c r="H3988" i="19" s="1"/>
  <c r="F3972" i="19"/>
  <c r="H3972" i="19" s="1"/>
  <c r="F2145" i="19"/>
  <c r="H2145" i="19" s="1"/>
  <c r="F4036" i="19"/>
  <c r="H4036" i="19" s="1"/>
  <c r="F4020" i="19"/>
  <c r="H4020" i="19" s="1"/>
  <c r="F3996" i="19"/>
  <c r="H3996" i="19" s="1"/>
  <c r="F3980" i="19"/>
  <c r="H3980" i="19" s="1"/>
  <c r="F4012" i="19"/>
  <c r="H4012" i="19" s="1"/>
  <c r="F2133" i="19"/>
  <c r="H2133" i="19" s="1"/>
  <c r="F2139" i="19"/>
  <c r="H2139" i="19" s="1"/>
  <c r="F555" i="19"/>
  <c r="H555" i="19" s="1"/>
  <c r="F411" i="19"/>
  <c r="F368" i="19"/>
  <c r="H368" i="19" s="1"/>
  <c r="F354" i="19"/>
  <c r="H354" i="19" s="1"/>
  <c r="F441" i="19"/>
  <c r="H441" i="19" s="1"/>
  <c r="F230" i="19"/>
  <c r="H230" i="19" s="1"/>
  <c r="F222" i="19"/>
  <c r="H222" i="19" s="1"/>
  <c r="F445" i="19"/>
  <c r="H445" i="19" s="1"/>
  <c r="F431" i="19"/>
  <c r="F416" i="19"/>
  <c r="H416" i="19" s="1"/>
  <c r="F331" i="19"/>
  <c r="F200" i="19"/>
  <c r="H200" i="19" s="1"/>
  <c r="F192" i="19"/>
  <c r="F217" i="19"/>
  <c r="H217" i="19" s="1"/>
  <c r="F1172" i="19"/>
  <c r="H1172" i="19" s="1"/>
  <c r="F3315" i="19"/>
  <c r="H3315" i="19" s="1"/>
  <c r="F3097" i="19"/>
  <c r="H3097" i="19" s="1"/>
  <c r="F3083" i="19"/>
  <c r="H3083" i="19" s="1"/>
  <c r="F3069" i="19"/>
  <c r="H3069" i="19" s="1"/>
  <c r="F3018" i="19"/>
  <c r="H3018" i="19" s="1"/>
  <c r="F2830" i="19"/>
  <c r="H2830" i="19" s="1"/>
  <c r="F2798" i="19"/>
  <c r="H2798" i="19" s="1"/>
  <c r="F2792" i="19"/>
  <c r="H2792" i="19" s="1"/>
  <c r="F2780" i="19"/>
  <c r="H2780" i="19" s="1"/>
  <c r="F2744" i="19"/>
  <c r="H2744" i="19" s="1"/>
  <c r="F2737" i="19"/>
  <c r="H2737" i="19" s="1"/>
  <c r="F3501" i="19"/>
  <c r="H3501" i="19" s="1"/>
  <c r="F3499" i="19" s="1"/>
  <c r="F3495" i="19"/>
  <c r="H3495" i="19" s="1"/>
  <c r="F3493" i="19" s="1"/>
  <c r="F1167" i="19"/>
  <c r="H1167" i="19" s="1"/>
  <c r="F3344" i="19"/>
  <c r="H3344" i="19" s="1"/>
  <c r="F3324" i="19"/>
  <c r="H3324" i="19" s="1"/>
  <c r="F3288" i="19"/>
  <c r="H3288" i="19" s="1"/>
  <c r="F3271" i="19"/>
  <c r="H3271" i="19" s="1"/>
  <c r="F3263" i="19"/>
  <c r="H3263" i="19" s="1"/>
  <c r="F3111" i="19"/>
  <c r="H3111" i="19" s="1"/>
  <c r="F2838" i="19"/>
  <c r="H2838" i="19" s="1"/>
  <c r="F2836" i="19" s="1"/>
  <c r="F2822" i="19"/>
  <c r="H2822" i="19" s="1"/>
  <c r="F2810" i="19"/>
  <c r="H2810" i="19" s="1"/>
  <c r="F2818" i="19"/>
  <c r="H2818" i="19" s="1"/>
  <c r="F2730" i="19"/>
  <c r="H2730" i="19" s="1"/>
  <c r="F2723" i="19"/>
  <c r="H2723" i="19" s="1"/>
  <c r="F3297" i="19"/>
  <c r="H3297" i="19" s="1"/>
  <c r="F3104" i="19"/>
  <c r="H3104" i="19" s="1"/>
  <c r="F3090" i="19"/>
  <c r="H3090" i="19" s="1"/>
  <c r="F3076" i="19"/>
  <c r="H3076" i="19" s="1"/>
  <c r="F3004" i="19"/>
  <c r="H3004" i="19" s="1"/>
  <c r="F2834" i="19"/>
  <c r="H2834" i="19" s="1"/>
  <c r="F2826" i="19"/>
  <c r="H2826" i="19" s="1"/>
  <c r="F2802" i="19"/>
  <c r="H2802" i="19" s="1"/>
  <c r="F2716" i="19"/>
  <c r="H2716" i="19" s="1"/>
  <c r="F2709" i="19"/>
  <c r="H2709" i="19" s="1"/>
  <c r="F1969" i="19"/>
  <c r="H1969" i="19" s="1"/>
  <c r="F1383" i="19"/>
  <c r="H1383" i="19" s="1"/>
  <c r="F3686" i="19"/>
  <c r="H3686" i="19" s="1"/>
  <c r="F3682" i="19" s="1"/>
  <c r="F3498" i="19"/>
  <c r="H3498" i="19" s="1"/>
  <c r="F3496" i="19" s="1"/>
  <c r="F3336" i="19"/>
  <c r="H3336" i="19" s="1"/>
  <c r="F3306" i="19"/>
  <c r="H3306" i="19" s="1"/>
  <c r="F3279" i="19"/>
  <c r="H3279" i="19" s="1"/>
  <c r="F3255" i="19"/>
  <c r="H3255" i="19" s="1"/>
  <c r="F3032" i="19"/>
  <c r="H3032" i="19" s="1"/>
  <c r="F3030" i="19" s="1"/>
  <c r="F3011" i="19"/>
  <c r="H3011" i="19" s="1"/>
  <c r="F2814" i="19"/>
  <c r="H2814" i="19" s="1"/>
  <c r="F2806" i="19"/>
  <c r="H2806" i="19" s="1"/>
  <c r="F2892" i="19"/>
  <c r="H2892" i="19" s="1"/>
  <c r="F1410" i="19"/>
  <c r="H1410" i="19" s="1"/>
  <c r="F1408" i="19" s="1"/>
  <c r="F453" i="19"/>
  <c r="F2775" i="19"/>
  <c r="H2775" i="19" s="1"/>
  <c r="F2769" i="19"/>
  <c r="H2769" i="19" s="1"/>
  <c r="F2763" i="19"/>
  <c r="H2763" i="19" s="1"/>
  <c r="F2757" i="19"/>
  <c r="H2757" i="19" s="1"/>
  <c r="F2751" i="19"/>
  <c r="H2751" i="19" s="1"/>
  <c r="F298" i="19"/>
  <c r="H298" i="19" s="1"/>
  <c r="F2150" i="19"/>
  <c r="H2150" i="19" s="1"/>
  <c r="F2148" i="19" s="1"/>
  <c r="F344" i="10"/>
  <c r="H344" i="10" s="1"/>
  <c r="F331" i="10"/>
  <c r="H331" i="10" s="1"/>
  <c r="F324" i="10"/>
  <c r="H324" i="10" s="1"/>
  <c r="F317" i="10"/>
  <c r="H317" i="10" s="1"/>
  <c r="F977" i="10"/>
  <c r="H977" i="10" s="1"/>
  <c r="F964" i="10"/>
  <c r="H964" i="10" s="1"/>
  <c r="F433" i="10"/>
  <c r="H433" i="10" s="1"/>
  <c r="F475" i="10"/>
  <c r="H475" i="10" s="1"/>
  <c r="F461" i="10"/>
  <c r="H461" i="10" s="1"/>
  <c r="F447" i="10"/>
  <c r="H447" i="10" s="1"/>
  <c r="F88" i="10"/>
  <c r="H88" i="10" s="1"/>
  <c r="F47" i="10"/>
  <c r="H47" i="10" s="1"/>
  <c r="F46" i="10" s="1"/>
  <c r="F119" i="10"/>
  <c r="H119" i="10" s="1"/>
  <c r="F114" i="10"/>
  <c r="H114" i="10" s="1"/>
  <c r="F100" i="10"/>
  <c r="H100" i="10" s="1"/>
  <c r="F366" i="10"/>
  <c r="H366" i="10" s="1"/>
  <c r="F256" i="10"/>
  <c r="H256" i="10" s="1"/>
  <c r="F254" i="10" s="1"/>
  <c r="F109" i="10"/>
  <c r="H109" i="10" s="1"/>
  <c r="F52" i="10"/>
  <c r="H52" i="10" s="1"/>
  <c r="F51" i="10" s="1"/>
  <c r="F39" i="10"/>
  <c r="H39" i="10" s="1"/>
  <c r="F355" i="10"/>
  <c r="H355" i="10" s="1"/>
  <c r="F309" i="10"/>
  <c r="H309" i="10" s="1"/>
  <c r="F308" i="10" s="1"/>
  <c r="F158" i="10"/>
  <c r="H158" i="10" s="1"/>
  <c r="F349" i="10"/>
  <c r="H349" i="10" s="1"/>
  <c r="F130" i="10"/>
  <c r="H130" i="10" s="1"/>
  <c r="F70" i="10"/>
  <c r="H70" i="10" s="1"/>
  <c r="F66" i="10"/>
  <c r="H66" i="10" s="1"/>
  <c r="F243" i="10"/>
  <c r="H243" i="10" s="1"/>
  <c r="F79" i="10"/>
  <c r="H79" i="10" s="1"/>
  <c r="F74" i="10"/>
  <c r="H74" i="10" s="1"/>
  <c r="F20" i="10"/>
  <c r="H20" i="10" s="1"/>
  <c r="F18" i="10" s="1"/>
  <c r="F250" i="10"/>
  <c r="H250" i="10" s="1"/>
  <c r="F697" i="10"/>
  <c r="H697" i="10" s="1"/>
  <c r="E12" i="4"/>
  <c r="E18" i="4"/>
  <c r="F193" i="10" s="1"/>
  <c r="H193" i="10" s="1"/>
  <c r="E10" i="4"/>
  <c r="E15" i="4"/>
  <c r="F2629" i="19" s="1"/>
  <c r="H2629" i="19" s="1"/>
  <c r="F46" i="6"/>
  <c r="F63" i="6"/>
  <c r="E22" i="4" s="1"/>
  <c r="F62" i="6"/>
  <c r="E21" i="4" s="1"/>
  <c r="E27" i="4"/>
  <c r="F294" i="19" l="1"/>
  <c r="H294" i="19" s="1"/>
  <c r="F236" i="19"/>
  <c r="H236" i="19" s="1"/>
  <c r="F2643" i="19"/>
  <c r="F2631" i="19"/>
  <c r="H2631" i="19" s="1"/>
  <c r="F2626" i="19" s="1"/>
  <c r="F2623" i="19"/>
  <c r="H2623" i="19" s="1"/>
  <c r="F2614" i="19"/>
  <c r="H2614" i="19" s="1"/>
  <c r="F2618" i="19"/>
  <c r="H2618" i="19" s="1"/>
  <c r="F2610" i="19"/>
  <c r="H2610" i="19" s="1"/>
  <c r="F2606" i="19"/>
  <c r="H2606" i="19" s="1"/>
  <c r="F2117" i="19"/>
  <c r="H2117" i="19" s="1"/>
  <c r="F2103" i="19"/>
  <c r="H2103" i="19" s="1"/>
  <c r="F2110" i="19"/>
  <c r="H2110" i="19" s="1"/>
  <c r="F2097" i="19"/>
  <c r="H2097" i="19" s="1"/>
  <c r="F2024" i="19"/>
  <c r="H2024" i="19" s="1"/>
  <c r="F194" i="10"/>
  <c r="H194" i="10" s="1"/>
  <c r="F196" i="10"/>
  <c r="H196" i="10" s="1"/>
  <c r="F2017" i="19"/>
  <c r="H2017" i="19" s="1"/>
  <c r="F1995" i="19"/>
  <c r="H1995" i="19" s="1"/>
  <c r="F2029" i="19"/>
  <c r="H2029" i="19" s="1"/>
  <c r="F297" i="19"/>
  <c r="F237" i="19"/>
  <c r="F554" i="19"/>
  <c r="F216" i="19"/>
  <c r="F469" i="19"/>
  <c r="H469" i="19" s="1"/>
  <c r="F468" i="19"/>
  <c r="H468" i="19" s="1"/>
  <c r="F199" i="19"/>
  <c r="F212" i="19"/>
  <c r="F373" i="19"/>
  <c r="H373" i="19" s="1"/>
  <c r="F265" i="19"/>
  <c r="H265" i="19" s="1"/>
  <c r="F2176" i="19"/>
  <c r="H2176" i="19" s="1"/>
  <c r="F1109" i="10"/>
  <c r="H1109" i="10" s="1"/>
  <c r="F1110" i="10" s="1"/>
  <c r="H1110" i="10" s="1"/>
  <c r="F945" i="19"/>
  <c r="H945" i="19" s="1"/>
  <c r="F946" i="19" s="1"/>
  <c r="H946" i="19" s="1"/>
  <c r="F915" i="19"/>
  <c r="H915" i="19" s="1"/>
  <c r="F916" i="19" s="1"/>
  <c r="H916" i="19" s="1"/>
  <c r="F930" i="19"/>
  <c r="H930" i="19" s="1"/>
  <c r="F931" i="19" s="1"/>
  <c r="H931" i="19" s="1"/>
  <c r="F900" i="19"/>
  <c r="H900" i="19" s="1"/>
  <c r="F901" i="19" s="1"/>
  <c r="F451" i="19"/>
  <c r="H451" i="19" s="1"/>
  <c r="F450" i="19"/>
  <c r="H450" i="19" s="1"/>
  <c r="F125" i="10"/>
  <c r="H125" i="10" s="1"/>
  <c r="F122" i="10" s="1"/>
  <c r="F374" i="19"/>
  <c r="H374" i="19" s="1"/>
  <c r="F2602" i="19"/>
  <c r="H2602" i="19" s="1"/>
  <c r="F2598" i="19"/>
  <c r="H2598" i="19" s="1"/>
  <c r="F2599" i="19" s="1"/>
  <c r="H2599" i="19" s="1"/>
  <c r="F2596" i="19" s="1"/>
  <c r="F2593" i="19"/>
  <c r="H2593" i="19" s="1"/>
  <c r="F1199" i="19"/>
  <c r="H1199" i="19" s="1"/>
  <c r="F1194" i="19" s="1"/>
  <c r="F3537" i="19"/>
  <c r="F4042" i="19"/>
  <c r="H4042" i="19" s="1"/>
  <c r="F3345" i="19"/>
  <c r="H3345" i="19" s="1"/>
  <c r="F3338" i="19" s="1"/>
  <c r="F3337" i="19"/>
  <c r="H3337" i="19" s="1"/>
  <c r="F3330" i="19" s="1"/>
  <c r="F3325" i="19"/>
  <c r="H3325" i="19" s="1"/>
  <c r="F3317" i="19" s="1"/>
  <c r="F3316" i="19"/>
  <c r="H3316" i="19" s="1"/>
  <c r="F3308" i="19" s="1"/>
  <c r="F3307" i="19"/>
  <c r="H3307" i="19" s="1"/>
  <c r="F3299" i="19" s="1"/>
  <c r="F3298" i="19"/>
  <c r="H3298" i="19" s="1"/>
  <c r="F3290" i="19" s="1"/>
  <c r="F3289" i="19"/>
  <c r="H3289" i="19" s="1"/>
  <c r="F3281" i="19" s="1"/>
  <c r="F3280" i="19"/>
  <c r="H3280" i="19" s="1"/>
  <c r="F3273" i="19" s="1"/>
  <c r="F3264" i="19"/>
  <c r="H3264" i="19" s="1"/>
  <c r="F3257" i="19" s="1"/>
  <c r="F3091" i="19"/>
  <c r="H3091" i="19" s="1"/>
  <c r="F3085" i="19" s="1"/>
  <c r="F3105" i="19"/>
  <c r="H3105" i="19" s="1"/>
  <c r="F3099" i="19" s="1"/>
  <c r="F3070" i="19"/>
  <c r="H3070" i="19" s="1"/>
  <c r="F3064" i="19" s="1"/>
  <c r="F3084" i="19"/>
  <c r="H3084" i="19" s="1"/>
  <c r="F3078" i="19" s="1"/>
  <c r="F3077" i="19"/>
  <c r="H3077" i="19" s="1"/>
  <c r="F3071" i="19" s="1"/>
  <c r="F3098" i="19"/>
  <c r="H3098" i="19" s="1"/>
  <c r="F3092" i="19" s="1"/>
  <c r="F170" i="19"/>
  <c r="H170" i="19" s="1"/>
  <c r="F1057" i="10"/>
  <c r="H1057" i="10" s="1"/>
  <c r="F1050" i="10" s="1"/>
  <c r="F1136" i="10"/>
  <c r="H1136" i="10" s="1"/>
  <c r="F1132" i="10" s="1"/>
  <c r="F531" i="10"/>
  <c r="H531" i="10" s="1"/>
  <c r="F532" i="10" s="1"/>
  <c r="H532" i="10" s="1"/>
  <c r="F1019" i="10"/>
  <c r="H1019" i="10" s="1"/>
  <c r="F1021" i="10" s="1"/>
  <c r="H1021" i="10" s="1"/>
  <c r="F561" i="19"/>
  <c r="H561" i="19" s="1"/>
  <c r="F632" i="10"/>
  <c r="H632" i="10" s="1"/>
  <c r="F633" i="10" s="1"/>
  <c r="H633" i="10" s="1"/>
  <c r="F1049" i="10"/>
  <c r="H1049" i="10" s="1"/>
  <c r="F1043" i="10" s="1"/>
  <c r="F1099" i="10"/>
  <c r="H1099" i="10" s="1"/>
  <c r="F1094" i="10" s="1"/>
  <c r="F1093" i="10"/>
  <c r="H1093" i="10" s="1"/>
  <c r="F1089" i="10" s="1"/>
  <c r="F1131" i="10"/>
  <c r="H1131" i="10" s="1"/>
  <c r="F1129" i="10" s="1"/>
  <c r="F1118" i="10"/>
  <c r="H1118" i="10" s="1"/>
  <c r="F1119" i="10" s="1"/>
  <c r="H1119" i="10" s="1"/>
  <c r="F1026" i="10"/>
  <c r="H1026" i="10" s="1"/>
  <c r="F1028" i="10" s="1"/>
  <c r="H1028" i="10" s="1"/>
  <c r="F1080" i="10"/>
  <c r="H1080" i="10" s="1"/>
  <c r="F1081" i="10" s="1"/>
  <c r="H1081" i="10" s="1"/>
  <c r="F1127" i="10"/>
  <c r="H1127" i="10" s="1"/>
  <c r="F1128" i="10" s="1"/>
  <c r="H1128" i="10" s="1"/>
  <c r="F1033" i="10"/>
  <c r="H1033" i="10" s="1"/>
  <c r="F1035" i="10" s="1"/>
  <c r="H1035" i="10" s="1"/>
  <c r="F1040" i="10"/>
  <c r="H1040" i="10" s="1"/>
  <c r="F1042" i="10" s="1"/>
  <c r="H1042" i="10" s="1"/>
  <c r="F3894" i="19"/>
  <c r="H3894" i="19" s="1"/>
  <c r="F1450" i="19"/>
  <c r="H1450" i="19" s="1"/>
  <c r="F2075" i="19"/>
  <c r="H2075" i="19" s="1"/>
  <c r="F2091" i="19"/>
  <c r="H2091" i="19" s="1"/>
  <c r="F1234" i="19"/>
  <c r="H1234" i="19" s="1"/>
  <c r="F1459" i="19"/>
  <c r="H1459" i="19" s="1"/>
  <c r="F2083" i="19"/>
  <c r="H2083" i="19" s="1"/>
  <c r="F3773" i="19"/>
  <c r="H3773" i="19" s="1"/>
  <c r="F3774" i="19" s="1"/>
  <c r="H3774" i="19" s="1"/>
  <c r="F2068" i="19"/>
  <c r="H2068" i="19" s="1"/>
  <c r="F1072" i="10"/>
  <c r="H1072" i="10" s="1"/>
  <c r="F1067" i="10" s="1"/>
  <c r="F1066" i="10"/>
  <c r="H1066" i="10" s="1"/>
  <c r="F1061" i="10" s="1"/>
  <c r="F1105" i="10"/>
  <c r="H1105" i="10" s="1"/>
  <c r="F1100" i="10" s="1"/>
  <c r="F1141" i="10"/>
  <c r="H1141" i="10" s="1"/>
  <c r="F1137" i="10" s="1"/>
  <c r="F459" i="19"/>
  <c r="H459" i="19" s="1"/>
  <c r="F458" i="19"/>
  <c r="H458" i="19" s="1"/>
  <c r="H331" i="19"/>
  <c r="H411" i="19"/>
  <c r="H323" i="19"/>
  <c r="H431" i="19"/>
  <c r="H363" i="19"/>
  <c r="H192" i="19"/>
  <c r="F4050" i="19"/>
  <c r="H4050" i="19" s="1"/>
  <c r="F4047" i="19" s="1"/>
  <c r="H186" i="19"/>
  <c r="F3247" i="19"/>
  <c r="H3247" i="19" s="1"/>
  <c r="F3213" i="19"/>
  <c r="H3213" i="19" s="1"/>
  <c r="F3179" i="19"/>
  <c r="H3179" i="19" s="1"/>
  <c r="F3145" i="19"/>
  <c r="H3145" i="19" s="1"/>
  <c r="F3491" i="19"/>
  <c r="H3491" i="19" s="1"/>
  <c r="F3461" i="19"/>
  <c r="H3461" i="19" s="1"/>
  <c r="F3162" i="19"/>
  <c r="H3162" i="19" s="1"/>
  <c r="F3128" i="19"/>
  <c r="H3128" i="19" s="1"/>
  <c r="F3230" i="19"/>
  <c r="H3230" i="19" s="1"/>
  <c r="F3196" i="19"/>
  <c r="H3196" i="19" s="1"/>
  <c r="F3476" i="19"/>
  <c r="H3476" i="19" s="1"/>
  <c r="F2957" i="19"/>
  <c r="H2957" i="19" s="1"/>
  <c r="F2873" i="19"/>
  <c r="H2873" i="19" s="1"/>
  <c r="F1733" i="19"/>
  <c r="H1733" i="19" s="1"/>
  <c r="F1768" i="19"/>
  <c r="H1768" i="19" s="1"/>
  <c r="F1845" i="19"/>
  <c r="F1818" i="19"/>
  <c r="H1818" i="19" s="1"/>
  <c r="F1796" i="19"/>
  <c r="H1796" i="19" s="1"/>
  <c r="F1782" i="19"/>
  <c r="H1782" i="19" s="1"/>
  <c r="F1754" i="19"/>
  <c r="H1754" i="19" s="1"/>
  <c r="F1740" i="19"/>
  <c r="H1740" i="19" s="1"/>
  <c r="F1726" i="19"/>
  <c r="H1726" i="19" s="1"/>
  <c r="F1629" i="19"/>
  <c r="H1629" i="19" s="1"/>
  <c r="F1598" i="19"/>
  <c r="H1598" i="19" s="1"/>
  <c r="F1775" i="19"/>
  <c r="H1775" i="19" s="1"/>
  <c r="F1747" i="19"/>
  <c r="H1747" i="19" s="1"/>
  <c r="F1683" i="19"/>
  <c r="H1683" i="19" s="1"/>
  <c r="F1684" i="19" s="1"/>
  <c r="H1684" i="19" s="1"/>
  <c r="F1330" i="19"/>
  <c r="H1330" i="19" s="1"/>
  <c r="F1306" i="19"/>
  <c r="H1306" i="19" s="1"/>
  <c r="F1294" i="19"/>
  <c r="H1294" i="19" s="1"/>
  <c r="F278" i="19"/>
  <c r="H278" i="19" s="1"/>
  <c r="F272" i="19"/>
  <c r="H272" i="19" s="1"/>
  <c r="F258" i="19"/>
  <c r="H258" i="19" s="1"/>
  <c r="F258" i="10"/>
  <c r="H258" i="10" s="1"/>
  <c r="F260" i="10" s="1"/>
  <c r="H260" i="10" s="1"/>
  <c r="F3812" i="19"/>
  <c r="H3812" i="19" s="1"/>
  <c r="F509" i="19"/>
  <c r="F609" i="19"/>
  <c r="H609" i="19" s="1"/>
  <c r="F604" i="19"/>
  <c r="H604" i="19" s="1"/>
  <c r="F597" i="19"/>
  <c r="H597" i="19" s="1"/>
  <c r="F590" i="19"/>
  <c r="H590" i="19" s="1"/>
  <c r="F583" i="19"/>
  <c r="H583" i="19" s="1"/>
  <c r="F576" i="19"/>
  <c r="H576" i="19" s="1"/>
  <c r="F577" i="19" s="1"/>
  <c r="F568" i="19"/>
  <c r="H568" i="19" s="1"/>
  <c r="F482" i="19"/>
  <c r="H482" i="19" s="1"/>
  <c r="F477" i="19"/>
  <c r="H477" i="19" s="1"/>
  <c r="F183" i="19"/>
  <c r="H183" i="19" s="1"/>
  <c r="F179" i="19"/>
  <c r="H179" i="19" s="1"/>
  <c r="F153" i="19"/>
  <c r="H153" i="19" s="1"/>
  <c r="F147" i="19"/>
  <c r="H147" i="19" s="1"/>
  <c r="F463" i="19"/>
  <c r="H463" i="19" s="1"/>
  <c r="F464" i="19"/>
  <c r="H464" i="19" s="1"/>
  <c r="H453" i="19"/>
  <c r="H281" i="19"/>
  <c r="F432" i="10"/>
  <c r="H432" i="10" s="1"/>
  <c r="F474" i="10"/>
  <c r="H474" i="10" s="1"/>
  <c r="F460" i="10"/>
  <c r="H460" i="10" s="1"/>
  <c r="F446" i="10"/>
  <c r="H446" i="10" s="1"/>
  <c r="F418" i="10"/>
  <c r="H418" i="10" s="1"/>
  <c r="F391" i="10"/>
  <c r="H391" i="10" s="1"/>
  <c r="F488" i="10"/>
  <c r="H488" i="10" s="1"/>
  <c r="F517" i="10"/>
  <c r="H517" i="10" s="1"/>
  <c r="F377" i="10"/>
  <c r="H377" i="10" s="1"/>
  <c r="F405" i="10"/>
  <c r="H405" i="10" s="1"/>
  <c r="H11" i="10"/>
  <c r="F1505" i="19"/>
  <c r="H1505" i="19" s="1"/>
  <c r="F1487" i="19"/>
  <c r="H1487" i="19" s="1"/>
  <c r="F1497" i="19"/>
  <c r="H1497" i="19" s="1"/>
  <c r="F1712" i="19"/>
  <c r="H1712" i="19" s="1"/>
  <c r="F1834" i="19"/>
  <c r="H1834" i="19" s="1"/>
  <c r="F3902" i="19"/>
  <c r="H3902" i="19" s="1"/>
  <c r="F2377" i="19"/>
  <c r="H2377" i="19" s="1"/>
  <c r="E13" i="4"/>
  <c r="E16" i="4"/>
  <c r="F2870" i="19"/>
  <c r="H2870" i="19" s="1"/>
  <c r="F2867" i="19" s="1"/>
  <c r="F1605" i="19"/>
  <c r="H1605" i="19" s="1"/>
  <c r="F1789" i="19"/>
  <c r="H1789" i="19" s="1"/>
  <c r="F1705" i="19"/>
  <c r="H1705" i="19" s="1"/>
  <c r="F2518" i="19"/>
  <c r="H2518" i="19" s="1"/>
  <c r="F983" i="10"/>
  <c r="H983" i="10" s="1"/>
  <c r="F1906" i="19"/>
  <c r="H1906" i="19" s="1"/>
  <c r="F1870" i="19"/>
  <c r="H1870" i="19" s="1"/>
  <c r="F1871" i="19" s="1"/>
  <c r="H1871" i="19" s="1"/>
  <c r="F1888" i="19"/>
  <c r="H1888" i="19" s="1"/>
  <c r="F289" i="19"/>
  <c r="F1158" i="19"/>
  <c r="H1158" i="19" s="1"/>
  <c r="F1156" i="19" s="1"/>
  <c r="F3328" i="19"/>
  <c r="H3328" i="19" s="1"/>
  <c r="F1150" i="19"/>
  <c r="H1150" i="19" s="1"/>
  <c r="F1162" i="19"/>
  <c r="H1162" i="19" s="1"/>
  <c r="F1160" i="19" s="1"/>
  <c r="F1141" i="19"/>
  <c r="H1141" i="19" s="1"/>
  <c r="F2588" i="19"/>
  <c r="H2588" i="19" s="1"/>
  <c r="F663" i="19"/>
  <c r="H663" i="19" s="1"/>
  <c r="F1154" i="19"/>
  <c r="H1154" i="19" s="1"/>
  <c r="F1152" i="19" s="1"/>
  <c r="F1011" i="19"/>
  <c r="H1011" i="19" s="1"/>
  <c r="F3908" i="19"/>
  <c r="H3908" i="19" s="1"/>
  <c r="F754" i="19"/>
  <c r="H754" i="19" s="1"/>
  <c r="F23" i="10"/>
  <c r="F1384" i="19"/>
  <c r="H1384" i="19" s="1"/>
  <c r="F3936" i="19"/>
  <c r="H3936" i="19" s="1"/>
  <c r="F3929" i="19"/>
  <c r="H3929" i="19" s="1"/>
  <c r="F3922" i="19"/>
  <c r="H3922" i="19" s="1"/>
  <c r="F3439" i="19"/>
  <c r="H3439" i="19" s="1"/>
  <c r="F3384" i="19"/>
  <c r="H3384" i="19" s="1"/>
  <c r="F3366" i="19"/>
  <c r="H3366" i="19" s="1"/>
  <c r="F3062" i="19"/>
  <c r="H3062" i="19" s="1"/>
  <c r="F2947" i="19"/>
  <c r="H2947" i="19" s="1"/>
  <c r="F3154" i="19"/>
  <c r="H3154" i="19" s="1"/>
  <c r="F3155" i="19" s="1"/>
  <c r="H3155" i="19" s="1"/>
  <c r="F3239" i="19"/>
  <c r="H3239" i="19" s="1"/>
  <c r="F3240" i="19" s="1"/>
  <c r="H3240" i="19" s="1"/>
  <c r="F2887" i="19"/>
  <c r="H2887" i="19" s="1"/>
  <c r="F2878" i="19"/>
  <c r="H2878" i="19" s="1"/>
  <c r="F3784" i="19"/>
  <c r="H3784" i="19" s="1"/>
  <c r="F3720" i="19"/>
  <c r="H3720" i="19" s="1"/>
  <c r="F2908" i="19"/>
  <c r="H2908" i="19" s="1"/>
  <c r="F2900" i="19"/>
  <c r="H2900" i="19" s="1"/>
  <c r="F2504" i="19"/>
  <c r="H2504" i="19" s="1"/>
  <c r="F2468" i="19"/>
  <c r="H2468" i="19" s="1"/>
  <c r="F2572" i="19"/>
  <c r="H2572" i="19" s="1"/>
  <c r="F2584" i="19"/>
  <c r="H2584" i="19" s="1"/>
  <c r="F2578" i="19"/>
  <c r="H2578" i="19" s="1"/>
  <c r="F2560" i="19"/>
  <c r="F2566" i="19"/>
  <c r="H2566" i="19" s="1"/>
  <c r="F2458" i="19"/>
  <c r="H2458" i="19" s="1"/>
  <c r="F2452" i="19"/>
  <c r="H2452" i="19" s="1"/>
  <c r="F2446" i="19"/>
  <c r="H2446" i="19" s="1"/>
  <c r="F2345" i="19"/>
  <c r="H2345" i="19" s="1"/>
  <c r="F2352" i="19"/>
  <c r="H2352" i="19" s="1"/>
  <c r="F2329" i="19"/>
  <c r="H2329" i="19" s="1"/>
  <c r="F2263" i="19"/>
  <c r="H2263" i="19" s="1"/>
  <c r="F2256" i="19"/>
  <c r="H2256" i="19" s="1"/>
  <c r="F2203" i="19"/>
  <c r="H2203" i="19" s="1"/>
  <c r="F2192" i="19"/>
  <c r="H2192" i="19" s="1"/>
  <c r="F2164" i="19"/>
  <c r="H2164" i="19" s="1"/>
  <c r="F2122" i="19"/>
  <c r="H2122" i="19" s="1"/>
  <c r="F2052" i="19"/>
  <c r="H2052" i="19" s="1"/>
  <c r="F2035" i="19"/>
  <c r="H2035" i="19" s="1"/>
  <c r="F1979" i="19"/>
  <c r="H1979" i="19" s="1"/>
  <c r="F3913" i="19"/>
  <c r="H3913" i="19" s="1"/>
  <c r="F3942" i="19"/>
  <c r="H3942" i="19" s="1"/>
  <c r="F2936" i="19"/>
  <c r="H2936" i="19" s="1"/>
  <c r="F3609" i="19"/>
  <c r="H3609" i="19" s="1"/>
  <c r="F3484" i="19"/>
  <c r="H3484" i="19" s="1"/>
  <c r="F3454" i="19"/>
  <c r="H3454" i="19" s="1"/>
  <c r="F3432" i="19"/>
  <c r="H3432" i="19" s="1"/>
  <c r="F3408" i="19"/>
  <c r="H3408" i="19" s="1"/>
  <c r="F3359" i="19"/>
  <c r="H3359" i="19" s="1"/>
  <c r="F3047" i="19"/>
  <c r="H3047" i="19" s="1"/>
  <c r="F2980" i="19"/>
  <c r="H2980" i="19" s="1"/>
  <c r="F2978" i="19" s="1"/>
  <c r="F2974" i="19"/>
  <c r="H2974" i="19" s="1"/>
  <c r="F2972" i="19" s="1"/>
  <c r="F2998" i="19"/>
  <c r="H2998" i="19" s="1"/>
  <c r="F2996" i="19" s="1"/>
  <c r="F2992" i="19"/>
  <c r="H2992" i="19" s="1"/>
  <c r="F2990" i="19" s="1"/>
  <c r="F2986" i="19"/>
  <c r="H2986" i="19" s="1"/>
  <c r="F2984" i="19" s="1"/>
  <c r="F2967" i="19"/>
  <c r="H2967" i="19" s="1"/>
  <c r="F2952" i="19"/>
  <c r="H2952" i="19" s="1"/>
  <c r="F3137" i="19"/>
  <c r="H3137" i="19" s="1"/>
  <c r="F3205" i="19"/>
  <c r="H3205" i="19" s="1"/>
  <c r="F3206" i="19" s="1"/>
  <c r="H3206" i="19" s="1"/>
  <c r="F3028" i="19"/>
  <c r="H3028" i="19" s="1"/>
  <c r="F2698" i="19"/>
  <c r="H2698" i="19" s="1"/>
  <c r="F1964" i="19"/>
  <c r="H1964" i="19" s="1"/>
  <c r="F3760" i="19"/>
  <c r="H3760" i="19" s="1"/>
  <c r="F2686" i="19"/>
  <c r="H2686" i="19" s="1"/>
  <c r="F2680" i="19"/>
  <c r="H2680" i="19" s="1"/>
  <c r="F2674" i="19"/>
  <c r="H2674" i="19" s="1"/>
  <c r="F2512" i="19"/>
  <c r="H2512" i="19" s="1"/>
  <c r="F2498" i="19"/>
  <c r="H2498" i="19" s="1"/>
  <c r="F2486" i="19"/>
  <c r="H2486" i="19" s="1"/>
  <c r="F2438" i="19"/>
  <c r="H2438" i="19" s="1"/>
  <c r="F2414" i="19"/>
  <c r="H2414" i="19" s="1"/>
  <c r="F2390" i="19"/>
  <c r="H2390" i="19" s="1"/>
  <c r="F2339" i="19"/>
  <c r="H2339" i="19" s="1"/>
  <c r="F2295" i="19"/>
  <c r="H2295" i="19" s="1"/>
  <c r="F2284" i="19"/>
  <c r="H2284" i="19" s="1"/>
  <c r="F2273" i="19"/>
  <c r="H2273" i="19" s="1"/>
  <c r="F2184" i="19"/>
  <c r="H2184" i="19" s="1"/>
  <c r="F2160" i="19"/>
  <c r="H2160" i="19" s="1"/>
  <c r="F2128" i="19"/>
  <c r="H2128" i="19" s="1"/>
  <c r="F2005" i="19"/>
  <c r="H2005" i="19" s="1"/>
  <c r="F2041" i="19"/>
  <c r="H2041" i="19" s="1"/>
  <c r="F1985" i="19"/>
  <c r="H1985" i="19" s="1"/>
  <c r="F1954" i="19"/>
  <c r="H1954" i="19" s="1"/>
  <c r="F1719" i="19"/>
  <c r="H1719" i="19" s="1"/>
  <c r="F1897" i="19"/>
  <c r="H1897" i="19" s="1"/>
  <c r="F1861" i="19"/>
  <c r="H1861" i="19" s="1"/>
  <c r="F1862" i="19" s="1"/>
  <c r="H1862" i="19" s="1"/>
  <c r="F1666" i="19"/>
  <c r="H1666" i="19" s="1"/>
  <c r="F1548" i="19"/>
  <c r="H1548" i="19" s="1"/>
  <c r="F1577" i="19"/>
  <c r="H1577" i="19" s="1"/>
  <c r="F1429" i="19"/>
  <c r="H1429" i="19" s="1"/>
  <c r="F1419" i="19"/>
  <c r="H1419" i="19" s="1"/>
  <c r="F1405" i="19"/>
  <c r="H1405" i="19" s="1"/>
  <c r="F1268" i="19"/>
  <c r="H1268" i="19" s="1"/>
  <c r="F1342" i="19"/>
  <c r="H1342" i="19" s="1"/>
  <c r="F1261" i="19"/>
  <c r="H1261" i="19" s="1"/>
  <c r="F1262" i="19" s="1"/>
  <c r="F1254" i="19"/>
  <c r="H1254" i="19" s="1"/>
  <c r="F1241" i="19"/>
  <c r="H1241" i="19" s="1"/>
  <c r="F1227" i="19"/>
  <c r="H1227" i="19" s="1"/>
  <c r="F1220" i="19"/>
  <c r="H1220" i="19" s="1"/>
  <c r="F1213" i="19"/>
  <c r="H1213" i="19" s="1"/>
  <c r="F1206" i="19"/>
  <c r="H1206" i="19" s="1"/>
  <c r="F1113" i="19"/>
  <c r="H1113" i="19" s="1"/>
  <c r="F1972" i="19"/>
  <c r="H1972" i="19" s="1"/>
  <c r="F3614" i="19"/>
  <c r="H3614" i="19" s="1"/>
  <c r="F3425" i="19"/>
  <c r="H3425" i="19" s="1"/>
  <c r="F3393" i="19"/>
  <c r="H3393" i="19" s="1"/>
  <c r="F3375" i="19"/>
  <c r="H3375" i="19" s="1"/>
  <c r="F3352" i="19"/>
  <c r="H3352" i="19" s="1"/>
  <c r="F3120" i="19"/>
  <c r="H3120" i="19" s="1"/>
  <c r="F3188" i="19"/>
  <c r="H3188" i="19" s="1"/>
  <c r="F3189" i="19" s="1"/>
  <c r="H3189" i="19" s="1"/>
  <c r="F2883" i="19"/>
  <c r="H2883" i="19" s="1"/>
  <c r="F3732" i="19"/>
  <c r="H3732" i="19" s="1"/>
  <c r="F2667" i="19"/>
  <c r="H2667" i="19" s="1"/>
  <c r="F2661" i="19"/>
  <c r="H2661" i="19" s="1"/>
  <c r="F2507" i="19"/>
  <c r="H2507" i="19" s="1"/>
  <c r="F2506" i="19" s="1"/>
  <c r="F2225" i="19"/>
  <c r="H2225" i="19" s="1"/>
  <c r="F2364" i="19"/>
  <c r="H2364" i="19" s="1"/>
  <c r="F2309" i="19"/>
  <c r="H2309" i="19" s="1"/>
  <c r="F2240" i="19"/>
  <c r="H2240" i="19" s="1"/>
  <c r="F2233" i="19"/>
  <c r="H2233" i="19" s="1"/>
  <c r="F2057" i="19"/>
  <c r="H2057" i="19" s="1"/>
  <c r="F2010" i="19"/>
  <c r="H2010" i="19" s="1"/>
  <c r="F1637" i="19"/>
  <c r="H1637" i="19" s="1"/>
  <c r="F1584" i="19"/>
  <c r="H1584" i="19" s="1"/>
  <c r="F1557" i="19"/>
  <c r="H1557" i="19" s="1"/>
  <c r="F1515" i="19"/>
  <c r="H1515" i="19" s="1"/>
  <c r="F1521" i="19"/>
  <c r="H1521" i="19" s="1"/>
  <c r="F1466" i="19"/>
  <c r="H1466" i="19" s="1"/>
  <c r="F1397" i="19"/>
  <c r="H1397" i="19" s="1"/>
  <c r="F1390" i="19"/>
  <c r="H1390" i="19" s="1"/>
  <c r="F1360" i="19"/>
  <c r="H1360" i="19" s="1"/>
  <c r="F1318" i="19"/>
  <c r="H1318" i="19" s="1"/>
  <c r="F1123" i="19"/>
  <c r="H1123" i="19" s="1"/>
  <c r="F2154" i="19"/>
  <c r="H2154" i="19" s="1"/>
  <c r="F3469" i="19"/>
  <c r="H3469" i="19" s="1"/>
  <c r="F3470" i="19" s="1"/>
  <c r="H3470" i="19" s="1"/>
  <c r="F3446" i="19"/>
  <c r="H3446" i="19" s="1"/>
  <c r="F3417" i="19"/>
  <c r="H3417" i="19" s="1"/>
  <c r="F3399" i="19"/>
  <c r="H3399" i="19" s="1"/>
  <c r="F3039" i="19"/>
  <c r="H3039" i="19" s="1"/>
  <c r="F3055" i="19"/>
  <c r="H3055" i="19" s="1"/>
  <c r="F2977" i="19"/>
  <c r="H2977" i="19" s="1"/>
  <c r="F2975" i="19" s="1"/>
  <c r="F2971" i="19"/>
  <c r="H2971" i="19" s="1"/>
  <c r="F2969" i="19" s="1"/>
  <c r="F2995" i="19"/>
  <c r="H2995" i="19" s="1"/>
  <c r="F2993" i="19" s="1"/>
  <c r="F2989" i="19"/>
  <c r="H2989" i="19" s="1"/>
  <c r="F2987" i="19" s="1"/>
  <c r="F2983" i="19"/>
  <c r="H2983" i="19" s="1"/>
  <c r="F2981" i="19" s="1"/>
  <c r="F2962" i="19"/>
  <c r="H2962" i="19" s="1"/>
  <c r="F3171" i="19"/>
  <c r="H3171" i="19" s="1"/>
  <c r="F3172" i="19" s="1"/>
  <c r="H3172" i="19" s="1"/>
  <c r="F3222" i="19"/>
  <c r="H3222" i="19" s="1"/>
  <c r="F3223" i="19" s="1"/>
  <c r="H3223" i="19" s="1"/>
  <c r="F2702" i="19"/>
  <c r="H2702" i="19" s="1"/>
  <c r="F2694" i="19"/>
  <c r="H2694" i="19" s="1"/>
  <c r="F3745" i="19"/>
  <c r="H3745" i="19" s="1"/>
  <c r="F2402" i="19"/>
  <c r="H2402" i="19" s="1"/>
  <c r="F2360" i="19"/>
  <c r="H2360" i="19" s="1"/>
  <c r="F2218" i="19"/>
  <c r="H2218" i="19" s="1"/>
  <c r="F2211" i="19"/>
  <c r="H2211" i="19" s="1"/>
  <c r="F1879" i="19"/>
  <c r="H1879" i="19" s="1"/>
  <c r="F1415" i="19"/>
  <c r="H1415" i="19" s="1"/>
  <c r="F1379" i="19"/>
  <c r="H1379" i="19" s="1"/>
  <c r="F1366" i="19"/>
  <c r="H1366" i="19" s="1"/>
  <c r="F1281" i="19"/>
  <c r="H1281" i="19" s="1"/>
  <c r="F1132" i="19"/>
  <c r="H1132" i="19" s="1"/>
  <c r="F1037" i="19"/>
  <c r="H1037" i="19" s="1"/>
  <c r="F82" i="19"/>
  <c r="F2463" i="19"/>
  <c r="H2463" i="19" s="1"/>
  <c r="F2531" i="19"/>
  <c r="H2531" i="19" s="1"/>
  <c r="F2534" i="19" s="1"/>
  <c r="F2426" i="19"/>
  <c r="H2426" i="19" s="1"/>
  <c r="F2319" i="19"/>
  <c r="H2319" i="19" s="1"/>
  <c r="F1353" i="19"/>
  <c r="H1353" i="19" s="1"/>
  <c r="F1698" i="19"/>
  <c r="H1698" i="19" s="1"/>
  <c r="F1646" i="19"/>
  <c r="H1646" i="19" s="1"/>
  <c r="F1619" i="19"/>
  <c r="H1619" i="19" s="1"/>
  <c r="F1424" i="19"/>
  <c r="H1424" i="19" s="1"/>
  <c r="F652" i="19"/>
  <c r="H652" i="19" s="1"/>
  <c r="F641" i="19"/>
  <c r="F436" i="19"/>
  <c r="H436" i="19" s="1"/>
  <c r="F121" i="19"/>
  <c r="F2541" i="19"/>
  <c r="H2541" i="19" s="1"/>
  <c r="F2543" i="19" s="1"/>
  <c r="F2478" i="19"/>
  <c r="H2478" i="19" s="1"/>
  <c r="F2246" i="19"/>
  <c r="H2246" i="19" s="1"/>
  <c r="F2000" i="19"/>
  <c r="H2000" i="19" s="1"/>
  <c r="F1990" i="19"/>
  <c r="H1990" i="19" s="1"/>
  <c r="F1919" i="19"/>
  <c r="H1919" i="19" s="1"/>
  <c r="F1829" i="19"/>
  <c r="H1829" i="19" s="1"/>
  <c r="F1761" i="19"/>
  <c r="H1761" i="19" s="1"/>
  <c r="F1611" i="19"/>
  <c r="H1611" i="19" s="1"/>
  <c r="F1655" i="19"/>
  <c r="H1655" i="19" s="1"/>
  <c r="F1656" i="19" s="1"/>
  <c r="F1538" i="19"/>
  <c r="H1538" i="19" s="1"/>
  <c r="F1566" i="19"/>
  <c r="H1566" i="19" s="1"/>
  <c r="F1591" i="19"/>
  <c r="H1591" i="19" s="1"/>
  <c r="F1528" i="19"/>
  <c r="H1528" i="19" s="1"/>
  <c r="F1434" i="19"/>
  <c r="H1434" i="19" s="1"/>
  <c r="F630" i="19"/>
  <c r="H630" i="19" s="1"/>
  <c r="F126" i="19"/>
  <c r="F77" i="19"/>
  <c r="F2494" i="19"/>
  <c r="H2494" i="19" s="1"/>
  <c r="F2046" i="19"/>
  <c r="H2046" i="19" s="1"/>
  <c r="F1949" i="19"/>
  <c r="H1949" i="19" s="1"/>
  <c r="F1939" i="19"/>
  <c r="H1939" i="19" s="1"/>
  <c r="F1929" i="19"/>
  <c r="H1929" i="19" s="1"/>
  <c r="F1839" i="19"/>
  <c r="H1839" i="19" s="1"/>
  <c r="F1806" i="19"/>
  <c r="H1806" i="19" s="1"/>
  <c r="F1852" i="19"/>
  <c r="H1852" i="19" s="1"/>
  <c r="F1690" i="19"/>
  <c r="H1690" i="19" s="1"/>
  <c r="F1675" i="19"/>
  <c r="H1675" i="19" s="1"/>
  <c r="F1661" i="19"/>
  <c r="H1661" i="19" s="1"/>
  <c r="F1440" i="19"/>
  <c r="H1440" i="19" s="1"/>
  <c r="F1248" i="19"/>
  <c r="H1248" i="19" s="1"/>
  <c r="F379" i="19"/>
  <c r="H379" i="19" s="1"/>
  <c r="F421" i="19"/>
  <c r="H421" i="19" s="1"/>
  <c r="F116" i="19"/>
  <c r="F290" i="10"/>
  <c r="H290" i="10" s="1"/>
  <c r="F3950" i="19"/>
  <c r="H3950" i="19" s="1"/>
  <c r="F2939" i="19"/>
  <c r="H2939" i="19" s="1"/>
  <c r="F3644" i="19"/>
  <c r="H3644" i="19" s="1"/>
  <c r="F3624" i="19"/>
  <c r="H3624" i="19" s="1"/>
  <c r="F3555" i="19"/>
  <c r="H3555" i="19" s="1"/>
  <c r="F3531" i="19"/>
  <c r="H3531" i="19" s="1"/>
  <c r="F3525" i="19"/>
  <c r="H3525" i="19" s="1"/>
  <c r="F3515" i="19"/>
  <c r="H3515" i="19" s="1"/>
  <c r="F3693" i="19"/>
  <c r="H3693" i="19" s="1"/>
  <c r="F1372" i="19"/>
  <c r="H1372" i="19" s="1"/>
  <c r="F1176" i="19"/>
  <c r="H1176" i="19" s="1"/>
  <c r="F1188" i="19"/>
  <c r="H1188" i="19" s="1"/>
  <c r="F3680" i="19"/>
  <c r="H3680" i="19" s="1"/>
  <c r="F3666" i="19"/>
  <c r="H3666" i="19" s="1"/>
  <c r="F3649" i="19"/>
  <c r="H3649" i="19" s="1"/>
  <c r="F3629" i="19"/>
  <c r="H3629" i="19" s="1"/>
  <c r="F3520" i="19"/>
  <c r="H3520" i="19" s="1"/>
  <c r="F2552" i="19"/>
  <c r="H2552" i="19" s="1"/>
  <c r="F3654" i="19"/>
  <c r="H3654" i="19" s="1"/>
  <c r="F3634" i="19"/>
  <c r="H3634" i="19" s="1"/>
  <c r="F3543" i="19"/>
  <c r="H3543" i="19" s="1"/>
  <c r="F3505" i="19"/>
  <c r="H3505" i="19" s="1"/>
  <c r="F1192" i="19"/>
  <c r="H1192" i="19" s="1"/>
  <c r="F1180" i="19"/>
  <c r="H1180" i="19" s="1"/>
  <c r="F1184" i="19"/>
  <c r="H1184" i="19" s="1"/>
  <c r="F3673" i="19"/>
  <c r="H3673" i="19" s="1"/>
  <c r="F3659" i="19"/>
  <c r="H3659" i="19" s="1"/>
  <c r="F3639" i="19"/>
  <c r="H3639" i="19" s="1"/>
  <c r="F3619" i="19"/>
  <c r="H3619" i="19" s="1"/>
  <c r="F3549" i="19"/>
  <c r="H3549" i="19" s="1"/>
  <c r="F3510" i="19"/>
  <c r="H3510" i="19" s="1"/>
  <c r="F3706" i="19"/>
  <c r="H3706" i="19" s="1"/>
  <c r="F3700" i="19"/>
  <c r="H3700" i="19" s="1"/>
  <c r="F2168" i="19"/>
  <c r="H2168" i="19" s="1"/>
  <c r="F1102" i="19"/>
  <c r="H1102" i="19" s="1"/>
  <c r="F1096" i="19"/>
  <c r="H1096" i="19" s="1"/>
  <c r="F1088" i="19"/>
  <c r="H1088" i="19" s="1"/>
  <c r="F1078" i="19"/>
  <c r="H1078" i="19" s="1"/>
  <c r="F1022" i="19"/>
  <c r="H1022" i="19" s="1"/>
  <c r="F398" i="19"/>
  <c r="H398" i="19" s="1"/>
  <c r="F998" i="19"/>
  <c r="H998" i="19" s="1"/>
  <c r="F806" i="19"/>
  <c r="H806" i="19" s="1"/>
  <c r="F780" i="19"/>
  <c r="H780" i="19" s="1"/>
  <c r="F1477" i="19"/>
  <c r="H1477" i="19" s="1"/>
  <c r="F384" i="19"/>
  <c r="H384" i="19" s="1"/>
  <c r="F1061" i="19"/>
  <c r="H1061" i="19" s="1"/>
  <c r="F1049" i="19"/>
  <c r="H1049" i="19" s="1"/>
  <c r="F984" i="19"/>
  <c r="H984" i="19" s="1"/>
  <c r="F793" i="19"/>
  <c r="H793" i="19" s="1"/>
  <c r="F767" i="19"/>
  <c r="H767" i="19" s="1"/>
  <c r="F3956" i="19"/>
  <c r="H3956" i="19" s="1"/>
  <c r="F15" i="19"/>
  <c r="H15" i="19" s="1"/>
  <c r="F55" i="19"/>
  <c r="H55" i="19" s="1"/>
  <c r="F23" i="19"/>
  <c r="H23" i="19" s="1"/>
  <c r="F39" i="19"/>
  <c r="H39" i="19" s="1"/>
  <c r="F47" i="19"/>
  <c r="F31" i="19"/>
  <c r="H31" i="19" s="1"/>
  <c r="F3603" i="19"/>
  <c r="H3603" i="19" s="1"/>
  <c r="F3579" i="19"/>
  <c r="H3579" i="19" s="1"/>
  <c r="F2920" i="19"/>
  <c r="H2920" i="19" s="1"/>
  <c r="F3585" i="19"/>
  <c r="H3585" i="19" s="1"/>
  <c r="F3561" i="19"/>
  <c r="H3561" i="19" s="1"/>
  <c r="F3800" i="19"/>
  <c r="H3800" i="19" s="1"/>
  <c r="F3803" i="19" s="1"/>
  <c r="F3591" i="19"/>
  <c r="H3591" i="19" s="1"/>
  <c r="F3567" i="19"/>
  <c r="H3567" i="19" s="1"/>
  <c r="F2062" i="19"/>
  <c r="H2062" i="19" s="1"/>
  <c r="F2932" i="19"/>
  <c r="H2932" i="19" s="1"/>
  <c r="F3597" i="19"/>
  <c r="H3597" i="19" s="1"/>
  <c r="F3573" i="19"/>
  <c r="H3573" i="19" s="1"/>
  <c r="F868" i="19"/>
  <c r="H868" i="19" s="1"/>
  <c r="F848" i="19"/>
  <c r="H848" i="19" s="1"/>
  <c r="F721" i="19"/>
  <c r="H721" i="19" s="1"/>
  <c r="F675" i="19"/>
  <c r="H675" i="19" s="1"/>
  <c r="F493" i="19"/>
  <c r="H493" i="19" s="1"/>
  <c r="F393" i="19"/>
  <c r="H393" i="19" s="1"/>
  <c r="F426" i="19"/>
  <c r="H426" i="19" s="1"/>
  <c r="F3844" i="19"/>
  <c r="H3844" i="19" s="1"/>
  <c r="F94" i="19"/>
  <c r="H94" i="19" s="1"/>
  <c r="F877" i="19"/>
  <c r="H877" i="19" s="1"/>
  <c r="F730" i="19"/>
  <c r="H730" i="19" s="1"/>
  <c r="F668" i="19"/>
  <c r="H668" i="19" s="1"/>
  <c r="F547" i="19"/>
  <c r="H547" i="19" s="1"/>
  <c r="F519" i="19"/>
  <c r="H519" i="19" s="1"/>
  <c r="F499" i="19"/>
  <c r="H499" i="19" s="1"/>
  <c r="F473" i="19"/>
  <c r="H473" i="19" s="1"/>
  <c r="F3964" i="19"/>
  <c r="H3964" i="19" s="1"/>
  <c r="F196" i="19"/>
  <c r="H196" i="19" s="1"/>
  <c r="F100" i="19"/>
  <c r="F88" i="19"/>
  <c r="H88" i="19" s="1"/>
  <c r="F73" i="19"/>
  <c r="F388" i="19"/>
  <c r="H388" i="19" s="1"/>
  <c r="F406" i="19"/>
  <c r="H406" i="19" s="1"/>
  <c r="F3870" i="19"/>
  <c r="H3870" i="19" s="1"/>
  <c r="F3860" i="19"/>
  <c r="H3860" i="19" s="1"/>
  <c r="F955" i="19"/>
  <c r="H955" i="19" s="1"/>
  <c r="F689" i="19"/>
  <c r="H689" i="19" s="1"/>
  <c r="F537" i="19"/>
  <c r="H537" i="19" s="1"/>
  <c r="F525" i="19"/>
  <c r="H525" i="19" s="1"/>
  <c r="F505" i="19"/>
  <c r="F401" i="19"/>
  <c r="H401" i="19" s="1"/>
  <c r="F3828" i="19"/>
  <c r="H3828" i="19" s="1"/>
  <c r="F106" i="19"/>
  <c r="F859" i="19"/>
  <c r="H859" i="19" s="1"/>
  <c r="F712" i="19"/>
  <c r="H712" i="19" s="1"/>
  <c r="F682" i="19"/>
  <c r="H682" i="19" s="1"/>
  <c r="F551" i="19"/>
  <c r="H551" i="19" s="1"/>
  <c r="F542" i="19"/>
  <c r="H542" i="19" s="1"/>
  <c r="F531" i="19"/>
  <c r="H531" i="19" s="1"/>
  <c r="F514" i="19"/>
  <c r="H514" i="19" s="1"/>
  <c r="F487" i="19"/>
  <c r="H487" i="19" s="1"/>
  <c r="F3879" i="19"/>
  <c r="H3879" i="19" s="1"/>
  <c r="F208" i="19"/>
  <c r="H208" i="19" s="1"/>
  <c r="F822" i="19"/>
  <c r="H822" i="19" s="1"/>
  <c r="F2776" i="19"/>
  <c r="H2776" i="19" s="1"/>
  <c r="F2771" i="19" s="1"/>
  <c r="F231" i="19"/>
  <c r="F887" i="19"/>
  <c r="H887" i="19" s="1"/>
  <c r="F2752" i="19"/>
  <c r="H2752" i="19" s="1"/>
  <c r="F2746" i="19" s="1"/>
  <c r="F4021" i="19"/>
  <c r="H4021" i="19" s="1"/>
  <c r="F4014" i="19" s="1"/>
  <c r="F702" i="19"/>
  <c r="H702" i="19" s="1"/>
  <c r="F253" i="10"/>
  <c r="H253" i="10" s="1"/>
  <c r="F451" i="10"/>
  <c r="H451" i="10" s="1"/>
  <c r="F335" i="10"/>
  <c r="H335" i="10" s="1"/>
  <c r="F329" i="10" s="1"/>
  <c r="F506" i="10"/>
  <c r="H506" i="10" s="1"/>
  <c r="F501" i="10" s="1"/>
  <c r="F969" i="19"/>
  <c r="H969" i="19" s="1"/>
  <c r="F2758" i="19"/>
  <c r="H2758" i="19" s="1"/>
  <c r="F2753" i="19" s="1"/>
  <c r="F615" i="19"/>
  <c r="H615" i="19" s="1"/>
  <c r="F836" i="19"/>
  <c r="H836" i="19" s="1"/>
  <c r="F2710" i="19"/>
  <c r="H2710" i="19" s="1"/>
  <c r="F2704" i="19" s="1"/>
  <c r="F2799" i="19"/>
  <c r="H2799" i="19" s="1"/>
  <c r="F2794" i="19" s="1"/>
  <c r="F3112" i="19"/>
  <c r="H3112" i="19" s="1"/>
  <c r="F3106" i="19" s="1"/>
  <c r="F3012" i="19"/>
  <c r="H3012" i="19" s="1"/>
  <c r="F3006" i="19" s="1"/>
  <c r="F4037" i="19"/>
  <c r="H4037" i="19" s="1"/>
  <c r="F4030" i="19" s="1"/>
  <c r="F227" i="19"/>
  <c r="H227" i="19" s="1"/>
  <c r="F165" i="19"/>
  <c r="H165" i="19" s="1"/>
  <c r="F223" i="19"/>
  <c r="F302" i="19"/>
  <c r="H302" i="19" s="1"/>
  <c r="F3019" i="19"/>
  <c r="H3019" i="19" s="1"/>
  <c r="F3013" i="19" s="1"/>
  <c r="F251" i="19"/>
  <c r="H251" i="19" s="1"/>
  <c r="F90" i="10"/>
  <c r="H90" i="10" s="1"/>
  <c r="F4029" i="19"/>
  <c r="H4029" i="19" s="1"/>
  <c r="F4022" i="19" s="1"/>
  <c r="F116" i="10"/>
  <c r="H116" i="10" s="1"/>
  <c r="F113" i="10" s="1"/>
  <c r="F4005" i="19"/>
  <c r="F2764" i="19"/>
  <c r="H2764" i="19" s="1"/>
  <c r="F2759" i="19" s="1"/>
  <c r="F245" i="19"/>
  <c r="H245" i="19" s="1"/>
  <c r="F298" i="10"/>
  <c r="H298" i="10" s="1"/>
  <c r="F204" i="19"/>
  <c r="H204" i="19" s="1"/>
  <c r="F1005" i="10"/>
  <c r="H1005" i="10" s="1"/>
  <c r="F844" i="10"/>
  <c r="H844" i="10" s="1"/>
  <c r="F727" i="10"/>
  <c r="H727" i="10" s="1"/>
  <c r="F684" i="10"/>
  <c r="H684" i="10" s="1"/>
  <c r="F338" i="10"/>
  <c r="H338" i="10" s="1"/>
  <c r="F305" i="10"/>
  <c r="H305" i="10" s="1"/>
  <c r="F993" i="10"/>
  <c r="H993" i="10" s="1"/>
  <c r="F901" i="10"/>
  <c r="H901" i="10" s="1"/>
  <c r="F883" i="10"/>
  <c r="H883" i="10" s="1"/>
  <c r="F821" i="10"/>
  <c r="H821" i="10" s="1"/>
  <c r="F786" i="10"/>
  <c r="H786" i="10" s="1"/>
  <c r="F776" i="10"/>
  <c r="H776" i="10" s="1"/>
  <c r="F739" i="10"/>
  <c r="H739" i="10" s="1"/>
  <c r="F658" i="10"/>
  <c r="H658" i="10" s="1"/>
  <c r="F937" i="10"/>
  <c r="H937" i="10" s="1"/>
  <c r="F869" i="10"/>
  <c r="H869" i="10" s="1"/>
  <c r="F855" i="10"/>
  <c r="H855" i="10" s="1"/>
  <c r="F833" i="10"/>
  <c r="H833" i="10" s="1"/>
  <c r="F798" i="10"/>
  <c r="H798" i="10" s="1"/>
  <c r="F754" i="10"/>
  <c r="H754" i="10" s="1"/>
  <c r="F677" i="10"/>
  <c r="H677" i="10" s="1"/>
  <c r="F653" i="10"/>
  <c r="H653" i="10" s="1"/>
  <c r="F523" i="10"/>
  <c r="H523" i="10" s="1"/>
  <c r="F96" i="10"/>
  <c r="H96" i="10" s="1"/>
  <c r="F931" i="10"/>
  <c r="H931" i="10" s="1"/>
  <c r="F859" i="10"/>
  <c r="H859" i="10" s="1"/>
  <c r="F810" i="10"/>
  <c r="H810" i="10" s="1"/>
  <c r="F665" i="10"/>
  <c r="H665" i="10" s="1"/>
  <c r="F987" i="10"/>
  <c r="H987" i="10" s="1"/>
  <c r="F976" i="10"/>
  <c r="H976" i="10" s="1"/>
  <c r="F963" i="10"/>
  <c r="H963" i="10" s="1"/>
  <c r="F948" i="10"/>
  <c r="H948" i="10" s="1"/>
  <c r="F916" i="10"/>
  <c r="H916" i="10" s="1"/>
  <c r="F906" i="10"/>
  <c r="H906" i="10" s="1"/>
  <c r="F764" i="10"/>
  <c r="H764" i="10" s="1"/>
  <c r="F573" i="10"/>
  <c r="H573" i="10" s="1"/>
  <c r="F565" i="10"/>
  <c r="H565" i="10" s="1"/>
  <c r="F556" i="10"/>
  <c r="H556" i="10" s="1"/>
  <c r="F206" i="10"/>
  <c r="H206" i="10" s="1"/>
  <c r="F104" i="10"/>
  <c r="H104" i="10" s="1"/>
  <c r="F953" i="10"/>
  <c r="H953" i="10" s="1"/>
  <c r="F942" i="10"/>
  <c r="H942" i="10" s="1"/>
  <c r="F673" i="10"/>
  <c r="H673" i="10" s="1"/>
  <c r="F589" i="10"/>
  <c r="H589" i="10" s="1"/>
  <c r="F707" i="10"/>
  <c r="H707" i="10" s="1"/>
  <c r="F689" i="10"/>
  <c r="H689" i="10" s="1"/>
  <c r="F640" i="10"/>
  <c r="H640" i="10" s="1"/>
  <c r="F606" i="10"/>
  <c r="H606" i="10" s="1"/>
  <c r="F518" i="10"/>
  <c r="H518" i="10" s="1"/>
  <c r="F183" i="10"/>
  <c r="H183" i="10" s="1"/>
  <c r="F173" i="10"/>
  <c r="H173" i="10" s="1"/>
  <c r="F925" i="10"/>
  <c r="H925" i="10" s="1"/>
  <c r="F644" i="10"/>
  <c r="H644" i="10" s="1"/>
  <c r="F600" i="10"/>
  <c r="H600" i="10" s="1"/>
  <c r="F578" i="10"/>
  <c r="H578" i="10" s="1"/>
  <c r="F222" i="10"/>
  <c r="H222" i="10" s="1"/>
  <c r="F538" i="10"/>
  <c r="H538" i="10" s="1"/>
  <c r="F92" i="10"/>
  <c r="H92" i="10" s="1"/>
  <c r="F82" i="10"/>
  <c r="H82" i="10" s="1"/>
  <c r="F86" i="10" s="1"/>
  <c r="F892" i="10"/>
  <c r="H892" i="10" s="1"/>
  <c r="F546" i="10"/>
  <c r="H546" i="10" s="1"/>
  <c r="F168" i="10"/>
  <c r="H168" i="10" s="1"/>
  <c r="F716" i="10"/>
  <c r="H716" i="10" s="1"/>
  <c r="F231" i="10"/>
  <c r="H231" i="10" s="1"/>
  <c r="F163" i="10"/>
  <c r="H163" i="10" s="1"/>
  <c r="F266" i="10"/>
  <c r="H266" i="10" s="1"/>
  <c r="F274" i="10"/>
  <c r="H274" i="10" s="1"/>
  <c r="F282" i="10"/>
  <c r="H282" i="10" s="1"/>
  <c r="H136" i="19"/>
  <c r="F489" i="10"/>
  <c r="H489" i="10" s="1"/>
  <c r="F619" i="10"/>
  <c r="H619" i="10" s="1"/>
  <c r="F419" i="10"/>
  <c r="H419" i="10" s="1"/>
  <c r="F423" i="10" s="1"/>
  <c r="F406" i="10"/>
  <c r="H406" i="10" s="1"/>
  <c r="F392" i="10"/>
  <c r="H392" i="10" s="1"/>
  <c r="F43" i="10"/>
  <c r="H43" i="10" s="1"/>
  <c r="F378" i="10"/>
  <c r="H378" i="10" s="1"/>
  <c r="F290" i="19" l="1"/>
  <c r="F232" i="19"/>
  <c r="F9" i="10"/>
  <c r="F2611" i="19"/>
  <c r="H2611" i="19" s="1"/>
  <c r="F2608" i="19" s="1"/>
  <c r="F2619" i="19"/>
  <c r="H2619" i="19" s="1"/>
  <c r="F2616" i="19" s="1"/>
  <c r="F2615" i="19"/>
  <c r="H2615" i="19" s="1"/>
  <c r="F2612" i="19" s="1"/>
  <c r="F2625" i="19"/>
  <c r="H2625" i="19" s="1"/>
  <c r="F2620" i="19" s="1"/>
  <c r="F189" i="10"/>
  <c r="F2025" i="19"/>
  <c r="H2025" i="19" s="1"/>
  <c r="F2026" i="19"/>
  <c r="H2026" i="19" s="1"/>
  <c r="F2099" i="19"/>
  <c r="H2099" i="19" s="1"/>
  <c r="F2098" i="19"/>
  <c r="H2098" i="19" s="1"/>
  <c r="F2112" i="19"/>
  <c r="H2112" i="19" s="1"/>
  <c r="F2111" i="19"/>
  <c r="H2111" i="19" s="1"/>
  <c r="F2105" i="19"/>
  <c r="H2105" i="19" s="1"/>
  <c r="F2104" i="19"/>
  <c r="H2104" i="19" s="1"/>
  <c r="F2119" i="19"/>
  <c r="H2119" i="19" s="1"/>
  <c r="F2118" i="19"/>
  <c r="H2118" i="19" s="1"/>
  <c r="F2607" i="19"/>
  <c r="H2607" i="19" s="1"/>
  <c r="F2604" i="19" s="1"/>
  <c r="F2030" i="19"/>
  <c r="H2030" i="19" s="1"/>
  <c r="F2031" i="19"/>
  <c r="H2031" i="19" s="1"/>
  <c r="F1997" i="19"/>
  <c r="H1997" i="19" s="1"/>
  <c r="F1996" i="19"/>
  <c r="H1996" i="19" s="1"/>
  <c r="F2019" i="19"/>
  <c r="H2019" i="19" s="1"/>
  <c r="F2018" i="19"/>
  <c r="H2018" i="19" s="1"/>
  <c r="F465" i="19"/>
  <c r="F167" i="19"/>
  <c r="F202" i="19"/>
  <c r="F371" i="19"/>
  <c r="F246" i="19"/>
  <c r="F241" i="19"/>
  <c r="F205" i="19"/>
  <c r="F135" i="19"/>
  <c r="F156" i="19"/>
  <c r="F266" i="19"/>
  <c r="H266" i="19" s="1"/>
  <c r="F224" i="19"/>
  <c r="F2177" i="19"/>
  <c r="H2177" i="19" s="1"/>
  <c r="F2178" i="19"/>
  <c r="H2178" i="19" s="1"/>
  <c r="H289" i="19"/>
  <c r="F448" i="19"/>
  <c r="F437" i="19"/>
  <c r="H437" i="19" s="1"/>
  <c r="F438" i="19"/>
  <c r="H438" i="19" s="1"/>
  <c r="F2595" i="19"/>
  <c r="H2595" i="19" s="1"/>
  <c r="F2594" i="19"/>
  <c r="H2594" i="19" s="1"/>
  <c r="F2603" i="19"/>
  <c r="H2603" i="19" s="1"/>
  <c r="F2600" i="19" s="1"/>
  <c r="H4043" i="19"/>
  <c r="F4038" i="19" s="1"/>
  <c r="H106" i="19"/>
  <c r="F3728" i="19"/>
  <c r="F3360" i="19"/>
  <c r="H3360" i="19" s="1"/>
  <c r="F3354" i="19" s="1"/>
  <c r="F3353" i="19"/>
  <c r="H3353" i="19" s="1"/>
  <c r="F3347" i="19" s="1"/>
  <c r="F3231" i="19"/>
  <c r="H3231" i="19" s="1"/>
  <c r="F3224" i="19" s="1"/>
  <c r="F3214" i="19"/>
  <c r="H3214" i="19" s="1"/>
  <c r="F3207" i="19" s="1"/>
  <c r="F3197" i="19"/>
  <c r="H3197" i="19" s="1"/>
  <c r="F3190" i="19" s="1"/>
  <c r="F3180" i="19"/>
  <c r="H3180" i="19" s="1"/>
  <c r="F3173" i="19" s="1"/>
  <c r="F3163" i="19"/>
  <c r="H3163" i="19" s="1"/>
  <c r="F3156" i="19" s="1"/>
  <c r="F3129" i="19"/>
  <c r="H3129" i="19" s="1"/>
  <c r="F3122" i="19" s="1"/>
  <c r="F3063" i="19"/>
  <c r="H3063" i="19" s="1"/>
  <c r="F3057" i="19" s="1"/>
  <c r="F3029" i="19"/>
  <c r="H3029" i="19" s="1"/>
  <c r="F3020" i="19" s="1"/>
  <c r="F2555" i="19"/>
  <c r="H2555" i="19" s="1"/>
  <c r="F2545" i="19" s="1"/>
  <c r="F1748" i="19"/>
  <c r="H1748" i="19" s="1"/>
  <c r="F1742" i="19" s="1"/>
  <c r="F1599" i="19"/>
  <c r="H1599" i="19" s="1"/>
  <c r="F1593" i="19" s="1"/>
  <c r="F1354" i="19"/>
  <c r="H1354" i="19" s="1"/>
  <c r="F1343" i="19"/>
  <c r="H1343" i="19" s="1"/>
  <c r="F591" i="19"/>
  <c r="F598" i="19"/>
  <c r="F605" i="19"/>
  <c r="F584" i="19"/>
  <c r="F610" i="19"/>
  <c r="F569" i="19"/>
  <c r="F562" i="19"/>
  <c r="F456" i="19"/>
  <c r="F460" i="19"/>
  <c r="F455" i="19"/>
  <c r="H455" i="19" s="1"/>
  <c r="F965" i="10"/>
  <c r="F967" i="10"/>
  <c r="F980" i="10"/>
  <c r="F978" i="10"/>
  <c r="F950" i="10"/>
  <c r="F949" i="10"/>
  <c r="F944" i="10"/>
  <c r="F943" i="10"/>
  <c r="F927" i="10"/>
  <c r="F926" i="10"/>
  <c r="F2085" i="19"/>
  <c r="H2085" i="19" s="1"/>
  <c r="F2084" i="19"/>
  <c r="H2084" i="19" s="1"/>
  <c r="F2077" i="19"/>
  <c r="H2077" i="19" s="1"/>
  <c r="F2076" i="19"/>
  <c r="H2076" i="19" s="1"/>
  <c r="F1461" i="19"/>
  <c r="H1461" i="19" s="1"/>
  <c r="F1460" i="19"/>
  <c r="H1460" i="19" s="1"/>
  <c r="F1451" i="19"/>
  <c r="H1451" i="19" s="1"/>
  <c r="F1452" i="19"/>
  <c r="H1452" i="19" s="1"/>
  <c r="F2070" i="19"/>
  <c r="H2070" i="19" s="1"/>
  <c r="F2069" i="19"/>
  <c r="H2069" i="19" s="1"/>
  <c r="F1236" i="19"/>
  <c r="H1236" i="19" s="1"/>
  <c r="F1235" i="19"/>
  <c r="H1235" i="19" s="1"/>
  <c r="F3895" i="19"/>
  <c r="H3895" i="19" s="1"/>
  <c r="F3897" i="19"/>
  <c r="H3897" i="19" s="1"/>
  <c r="F2092" i="19"/>
  <c r="H2092" i="19" s="1"/>
  <c r="F2093" i="19"/>
  <c r="H2093" i="19" s="1"/>
  <c r="H47" i="19"/>
  <c r="H82" i="19"/>
  <c r="H641" i="19"/>
  <c r="F642" i="19" s="1"/>
  <c r="H642" i="19" s="1"/>
  <c r="F4013" i="19"/>
  <c r="H4013" i="19" s="1"/>
  <c r="F4006" i="19" s="1"/>
  <c r="H4005" i="19"/>
  <c r="F3998" i="19" s="1"/>
  <c r="F3997" i="19"/>
  <c r="H3997" i="19" s="1"/>
  <c r="F3990" i="19" s="1"/>
  <c r="F3989" i="19"/>
  <c r="H3989" i="19" s="1"/>
  <c r="F3982" i="19" s="1"/>
  <c r="F3981" i="19"/>
  <c r="H3981" i="19" s="1"/>
  <c r="F3974" i="19" s="1"/>
  <c r="F3973" i="19"/>
  <c r="H3973" i="19" s="1"/>
  <c r="F3966" i="19" s="1"/>
  <c r="H1845" i="19"/>
  <c r="F259" i="10"/>
  <c r="H259" i="10" s="1"/>
  <c r="F257" i="10" s="1"/>
  <c r="F1296" i="19"/>
  <c r="H1296" i="19" s="1"/>
  <c r="F1295" i="19"/>
  <c r="H1295" i="19" s="1"/>
  <c r="F1727" i="19"/>
  <c r="H1727" i="19" s="1"/>
  <c r="F1721" i="19" s="1"/>
  <c r="F1797" i="19"/>
  <c r="H1797" i="19" s="1"/>
  <c r="F1791" i="19" s="1"/>
  <c r="F3146" i="19"/>
  <c r="H3146" i="19" s="1"/>
  <c r="F3139" i="19" s="1"/>
  <c r="F259" i="19"/>
  <c r="F1308" i="19"/>
  <c r="H1308" i="19" s="1"/>
  <c r="F1307" i="19"/>
  <c r="H1307" i="19" s="1"/>
  <c r="F1776" i="19"/>
  <c r="H1776" i="19" s="1"/>
  <c r="F1770" i="19" s="1"/>
  <c r="F1741" i="19"/>
  <c r="H1741" i="19" s="1"/>
  <c r="F1735" i="19" s="1"/>
  <c r="F1819" i="19"/>
  <c r="H1819" i="19" s="1"/>
  <c r="F1809" i="19" s="1"/>
  <c r="F1734" i="19"/>
  <c r="H1734" i="19" s="1"/>
  <c r="F1728" i="19" s="1"/>
  <c r="F3477" i="19"/>
  <c r="H3477" i="19" s="1"/>
  <c r="F3471" i="19" s="1"/>
  <c r="F3814" i="19"/>
  <c r="H3814" i="19" s="1"/>
  <c r="F1331" i="19"/>
  <c r="H1331" i="19" s="1"/>
  <c r="F1332" i="19"/>
  <c r="H1332" i="19" s="1"/>
  <c r="F1755" i="19"/>
  <c r="H1755" i="19" s="1"/>
  <c r="F1749" i="19" s="1"/>
  <c r="F3462" i="19"/>
  <c r="H3462" i="19" s="1"/>
  <c r="F3456" i="19" s="1"/>
  <c r="F1630" i="19"/>
  <c r="H1630" i="19" s="1"/>
  <c r="F1783" i="19"/>
  <c r="H1783" i="19" s="1"/>
  <c r="F1777" i="19" s="1"/>
  <c r="F1769" i="19"/>
  <c r="H1769" i="19" s="1"/>
  <c r="F1763" i="19" s="1"/>
  <c r="F2874" i="19"/>
  <c r="H2874" i="19" s="1"/>
  <c r="F2871" i="19" s="1"/>
  <c r="F3492" i="19"/>
  <c r="H3492" i="19" s="1"/>
  <c r="F3486" i="19" s="1"/>
  <c r="F3248" i="19"/>
  <c r="H3248" i="19" s="1"/>
  <c r="F3241" i="19" s="1"/>
  <c r="F3395" i="19"/>
  <c r="H3395" i="19" s="1"/>
  <c r="F3394" i="19"/>
  <c r="H3394" i="19" s="1"/>
  <c r="F3386" i="19"/>
  <c r="H3386" i="19" s="1"/>
  <c r="F3385" i="19"/>
  <c r="H3385" i="19" s="1"/>
  <c r="F3368" i="19"/>
  <c r="H3368" i="19" s="1"/>
  <c r="F3367" i="19"/>
  <c r="H3367" i="19" s="1"/>
  <c r="F3329" i="19"/>
  <c r="H3329" i="19" s="1"/>
  <c r="F3326" i="19" s="1"/>
  <c r="F3272" i="19"/>
  <c r="H3272" i="19" s="1"/>
  <c r="F3265" i="19" s="1"/>
  <c r="F3256" i="19"/>
  <c r="H3256" i="19" s="1"/>
  <c r="F3249" i="19" s="1"/>
  <c r="F3005" i="19"/>
  <c r="H3005" i="19" s="1"/>
  <c r="F2999" i="19" s="1"/>
  <c r="F2953" i="19"/>
  <c r="H2953" i="19" s="1"/>
  <c r="F2949" i="19" s="1"/>
  <c r="F2717" i="19"/>
  <c r="H2717" i="19" s="1"/>
  <c r="F2711" i="19" s="1"/>
  <c r="F2724" i="19"/>
  <c r="H2724" i="19" s="1"/>
  <c r="F2718" i="19" s="1"/>
  <c r="F2731" i="19"/>
  <c r="F2738" i="19"/>
  <c r="H2738" i="19" s="1"/>
  <c r="F2732" i="19" s="1"/>
  <c r="F2745" i="19"/>
  <c r="H2745" i="19" s="1"/>
  <c r="F2739" i="19" s="1"/>
  <c r="F2770" i="19"/>
  <c r="F2781" i="19"/>
  <c r="F2793" i="19"/>
  <c r="F2803" i="19"/>
  <c r="H2803" i="19" s="1"/>
  <c r="F2800" i="19" s="1"/>
  <c r="F2807" i="19"/>
  <c r="H2807" i="19" s="1"/>
  <c r="F2804" i="19" s="1"/>
  <c r="F2811" i="19"/>
  <c r="H2811" i="19" s="1"/>
  <c r="F2808" i="19" s="1"/>
  <c r="F2815" i="19"/>
  <c r="H2815" i="19" s="1"/>
  <c r="F2812" i="19" s="1"/>
  <c r="F2819" i="19"/>
  <c r="H2819" i="19" s="1"/>
  <c r="F2816" i="19" s="1"/>
  <c r="F2823" i="19"/>
  <c r="H2823" i="19" s="1"/>
  <c r="F2820" i="19" s="1"/>
  <c r="F2827" i="19"/>
  <c r="H2827" i="19" s="1"/>
  <c r="F2824" i="19" s="1"/>
  <c r="F2831" i="19"/>
  <c r="H2831" i="19" s="1"/>
  <c r="F2828" i="19" s="1"/>
  <c r="F2835" i="19"/>
  <c r="H2835" i="19" s="1"/>
  <c r="F2832" i="19" s="1"/>
  <c r="F2846" i="19"/>
  <c r="H2846" i="19" s="1"/>
  <c r="F2843" i="19" s="1"/>
  <c r="F2850" i="19"/>
  <c r="F2854" i="19"/>
  <c r="H2854" i="19" s="1"/>
  <c r="F2851" i="19" s="1"/>
  <c r="F2858" i="19"/>
  <c r="F2862" i="19"/>
  <c r="H2862" i="19" s="1"/>
  <c r="F2859" i="19" s="1"/>
  <c r="F2866" i="19"/>
  <c r="H2866" i="19" s="1"/>
  <c r="F2863" i="19" s="1"/>
  <c r="F2893" i="19"/>
  <c r="H2893" i="19" s="1"/>
  <c r="F2889" i="19" s="1"/>
  <c r="F2931" i="19"/>
  <c r="H2931" i="19" s="1"/>
  <c r="F2919" i="19"/>
  <c r="H2919" i="19" s="1"/>
  <c r="F1168" i="19"/>
  <c r="F1173" i="19"/>
  <c r="H1173" i="19" s="1"/>
  <c r="F1169" i="19" s="1"/>
  <c r="F2662" i="19"/>
  <c r="H2662" i="19" s="1"/>
  <c r="H2560" i="19"/>
  <c r="F2561" i="19" s="1"/>
  <c r="H2561" i="19" s="1"/>
  <c r="F2134" i="19"/>
  <c r="H2134" i="19" s="1"/>
  <c r="F2141" i="19"/>
  <c r="H2141" i="19" s="1"/>
  <c r="F2146" i="19"/>
  <c r="H2146" i="19" s="1"/>
  <c r="F515" i="19"/>
  <c r="F520" i="19"/>
  <c r="F526" i="19"/>
  <c r="F532" i="19"/>
  <c r="F548" i="19"/>
  <c r="F552" i="19"/>
  <c r="F543" i="19"/>
  <c r="F544" i="19"/>
  <c r="F538" i="19"/>
  <c r="F539" i="19"/>
  <c r="H509" i="19"/>
  <c r="H505" i="19"/>
  <c r="F454" i="19"/>
  <c r="H454" i="19" s="1"/>
  <c r="F282" i="19"/>
  <c r="H282" i="19" s="1"/>
  <c r="H223" i="19"/>
  <c r="H231" i="19"/>
  <c r="H77" i="19"/>
  <c r="H100" i="19"/>
  <c r="H73" i="19"/>
  <c r="F1835" i="19"/>
  <c r="H1835" i="19" s="1"/>
  <c r="F1831" i="19" s="1"/>
  <c r="F1713" i="19"/>
  <c r="H1713" i="19" s="1"/>
  <c r="F1707" i="19" s="1"/>
  <c r="F1872" i="19"/>
  <c r="H1872" i="19" s="1"/>
  <c r="F2842" i="19"/>
  <c r="H2842" i="19" s="1"/>
  <c r="F984" i="10"/>
  <c r="H984" i="10" s="1"/>
  <c r="F981" i="10" s="1"/>
  <c r="F1706" i="19"/>
  <c r="H1706" i="19" s="1"/>
  <c r="F1700" i="19" s="1"/>
  <c r="F189" i="19"/>
  <c r="H189" i="19" s="1"/>
  <c r="F2355" i="19"/>
  <c r="H2355" i="19" s="1"/>
  <c r="F358" i="10"/>
  <c r="H358" i="10" s="1"/>
  <c r="F353" i="10" s="1"/>
  <c r="F132" i="10"/>
  <c r="H132" i="10" s="1"/>
  <c r="F128" i="10" s="1"/>
  <c r="F2687" i="19"/>
  <c r="H2687" i="19" s="1"/>
  <c r="F755" i="19"/>
  <c r="H755" i="19" s="1"/>
  <c r="F346" i="19"/>
  <c r="F347" i="19"/>
  <c r="H347" i="19" s="1"/>
  <c r="F345" i="19"/>
  <c r="H345" i="19" s="1"/>
  <c r="F329" i="19"/>
  <c r="H329" i="19" s="1"/>
  <c r="F328" i="19"/>
  <c r="H328" i="19" s="1"/>
  <c r="F443" i="19"/>
  <c r="H443" i="19" s="1"/>
  <c r="F442" i="19"/>
  <c r="H442" i="19" s="1"/>
  <c r="F742" i="19"/>
  <c r="H742" i="19" s="1"/>
  <c r="F741" i="19"/>
  <c r="H741" i="19" s="1"/>
  <c r="F194" i="19"/>
  <c r="H194" i="19" s="1"/>
  <c r="F193" i="19"/>
  <c r="H193" i="19" s="1"/>
  <c r="F313" i="19"/>
  <c r="H313" i="19" s="1"/>
  <c r="F312" i="19"/>
  <c r="H312" i="19" s="1"/>
  <c r="F337" i="19"/>
  <c r="H337" i="19" s="1"/>
  <c r="F336" i="19"/>
  <c r="H336" i="19" s="1"/>
  <c r="F325" i="19"/>
  <c r="H325" i="19" s="1"/>
  <c r="F324" i="19"/>
  <c r="H324" i="19" s="1"/>
  <c r="F418" i="19"/>
  <c r="H418" i="19" s="1"/>
  <c r="F417" i="19"/>
  <c r="H417" i="19" s="1"/>
  <c r="F447" i="19"/>
  <c r="H447" i="19" s="1"/>
  <c r="F446" i="19"/>
  <c r="H446" i="19" s="1"/>
  <c r="F351" i="19"/>
  <c r="H351" i="19" s="1"/>
  <c r="F350" i="19"/>
  <c r="H350" i="19" s="1"/>
  <c r="F342" i="19"/>
  <c r="H342" i="19" s="1"/>
  <c r="F341" i="19"/>
  <c r="H341" i="19" s="1"/>
  <c r="F433" i="19"/>
  <c r="H433" i="19" s="1"/>
  <c r="F432" i="19"/>
  <c r="H432" i="19" s="1"/>
  <c r="F414" i="19"/>
  <c r="H414" i="19" s="1"/>
  <c r="F412" i="19"/>
  <c r="H412" i="19" s="1"/>
  <c r="F370" i="19"/>
  <c r="H370" i="19" s="1"/>
  <c r="F369" i="19"/>
  <c r="H369" i="19" s="1"/>
  <c r="F333" i="19"/>
  <c r="H333" i="19" s="1"/>
  <c r="F332" i="19"/>
  <c r="H332" i="19" s="1"/>
  <c r="F360" i="19"/>
  <c r="H360" i="19" s="1"/>
  <c r="F359" i="19"/>
  <c r="F366" i="19"/>
  <c r="H366" i="19" s="1"/>
  <c r="F364" i="19"/>
  <c r="H364" i="19" s="1"/>
  <c r="F317" i="19"/>
  <c r="H317" i="19" s="1"/>
  <c r="F316" i="19"/>
  <c r="H316" i="19" s="1"/>
  <c r="F356" i="19"/>
  <c r="H356" i="19" s="1"/>
  <c r="F355" i="19"/>
  <c r="H355" i="19" s="1"/>
  <c r="F321" i="19"/>
  <c r="H321" i="19" s="1"/>
  <c r="F320" i="19"/>
  <c r="H320" i="19" s="1"/>
  <c r="F2901" i="19"/>
  <c r="H2901" i="19" s="1"/>
  <c r="F2459" i="19"/>
  <c r="H2459" i="19" s="1"/>
  <c r="F1222" i="19"/>
  <c r="H1222" i="19" s="1"/>
  <c r="F3419" i="19"/>
  <c r="H3419" i="19" s="1"/>
  <c r="F365" i="19"/>
  <c r="H365" i="19" s="1"/>
  <c r="F3040" i="19"/>
  <c r="H3040" i="19" s="1"/>
  <c r="F3033" i="19" s="1"/>
  <c r="F3440" i="19"/>
  <c r="H3440" i="19" s="1"/>
  <c r="F3434" i="19" s="1"/>
  <c r="F1385" i="19"/>
  <c r="H1385" i="19" s="1"/>
  <c r="F1382" i="19" s="1"/>
  <c r="F419" i="19"/>
  <c r="H419" i="19" s="1"/>
  <c r="F970" i="19"/>
  <c r="H970" i="19" s="1"/>
  <c r="F837" i="19"/>
  <c r="H837" i="19" s="1"/>
  <c r="F434" i="19"/>
  <c r="H434" i="19" s="1"/>
  <c r="F821" i="19"/>
  <c r="H821" i="19" s="1"/>
  <c r="F2135" i="19"/>
  <c r="H2135" i="19" s="1"/>
  <c r="F352" i="19"/>
  <c r="H352" i="19" s="1"/>
  <c r="F338" i="19"/>
  <c r="H338" i="19" s="1"/>
  <c r="F3914" i="19"/>
  <c r="H3914" i="19" s="1"/>
  <c r="F997" i="10"/>
  <c r="H997" i="10" s="1"/>
  <c r="F2147" i="19"/>
  <c r="H2147" i="19" s="1"/>
  <c r="F1940" i="19"/>
  <c r="H1940" i="19" s="1"/>
  <c r="F2331" i="19"/>
  <c r="H2331" i="19" s="1"/>
  <c r="F2241" i="19"/>
  <c r="H2241" i="19" s="1"/>
  <c r="H2534" i="19"/>
  <c r="F1950" i="19"/>
  <c r="H1950" i="19" s="1"/>
  <c r="F2585" i="19"/>
  <c r="H2585" i="19" s="1"/>
  <c r="F3931" i="19"/>
  <c r="H3931" i="19" s="1"/>
  <c r="F2320" i="19"/>
  <c r="H2320" i="19" s="1"/>
  <c r="F2464" i="19"/>
  <c r="H2464" i="19" s="1"/>
  <c r="F1467" i="19"/>
  <c r="H1467" i="19" s="1"/>
  <c r="F3660" i="19"/>
  <c r="H3660" i="19" s="1"/>
  <c r="F1207" i="19"/>
  <c r="H1207" i="19" s="1"/>
  <c r="F1585" i="19"/>
  <c r="F413" i="19"/>
  <c r="H413" i="19" s="1"/>
  <c r="F2140" i="19"/>
  <c r="H2140" i="19" s="1"/>
  <c r="F917" i="10"/>
  <c r="H917" i="10" s="1"/>
  <c r="F479" i="10"/>
  <c r="H479" i="10" s="1"/>
  <c r="F465" i="10"/>
  <c r="H465" i="10" s="1"/>
  <c r="F437" i="10"/>
  <c r="H437" i="10" s="1"/>
  <c r="F698" i="10"/>
  <c r="H698" i="10" s="1"/>
  <c r="F368" i="10"/>
  <c r="H368" i="10" s="1"/>
  <c r="F364" i="10" s="1"/>
  <c r="F293" i="10"/>
  <c r="H293" i="10" s="1"/>
  <c r="F287" i="10" s="1"/>
  <c r="F321" i="10"/>
  <c r="H321" i="10" s="1"/>
  <c r="F102" i="10"/>
  <c r="H102" i="10" s="1"/>
  <c r="F101" i="10"/>
  <c r="H101" i="10" s="1"/>
  <c r="F352" i="10"/>
  <c r="H352" i="10" s="1"/>
  <c r="F347" i="10" s="1"/>
  <c r="F89" i="10"/>
  <c r="H89" i="10" s="1"/>
  <c r="F87" i="10" s="1"/>
  <c r="F345" i="10"/>
  <c r="H345" i="10" s="1"/>
  <c r="F245" i="10"/>
  <c r="H245" i="10" s="1"/>
  <c r="F244" i="10"/>
  <c r="H244" i="10" s="1"/>
  <c r="F328" i="10"/>
  <c r="H328" i="10" s="1"/>
  <c r="F322" i="10" s="1"/>
  <c r="F121" i="10"/>
  <c r="H121" i="10" s="1"/>
  <c r="F120" i="10"/>
  <c r="H120" i="10" s="1"/>
  <c r="F68" i="10"/>
  <c r="H68" i="10" s="1"/>
  <c r="F67" i="10"/>
  <c r="H67" i="10" s="1"/>
  <c r="F361" i="19"/>
  <c r="H361" i="19" s="1"/>
  <c r="F3681" i="19"/>
  <c r="H3681" i="19" s="1"/>
  <c r="F3675" i="19" s="1"/>
  <c r="F1667" i="19"/>
  <c r="F1620" i="19"/>
  <c r="F2258" i="19"/>
  <c r="H2258" i="19" s="1"/>
  <c r="F2226" i="19"/>
  <c r="H2226" i="19" s="1"/>
  <c r="F1647" i="19"/>
  <c r="H1647" i="19" s="1"/>
  <c r="F1920" i="19"/>
  <c r="F769" i="19"/>
  <c r="H769" i="19" s="1"/>
  <c r="F1762" i="19"/>
  <c r="H1762" i="19" s="1"/>
  <c r="F1756" i="19" s="1"/>
  <c r="F273" i="19"/>
  <c r="F1691" i="19"/>
  <c r="H1691" i="19" s="1"/>
  <c r="F1686" i="19" s="1"/>
  <c r="F1368" i="19"/>
  <c r="H1368" i="19" s="1"/>
  <c r="F1319" i="19"/>
  <c r="H1319" i="19" s="1"/>
  <c r="F2205" i="19"/>
  <c r="H2205" i="19" s="1"/>
  <c r="F2185" i="19"/>
  <c r="H2185" i="19" s="1"/>
  <c r="F3721" i="19"/>
  <c r="H3721" i="19" s="1"/>
  <c r="F2403" i="19"/>
  <c r="H2403" i="19" s="1"/>
  <c r="F3532" i="19"/>
  <c r="H3532" i="19" s="1"/>
  <c r="F2447" i="19"/>
  <c r="H2447" i="19" s="1"/>
  <c r="F2440" i="19" s="1"/>
  <c r="F1242" i="19"/>
  <c r="H1242" i="19" s="1"/>
  <c r="F631" i="19"/>
  <c r="H631" i="19" s="1"/>
  <c r="F2427" i="19"/>
  <c r="H2427" i="19" s="1"/>
  <c r="F2469" i="19"/>
  <c r="H2469" i="19" s="1"/>
  <c r="F1955" i="19"/>
  <c r="H1955" i="19" s="1"/>
  <c r="F3485" i="19"/>
  <c r="H3485" i="19" s="1"/>
  <c r="F304" i="19"/>
  <c r="H304" i="19" s="1"/>
  <c r="F300" i="19" s="1"/>
  <c r="F2361" i="19"/>
  <c r="H2361" i="19" s="1"/>
  <c r="F3138" i="19"/>
  <c r="H3138" i="19" s="1"/>
  <c r="F3447" i="19"/>
  <c r="H3447" i="19" s="1"/>
  <c r="F3441" i="19" s="1"/>
  <c r="F1478" i="19"/>
  <c r="F616" i="19"/>
  <c r="H616" i="19" s="1"/>
  <c r="F612" i="19" s="1"/>
  <c r="F148" i="19"/>
  <c r="F2264" i="19"/>
  <c r="H2264" i="19" s="1"/>
  <c r="F1720" i="19"/>
  <c r="H1720" i="19" s="1"/>
  <c r="F1714" i="19" s="1"/>
  <c r="F1407" i="19"/>
  <c r="H1407" i="19" s="1"/>
  <c r="F653" i="19"/>
  <c r="H653" i="19" s="1"/>
  <c r="F1853" i="19"/>
  <c r="H1853" i="19" s="1"/>
  <c r="F2453" i="19"/>
  <c r="H2453" i="19" s="1"/>
  <c r="F3410" i="19"/>
  <c r="H3410" i="19" s="1"/>
  <c r="F2681" i="19"/>
  <c r="H2681" i="19" s="1"/>
  <c r="F1442" i="19"/>
  <c r="H1442" i="19" s="1"/>
  <c r="F2479" i="19"/>
  <c r="H2479" i="19" s="1"/>
  <c r="F3733" i="19"/>
  <c r="H3733" i="19" s="1"/>
  <c r="F1807" i="19"/>
  <c r="H1807" i="19" s="1"/>
  <c r="F1798" i="19" s="1"/>
  <c r="F1612" i="19"/>
  <c r="H1612" i="19" s="1"/>
  <c r="F1607" i="19" s="1"/>
  <c r="F1699" i="19"/>
  <c r="H1699" i="19" s="1"/>
  <c r="F1693" i="19" s="1"/>
  <c r="F3516" i="19"/>
  <c r="H3516" i="19" s="1"/>
  <c r="F3512" i="19" s="1"/>
  <c r="F1416" i="19"/>
  <c r="H1416" i="19" s="1"/>
  <c r="F1392" i="19"/>
  <c r="H1392" i="19" s="1"/>
  <c r="F1263" i="19"/>
  <c r="H1263" i="19" s="1"/>
  <c r="F1898" i="19"/>
  <c r="H1898" i="19" s="1"/>
  <c r="F1185" i="19"/>
  <c r="F3655" i="19"/>
  <c r="H3655" i="19" s="1"/>
  <c r="F3651" i="19" s="1"/>
  <c r="F3650" i="19"/>
  <c r="H3650" i="19" s="1"/>
  <c r="F3646" i="19" s="1"/>
  <c r="H121" i="19"/>
  <c r="F1578" i="19"/>
  <c r="H1578" i="19" s="1"/>
  <c r="F1570" i="19" s="1"/>
  <c r="F3625" i="19"/>
  <c r="H3625" i="19" s="1"/>
  <c r="F3621" i="19" s="1"/>
  <c r="F3620" i="19"/>
  <c r="H3620" i="19" s="1"/>
  <c r="F3616" i="19" s="1"/>
  <c r="F1529" i="19"/>
  <c r="H1529" i="19" s="1"/>
  <c r="F2415" i="19"/>
  <c r="H2415" i="19" s="1"/>
  <c r="F3957" i="19"/>
  <c r="H3957" i="19" s="1"/>
  <c r="F3952" i="19" s="1"/>
  <c r="F3707" i="19"/>
  <c r="H3707" i="19" s="1"/>
  <c r="F3702" i="19" s="1"/>
  <c r="F999" i="19"/>
  <c r="H999" i="19" s="1"/>
  <c r="F3938" i="19"/>
  <c r="H3938" i="19" s="1"/>
  <c r="F2346" i="19"/>
  <c r="H2346" i="19" s="1"/>
  <c r="F1050" i="19"/>
  <c r="H1050" i="19" s="1"/>
  <c r="F1662" i="19"/>
  <c r="H1662" i="19" s="1"/>
  <c r="F1658" i="19" s="1"/>
  <c r="F2165" i="19"/>
  <c r="H2165" i="19" s="1"/>
  <c r="F2365" i="19"/>
  <c r="H2365" i="19" s="1"/>
  <c r="F1282" i="19"/>
  <c r="H1282" i="19" s="1"/>
  <c r="F2513" i="19"/>
  <c r="H2513" i="19" s="1"/>
  <c r="F1114" i="19"/>
  <c r="H1114" i="19" s="1"/>
  <c r="F3635" i="19"/>
  <c r="H3635" i="19" s="1"/>
  <c r="F3631" i="19" s="1"/>
  <c r="F3951" i="19"/>
  <c r="H3951" i="19" s="1"/>
  <c r="F3945" i="19" s="1"/>
  <c r="F3630" i="19"/>
  <c r="H3630" i="19" s="1"/>
  <c r="F3626" i="19" s="1"/>
  <c r="F1539" i="19"/>
  <c r="H1539" i="19" s="1"/>
  <c r="F1531" i="19" s="1"/>
  <c r="F1930" i="19"/>
  <c r="H1930" i="19" s="1"/>
  <c r="H1656" i="19"/>
  <c r="F664" i="19"/>
  <c r="H664" i="19" s="1"/>
  <c r="F2235" i="19"/>
  <c r="H2235" i="19" s="1"/>
  <c r="F2579" i="19"/>
  <c r="H2579" i="19" s="1"/>
  <c r="F1863" i="19"/>
  <c r="F3610" i="19"/>
  <c r="H3610" i="19" s="1"/>
  <c r="F3606" i="19" s="1"/>
  <c r="F1638" i="19"/>
  <c r="H1638" i="19" s="1"/>
  <c r="F1632" i="19" s="1"/>
  <c r="F3551" i="19"/>
  <c r="H3551" i="19" s="1"/>
  <c r="F1965" i="19"/>
  <c r="H1965" i="19" s="1"/>
  <c r="F1255" i="19"/>
  <c r="H1255" i="19" s="1"/>
  <c r="F2391" i="19"/>
  <c r="H2391" i="19" s="1"/>
  <c r="F1079" i="19"/>
  <c r="H1079" i="19" s="1"/>
  <c r="F3556" i="19"/>
  <c r="H3556" i="19" s="1"/>
  <c r="F3701" i="19"/>
  <c r="H3701" i="19" s="1"/>
  <c r="F3695" i="19" s="1"/>
  <c r="F3426" i="19"/>
  <c r="H3426" i="19" s="1"/>
  <c r="F3420" i="19" s="1"/>
  <c r="F1361" i="19"/>
  <c r="H1361" i="19" s="1"/>
  <c r="F2310" i="19"/>
  <c r="H2310" i="19" s="1"/>
  <c r="F2439" i="19"/>
  <c r="H2439" i="19" s="1"/>
  <c r="F279" i="19"/>
  <c r="F1880" i="19"/>
  <c r="H1880" i="19" s="1"/>
  <c r="F1381" i="19"/>
  <c r="H1381" i="19" s="1"/>
  <c r="F1214" i="19"/>
  <c r="H1214" i="19" s="1"/>
  <c r="F2495" i="19"/>
  <c r="H2495" i="19" s="1"/>
  <c r="F2505" i="19"/>
  <c r="H2505" i="19" s="1"/>
  <c r="F1840" i="19"/>
  <c r="H1840" i="19" s="1"/>
  <c r="F1836" i="19" s="1"/>
  <c r="H126" i="19"/>
  <c r="F1431" i="19"/>
  <c r="H1431" i="19" s="1"/>
  <c r="F2193" i="19"/>
  <c r="H2193" i="19" s="1"/>
  <c r="F1676" i="19"/>
  <c r="H1676" i="19" s="1"/>
  <c r="F1669" i="19" s="1"/>
  <c r="F907" i="10"/>
  <c r="H907" i="10" s="1"/>
  <c r="H116" i="19"/>
  <c r="F2274" i="19"/>
  <c r="H2274" i="19" s="1"/>
  <c r="F3645" i="19"/>
  <c r="H3645" i="19" s="1"/>
  <c r="F3641" i="19" s="1"/>
  <c r="F1097" i="19"/>
  <c r="H1097" i="19" s="1"/>
  <c r="F1124" i="19"/>
  <c r="H1124" i="19" s="1"/>
  <c r="F2567" i="19"/>
  <c r="H2567" i="19" s="1"/>
  <c r="F2909" i="19"/>
  <c r="H2909" i="19" s="1"/>
  <c r="F1592" i="19"/>
  <c r="H1592" i="19" s="1"/>
  <c r="F1586" i="19" s="1"/>
  <c r="F1558" i="19"/>
  <c r="H1558" i="19" s="1"/>
  <c r="F1550" i="19" s="1"/>
  <c r="F1830" i="19"/>
  <c r="H1830" i="19" s="1"/>
  <c r="F3511" i="19"/>
  <c r="H3511" i="19" s="1"/>
  <c r="F3507" i="19" s="1"/>
  <c r="F2668" i="19"/>
  <c r="H2668" i="19" s="1"/>
  <c r="F1228" i="19"/>
  <c r="H1228" i="19" s="1"/>
  <c r="F1355" i="19"/>
  <c r="H1355" i="19" s="1"/>
  <c r="F1399" i="19"/>
  <c r="H1399" i="19" s="1"/>
  <c r="F33" i="19"/>
  <c r="H33" i="19" s="1"/>
  <c r="F1062" i="19"/>
  <c r="H1062" i="19" s="1"/>
  <c r="F1103" i="19"/>
  <c r="H1103" i="19" s="1"/>
  <c r="F439" i="19"/>
  <c r="F2675" i="19"/>
  <c r="H2675" i="19" s="1"/>
  <c r="F2948" i="19"/>
  <c r="H2948" i="19" s="1"/>
  <c r="F2944" i="19" s="1"/>
  <c r="F155" i="19"/>
  <c r="F849" i="19"/>
  <c r="H849" i="19" s="1"/>
  <c r="F500" i="19"/>
  <c r="H500" i="19" s="1"/>
  <c r="F494" i="19"/>
  <c r="H494" i="19" s="1"/>
  <c r="F860" i="19"/>
  <c r="H860" i="19" s="1"/>
  <c r="F197" i="19"/>
  <c r="H197" i="19" s="1"/>
  <c r="F402" i="19"/>
  <c r="H402" i="19" s="1"/>
  <c r="F878" i="19"/>
  <c r="H878" i="19" s="1"/>
  <c r="H3803" i="19"/>
  <c r="F3674" i="19"/>
  <c r="H3674" i="19" s="1"/>
  <c r="F3668" i="19" s="1"/>
  <c r="F3785" i="19"/>
  <c r="H3785" i="19" s="1"/>
  <c r="F822" i="10"/>
  <c r="H822" i="10" s="1"/>
  <c r="F3880" i="19"/>
  <c r="H3880" i="19" s="1"/>
  <c r="F3871" i="19"/>
  <c r="H3871" i="19" s="1"/>
  <c r="F57" i="19"/>
  <c r="H57" i="19" s="1"/>
  <c r="F25" i="19"/>
  <c r="H25" i="19" s="1"/>
  <c r="F1089" i="19"/>
  <c r="H1089" i="19" s="1"/>
  <c r="F2487" i="19"/>
  <c r="H2487" i="19" s="1"/>
  <c r="F1133" i="19"/>
  <c r="H1133" i="19" s="1"/>
  <c r="F1516" i="19"/>
  <c r="H1516" i="19" s="1"/>
  <c r="F1510" i="19" s="1"/>
  <c r="F3615" i="19"/>
  <c r="H3615" i="19" s="1"/>
  <c r="F3611" i="19" s="1"/>
  <c r="F3433" i="19"/>
  <c r="H3433" i="19" s="1"/>
  <c r="F3427" i="19" s="1"/>
  <c r="F869" i="19"/>
  <c r="H869" i="19" s="1"/>
  <c r="F427" i="19"/>
  <c r="H427" i="19" s="1"/>
  <c r="F683" i="19"/>
  <c r="H683" i="19" s="1"/>
  <c r="F690" i="19"/>
  <c r="H690" i="19" s="1"/>
  <c r="F407" i="19"/>
  <c r="H407" i="19" s="1"/>
  <c r="F669" i="19"/>
  <c r="H669" i="19" s="1"/>
  <c r="F399" i="19"/>
  <c r="H399" i="19" s="1"/>
  <c r="F3521" i="19"/>
  <c r="H3521" i="19" s="1"/>
  <c r="F3517" i="19" s="1"/>
  <c r="F3667" i="19"/>
  <c r="H3667" i="19" s="1"/>
  <c r="F3661" i="19" s="1"/>
  <c r="F3640" i="19"/>
  <c r="H3640" i="19" s="1"/>
  <c r="F3636" i="19" s="1"/>
  <c r="F1344" i="19"/>
  <c r="H1344" i="19" s="1"/>
  <c r="H2543" i="19"/>
  <c r="F2155" i="19"/>
  <c r="H2155" i="19" s="1"/>
  <c r="F3761" i="19"/>
  <c r="H3761" i="19" s="1"/>
  <c r="F3455" i="19"/>
  <c r="H3455" i="19" s="1"/>
  <c r="F2573" i="19"/>
  <c r="H2573" i="19" s="1"/>
  <c r="F3746" i="19"/>
  <c r="H3746" i="19" s="1"/>
  <c r="F339" i="10"/>
  <c r="H339" i="10" s="1"/>
  <c r="F336" i="10" s="1"/>
  <c r="F184" i="19"/>
  <c r="H184" i="19" s="1"/>
  <c r="F676" i="19"/>
  <c r="H676" i="19" s="1"/>
  <c r="F722" i="19"/>
  <c r="H722" i="19" s="1"/>
  <c r="F394" i="19"/>
  <c r="H394" i="19" s="1"/>
  <c r="F713" i="19"/>
  <c r="H713" i="19" s="1"/>
  <c r="F488" i="19"/>
  <c r="H488" i="19" s="1"/>
  <c r="F956" i="19"/>
  <c r="H956" i="19" s="1"/>
  <c r="F389" i="19"/>
  <c r="F731" i="19"/>
  <c r="H731" i="19" s="1"/>
  <c r="F2921" i="19"/>
  <c r="H2921" i="19" s="1"/>
  <c r="F2933" i="19"/>
  <c r="H2933" i="19" s="1"/>
  <c r="F1425" i="19"/>
  <c r="H1425" i="19" s="1"/>
  <c r="F2220" i="19"/>
  <c r="H2220" i="19" s="1"/>
  <c r="F2049" i="19"/>
  <c r="H2049" i="19" s="1"/>
  <c r="F1986" i="19"/>
  <c r="H1986" i="19" s="1"/>
  <c r="H901" i="19"/>
  <c r="F2047" i="19"/>
  <c r="H2047" i="19" s="1"/>
  <c r="F2219" i="19"/>
  <c r="H2219" i="19" s="1"/>
  <c r="F1987" i="19"/>
  <c r="H1987" i="19" s="1"/>
  <c r="F1421" i="19"/>
  <c r="H1421" i="19" s="1"/>
  <c r="F478" i="19"/>
  <c r="H478" i="19" s="1"/>
  <c r="F2113" i="19" l="1"/>
  <c r="F2020" i="19"/>
  <c r="F2094" i="19"/>
  <c r="F2106" i="19"/>
  <c r="F1993" i="19"/>
  <c r="F2100" i="19"/>
  <c r="F2027" i="19"/>
  <c r="F2013" i="19"/>
  <c r="F117" i="19"/>
  <c r="H117" i="19" s="1"/>
  <c r="F26" i="19"/>
  <c r="F1079" i="10" s="1"/>
  <c r="H1079" i="10" s="1"/>
  <c r="F1073" i="10" s="1"/>
  <c r="F1084" i="10" s="1"/>
  <c r="H1084" i="10" s="1"/>
  <c r="F1082" i="10" s="1"/>
  <c r="F83" i="19"/>
  <c r="H83" i="19" s="1"/>
  <c r="F107" i="19"/>
  <c r="H107" i="19" s="1"/>
  <c r="F283" i="19"/>
  <c r="F182" i="19"/>
  <c r="F185" i="19"/>
  <c r="F78" i="19"/>
  <c r="H78" i="19" s="1"/>
  <c r="F18" i="19"/>
  <c r="F76" i="19" s="1"/>
  <c r="F122" i="19"/>
  <c r="H122" i="19" s="1"/>
  <c r="F220" i="19"/>
  <c r="F260" i="19"/>
  <c r="F280" i="19"/>
  <c r="F397" i="19"/>
  <c r="F2171" i="19"/>
  <c r="F914" i="19"/>
  <c r="F944" i="19"/>
  <c r="H944" i="19" s="1"/>
  <c r="F929" i="19"/>
  <c r="H259" i="19"/>
  <c r="F899" i="19"/>
  <c r="H899" i="19" s="1"/>
  <c r="F2591" i="19"/>
  <c r="F3387" i="19"/>
  <c r="F3378" i="19"/>
  <c r="F3361" i="19"/>
  <c r="F452" i="19"/>
  <c r="H1863" i="19"/>
  <c r="F1855" i="19" s="1"/>
  <c r="F2906" i="19"/>
  <c r="H2906" i="19" s="1"/>
  <c r="F2902" i="19" s="1"/>
  <c r="F2214" i="19"/>
  <c r="F2142" i="19"/>
  <c r="F2136" i="19"/>
  <c r="F2130" i="19"/>
  <c r="F2071" i="19"/>
  <c r="F2064" i="19"/>
  <c r="F2044" i="19"/>
  <c r="F1982" i="19"/>
  <c r="F1864" i="19"/>
  <c r="F1846" i="19"/>
  <c r="H1846" i="19" s="1"/>
  <c r="F1841" i="19" s="1"/>
  <c r="F1622" i="19"/>
  <c r="F1953" i="19" s="1"/>
  <c r="H1953" i="19" s="1"/>
  <c r="F1951" i="19" s="1"/>
  <c r="F1333" i="19"/>
  <c r="F1443" i="19"/>
  <c r="F1453" i="19"/>
  <c r="F1321" i="19"/>
  <c r="F1297" i="19"/>
  <c r="F1284" i="19"/>
  <c r="F430" i="19"/>
  <c r="F440" i="19"/>
  <c r="F444" i="19"/>
  <c r="F410" i="19"/>
  <c r="F415" i="19"/>
  <c r="F367" i="19"/>
  <c r="F362" i="19"/>
  <c r="F353" i="19"/>
  <c r="F348" i="19"/>
  <c r="F330" i="19"/>
  <c r="F339" i="19"/>
  <c r="F322" i="19"/>
  <c r="F334" i="19"/>
  <c r="F318" i="19"/>
  <c r="F314" i="19"/>
  <c r="F310" i="19"/>
  <c r="F326" i="19"/>
  <c r="F191" i="19"/>
  <c r="F228" i="19"/>
  <c r="F2082" i="19" s="1"/>
  <c r="H2082" i="19" s="1"/>
  <c r="F2078" i="19" s="1"/>
  <c r="F127" i="19"/>
  <c r="H127" i="19" s="1"/>
  <c r="F101" i="19"/>
  <c r="H101" i="19" s="1"/>
  <c r="F50" i="19"/>
  <c r="F631" i="10" s="1"/>
  <c r="H631" i="10" s="1"/>
  <c r="F624" i="10" s="1"/>
  <c r="H346" i="19"/>
  <c r="H389" i="19"/>
  <c r="H155" i="19"/>
  <c r="F3943" i="19"/>
  <c r="H3943" i="19" s="1"/>
  <c r="F3923" i="19"/>
  <c r="H3923" i="19" s="1"/>
  <c r="F3694" i="19"/>
  <c r="H3694" i="19" s="1"/>
  <c r="F3688" i="19" s="1"/>
  <c r="F3506" i="19"/>
  <c r="H3506" i="19" s="1"/>
  <c r="F3502" i="19" s="1"/>
  <c r="F3377" i="19"/>
  <c r="H3377" i="19" s="1"/>
  <c r="F3376" i="19"/>
  <c r="H3376" i="19" s="1"/>
  <c r="F3121" i="19"/>
  <c r="H3121" i="19" s="1"/>
  <c r="F3056" i="19"/>
  <c r="H3056" i="19" s="1"/>
  <c r="F3049" i="19" s="1"/>
  <c r="F3048" i="19"/>
  <c r="H3048" i="19" s="1"/>
  <c r="F3041" i="19" s="1"/>
  <c r="F2968" i="19"/>
  <c r="H2968" i="19" s="1"/>
  <c r="F2964" i="19" s="1"/>
  <c r="F2963" i="19"/>
  <c r="H2963" i="19" s="1"/>
  <c r="F2959" i="19" s="1"/>
  <c r="F2958" i="19"/>
  <c r="H2958" i="19" s="1"/>
  <c r="F2954" i="19" s="1"/>
  <c r="H2858" i="19"/>
  <c r="F2855" i="19" s="1"/>
  <c r="H2850" i="19"/>
  <c r="F2847" i="19" s="1"/>
  <c r="H2793" i="19"/>
  <c r="F2788" i="19" s="1"/>
  <c r="H2781" i="19"/>
  <c r="F2777" i="19" s="1"/>
  <c r="H2770" i="19"/>
  <c r="F2765" i="19" s="1"/>
  <c r="H2731" i="19"/>
  <c r="F2725" i="19" s="1"/>
  <c r="F2695" i="19"/>
  <c r="H2695" i="19" s="1"/>
  <c r="F2692" i="19" s="1"/>
  <c r="F2699" i="19"/>
  <c r="H2699" i="19" s="1"/>
  <c r="F2696" i="19" s="1"/>
  <c r="F2703" i="19"/>
  <c r="H2703" i="19" s="1"/>
  <c r="F2700" i="19" s="1"/>
  <c r="F2879" i="19"/>
  <c r="H2879" i="19" s="1"/>
  <c r="F2875" i="19" s="1"/>
  <c r="F2884" i="19"/>
  <c r="F2888" i="19"/>
  <c r="H2888" i="19" s="1"/>
  <c r="F2885" i="19" s="1"/>
  <c r="F2937" i="19"/>
  <c r="F2940" i="19"/>
  <c r="H2940" i="19" s="1"/>
  <c r="F2938" i="19" s="1"/>
  <c r="H1185" i="19"/>
  <c r="F1182" i="19" s="1"/>
  <c r="F1193" i="19"/>
  <c r="F1189" i="19"/>
  <c r="H1189" i="19" s="1"/>
  <c r="F1186" i="19" s="1"/>
  <c r="F1181" i="19"/>
  <c r="H1181" i="19" s="1"/>
  <c r="F1178" i="19" s="1"/>
  <c r="F1177" i="19"/>
  <c r="H1177" i="19" s="1"/>
  <c r="F1174" i="19" s="1"/>
  <c r="H1168" i="19"/>
  <c r="F1164" i="19" s="1"/>
  <c r="F1973" i="19"/>
  <c r="H1973" i="19" s="1"/>
  <c r="F1970" i="19" s="1"/>
  <c r="F2499" i="19"/>
  <c r="H2499" i="19" s="1"/>
  <c r="F2496" i="19" s="1"/>
  <c r="F2520" i="19"/>
  <c r="H2520" i="19" s="1"/>
  <c r="F2524" i="19"/>
  <c r="H2524" i="19" s="1"/>
  <c r="F2286" i="19"/>
  <c r="H2286" i="19" s="1"/>
  <c r="F1991" i="19"/>
  <c r="H1991" i="19" s="1"/>
  <c r="F2002" i="19"/>
  <c r="H2002" i="19" s="1"/>
  <c r="F2006" i="19"/>
  <c r="H2006" i="19" s="1"/>
  <c r="F2011" i="19"/>
  <c r="H2011" i="19" s="1"/>
  <c r="F2037" i="19"/>
  <c r="H2037" i="19" s="1"/>
  <c r="F2042" i="19"/>
  <c r="H2042" i="19" s="1"/>
  <c r="F2058" i="19"/>
  <c r="H2058" i="19" s="1"/>
  <c r="F2124" i="19"/>
  <c r="F2129" i="19"/>
  <c r="H2129" i="19" s="1"/>
  <c r="F2125" i="19" s="1"/>
  <c r="H359" i="19"/>
  <c r="H1920" i="19"/>
  <c r="F1910" i="19" s="1"/>
  <c r="H1667" i="19"/>
  <c r="F1663" i="19" s="1"/>
  <c r="H1620" i="19"/>
  <c r="F1614" i="19" s="1"/>
  <c r="H1585" i="19"/>
  <c r="F1579" i="19" s="1"/>
  <c r="H1478" i="19"/>
  <c r="F1472" i="19" s="1"/>
  <c r="F510" i="19"/>
  <c r="F506" i="19"/>
  <c r="H506" i="19" s="1"/>
  <c r="H439" i="19"/>
  <c r="F435" i="19" s="1"/>
  <c r="H279" i="19"/>
  <c r="H148" i="19"/>
  <c r="H273" i="19"/>
  <c r="F237" i="10"/>
  <c r="F65" i="10"/>
  <c r="F99" i="10"/>
  <c r="F106" i="10"/>
  <c r="H106" i="10" s="1"/>
  <c r="F1506" i="19"/>
  <c r="H1506" i="19" s="1"/>
  <c r="F1500" i="19" s="1"/>
  <c r="F1488" i="19"/>
  <c r="H1488" i="19" s="1"/>
  <c r="F1480" i="19" s="1"/>
  <c r="F1498" i="19"/>
  <c r="H1498" i="19" s="1"/>
  <c r="F1490" i="19" s="1"/>
  <c r="F1567" i="19"/>
  <c r="F1549" i="19"/>
  <c r="F1606" i="19"/>
  <c r="H1606" i="19" s="1"/>
  <c r="F1600" i="19" s="1"/>
  <c r="F1889" i="19"/>
  <c r="H1889" i="19" s="1"/>
  <c r="F1890" i="19"/>
  <c r="H1890" i="19" s="1"/>
  <c r="F1907" i="19"/>
  <c r="H1907" i="19" s="1"/>
  <c r="F1908" i="19"/>
  <c r="H1908" i="19" s="1"/>
  <c r="F1790" i="19"/>
  <c r="H1790" i="19" s="1"/>
  <c r="F1784" i="19" s="1"/>
  <c r="F1522" i="19"/>
  <c r="F2054" i="19"/>
  <c r="H2054" i="19" s="1"/>
  <c r="F2353" i="19"/>
  <c r="H980" i="10"/>
  <c r="H978" i="10"/>
  <c r="F285" i="10"/>
  <c r="H285" i="10" s="1"/>
  <c r="F279" i="10" s="1"/>
  <c r="F277" i="10"/>
  <c r="H277" i="10" s="1"/>
  <c r="F271" i="10" s="1"/>
  <c r="F93" i="10"/>
  <c r="H93" i="10" s="1"/>
  <c r="F169" i="10"/>
  <c r="H169" i="10" s="1"/>
  <c r="F167" i="10" s="1"/>
  <c r="F164" i="10"/>
  <c r="H164" i="10" s="1"/>
  <c r="F1992" i="19"/>
  <c r="H1992" i="19" s="1"/>
  <c r="F2321" i="19"/>
  <c r="H2321" i="19" s="1"/>
  <c r="F2312" i="19" s="1"/>
  <c r="F1012" i="19"/>
  <c r="H1012" i="19" s="1"/>
  <c r="F1013" i="19"/>
  <c r="H1013" i="19" s="1"/>
  <c r="F94" i="10"/>
  <c r="H94" i="10" s="1"/>
  <c r="F181" i="19"/>
  <c r="H181" i="19" s="1"/>
  <c r="F180" i="19"/>
  <c r="H180" i="19" s="1"/>
  <c r="F3526" i="19"/>
  <c r="H3526" i="19" s="1"/>
  <c r="F3527" i="19"/>
  <c r="H3527" i="19" s="1"/>
  <c r="F571" i="19"/>
  <c r="H571" i="19" s="1"/>
  <c r="H569" i="19"/>
  <c r="F424" i="19"/>
  <c r="H424" i="19" s="1"/>
  <c r="F422" i="19"/>
  <c r="H422" i="19" s="1"/>
  <c r="F386" i="19"/>
  <c r="H386" i="19" s="1"/>
  <c r="F385" i="19"/>
  <c r="F592" i="19"/>
  <c r="H592" i="19" s="1"/>
  <c r="H591" i="19"/>
  <c r="F3847" i="19"/>
  <c r="H3847" i="19" s="1"/>
  <c r="F3845" i="19"/>
  <c r="H3845" i="19" s="1"/>
  <c r="F579" i="19"/>
  <c r="H579" i="19" s="1"/>
  <c r="H577" i="19"/>
  <c r="F198" i="19"/>
  <c r="H198" i="19" s="1"/>
  <c r="F564" i="19"/>
  <c r="H564" i="19" s="1"/>
  <c r="H562" i="19"/>
  <c r="F382" i="19"/>
  <c r="H382" i="19" s="1"/>
  <c r="F380" i="19"/>
  <c r="H380" i="19" s="1"/>
  <c r="F475" i="19"/>
  <c r="H475" i="19" s="1"/>
  <c r="F474" i="19"/>
  <c r="H474" i="19" s="1"/>
  <c r="F3863" i="19"/>
  <c r="H3863" i="19" s="1"/>
  <c r="F3861" i="19"/>
  <c r="H3861" i="19" s="1"/>
  <c r="F3831" i="19"/>
  <c r="H3831" i="19" s="1"/>
  <c r="F3829" i="19"/>
  <c r="H3829" i="19" s="1"/>
  <c r="F586" i="19"/>
  <c r="H586" i="19" s="1"/>
  <c r="H584" i="19"/>
  <c r="F507" i="19"/>
  <c r="H507" i="19" s="1"/>
  <c r="F606" i="19"/>
  <c r="H606" i="19" s="1"/>
  <c r="H605" i="19"/>
  <c r="F611" i="19"/>
  <c r="H611" i="19" s="1"/>
  <c r="H610" i="19"/>
  <c r="F599" i="19"/>
  <c r="H599" i="19" s="1"/>
  <c r="H598" i="19"/>
  <c r="F1221" i="19"/>
  <c r="H1221" i="19" s="1"/>
  <c r="F2330" i="19"/>
  <c r="H2330" i="19" s="1"/>
  <c r="F2322" i="19" s="1"/>
  <c r="F2285" i="19"/>
  <c r="H2285" i="19" s="1"/>
  <c r="F3418" i="19"/>
  <c r="H3418" i="19" s="1"/>
  <c r="F3411" i="19" s="1"/>
  <c r="F3930" i="19"/>
  <c r="F3915" i="19"/>
  <c r="F2242" i="19"/>
  <c r="H2242" i="19" s="1"/>
  <c r="F2236" i="19" s="1"/>
  <c r="F95" i="19"/>
  <c r="H95" i="19" s="1"/>
  <c r="F89" i="19"/>
  <c r="H89" i="19" s="1"/>
  <c r="F17" i="19"/>
  <c r="H17" i="19" s="1"/>
  <c r="F2166" i="19"/>
  <c r="H2166" i="19" s="1"/>
  <c r="F2163" i="19" s="1"/>
  <c r="F3944" i="19"/>
  <c r="H3944" i="19" s="1"/>
  <c r="H1262" i="19"/>
  <c r="F3533" i="19"/>
  <c r="H3533" i="19" s="1"/>
  <c r="F768" i="19"/>
  <c r="H768" i="19" s="1"/>
  <c r="F2227" i="19"/>
  <c r="H2227" i="19" s="1"/>
  <c r="F2221" i="19" s="1"/>
  <c r="F1229" i="19"/>
  <c r="H1229" i="19" s="1"/>
  <c r="F2053" i="19"/>
  <c r="H2053" i="19" s="1"/>
  <c r="F2311" i="19"/>
  <c r="H2311" i="19" s="1"/>
  <c r="F2298" i="19" s="1"/>
  <c r="F2007" i="19"/>
  <c r="H2007" i="19" s="1"/>
  <c r="F1367" i="19"/>
  <c r="H1367" i="19" s="1"/>
  <c r="F2204" i="19"/>
  <c r="H2204" i="19" s="1"/>
  <c r="F1208" i="19"/>
  <c r="H1208" i="19" s="1"/>
  <c r="F1406" i="19"/>
  <c r="H1406" i="19" s="1"/>
  <c r="F1362" i="19"/>
  <c r="H1362" i="19" s="1"/>
  <c r="F1243" i="19"/>
  <c r="H1243" i="19" s="1"/>
  <c r="F2257" i="19"/>
  <c r="H2257" i="19" s="1"/>
  <c r="F2249" i="19" s="1"/>
  <c r="F2186" i="19"/>
  <c r="F2123" i="19"/>
  <c r="H2123" i="19" s="1"/>
  <c r="F2194" i="19"/>
  <c r="H2194" i="19" s="1"/>
  <c r="F2187" i="19" s="1"/>
  <c r="F382" i="10"/>
  <c r="H382" i="10" s="1"/>
  <c r="F728" i="10"/>
  <c r="H728" i="10" s="1"/>
  <c r="F834" i="10"/>
  <c r="H834" i="10" s="1"/>
  <c r="F933" i="10"/>
  <c r="H933" i="10" s="1"/>
  <c r="F686" i="10"/>
  <c r="H686" i="10" s="1"/>
  <c r="F938" i="10"/>
  <c r="H938" i="10" s="1"/>
  <c r="F524" i="10"/>
  <c r="H524" i="10" s="1"/>
  <c r="F988" i="10"/>
  <c r="H988" i="10" s="1"/>
  <c r="F985" i="10" s="1"/>
  <c r="F396" i="10"/>
  <c r="H396" i="10" s="1"/>
  <c r="F954" i="10"/>
  <c r="H954" i="10" s="1"/>
  <c r="F951" i="10" s="1"/>
  <c r="F667" i="10"/>
  <c r="H667" i="10" s="1"/>
  <c r="F666" i="10"/>
  <c r="H666" i="10" s="1"/>
  <c r="H423" i="10"/>
  <c r="F717" i="10"/>
  <c r="H717" i="10" s="1"/>
  <c r="F410" i="10"/>
  <c r="H410" i="10" s="1"/>
  <c r="F902" i="10"/>
  <c r="H902" i="10" s="1"/>
  <c r="F872" i="10"/>
  <c r="H872" i="10" s="1"/>
  <c r="F519" i="10"/>
  <c r="H519" i="10" s="1"/>
  <c r="F740" i="10"/>
  <c r="H740" i="10" s="1"/>
  <c r="F679" i="10"/>
  <c r="H679" i="10" s="1"/>
  <c r="H926" i="10"/>
  <c r="H927" i="10"/>
  <c r="F557" i="10"/>
  <c r="H557" i="10" s="1"/>
  <c r="F574" i="10"/>
  <c r="H574" i="10" s="1"/>
  <c r="F690" i="10"/>
  <c r="H690" i="10" s="1"/>
  <c r="F687" i="10" s="1"/>
  <c r="F893" i="10"/>
  <c r="H893" i="10" s="1"/>
  <c r="F894" i="10"/>
  <c r="H894" i="10" s="1"/>
  <c r="F659" i="10"/>
  <c r="H659" i="10" s="1"/>
  <c r="F660" i="10"/>
  <c r="H660" i="10" s="1"/>
  <c r="F579" i="10"/>
  <c r="H579" i="10" s="1"/>
  <c r="F580" i="10"/>
  <c r="H580" i="10" s="1"/>
  <c r="H943" i="10"/>
  <c r="H944" i="10"/>
  <c r="F654" i="10"/>
  <c r="H654" i="10" s="1"/>
  <c r="F647" i="10" s="1"/>
  <c r="H950" i="10"/>
  <c r="H949" i="10"/>
  <c r="F493" i="10"/>
  <c r="H493" i="10" s="1"/>
  <c r="F787" i="10"/>
  <c r="H787" i="10" s="1"/>
  <c r="F799" i="10"/>
  <c r="H799" i="10" s="1"/>
  <c r="F860" i="10"/>
  <c r="H860" i="10" s="1"/>
  <c r="F591" i="10"/>
  <c r="H591" i="10" s="1"/>
  <c r="F590" i="10"/>
  <c r="H590" i="10" s="1"/>
  <c r="F908" i="10"/>
  <c r="H908" i="10" s="1"/>
  <c r="F547" i="10"/>
  <c r="H547" i="10" s="1"/>
  <c r="F541" i="10" s="1"/>
  <c r="F641" i="10"/>
  <c r="H641" i="10" s="1"/>
  <c r="F539" i="10"/>
  <c r="H539" i="10" s="1"/>
  <c r="F602" i="10"/>
  <c r="H602" i="10" s="1"/>
  <c r="F601" i="10"/>
  <c r="H601" i="10" s="1"/>
  <c r="F645" i="10"/>
  <c r="H645" i="10" s="1"/>
  <c r="F646" i="10"/>
  <c r="H646" i="10" s="1"/>
  <c r="F607" i="10"/>
  <c r="H607" i="10" s="1"/>
  <c r="F608" i="10"/>
  <c r="H608" i="10" s="1"/>
  <c r="F566" i="10"/>
  <c r="H566" i="10" s="1"/>
  <c r="F777" i="10"/>
  <c r="H777" i="10" s="1"/>
  <c r="F778" i="10"/>
  <c r="H778" i="10" s="1"/>
  <c r="F755" i="10"/>
  <c r="H755" i="10" s="1"/>
  <c r="F811" i="10"/>
  <c r="H811" i="10" s="1"/>
  <c r="F708" i="10"/>
  <c r="H708" i="10" s="1"/>
  <c r="F620" i="10"/>
  <c r="H620" i="10" s="1"/>
  <c r="F845" i="10"/>
  <c r="H845" i="10" s="1"/>
  <c r="F886" i="10"/>
  <c r="H886" i="10" s="1"/>
  <c r="F856" i="10"/>
  <c r="H856" i="10" s="1"/>
  <c r="F674" i="10"/>
  <c r="H674" i="10" s="1"/>
  <c r="H965" i="10"/>
  <c r="H967" i="10"/>
  <c r="F766" i="10"/>
  <c r="H766" i="10" s="1"/>
  <c r="F765" i="10"/>
  <c r="H765" i="10" s="1"/>
  <c r="F343" i="10"/>
  <c r="H343" i="10" s="1"/>
  <c r="F341" i="10" s="1"/>
  <c r="F107" i="10"/>
  <c r="H107" i="10" s="1"/>
  <c r="F105" i="10"/>
  <c r="H105" i="10" s="1"/>
  <c r="F187" i="10"/>
  <c r="H187" i="10" s="1"/>
  <c r="H86" i="10"/>
  <c r="F83" i="10"/>
  <c r="H83" i="10" s="1"/>
  <c r="F177" i="10"/>
  <c r="H177" i="10" s="1"/>
  <c r="F172" i="10" s="1"/>
  <c r="F235" i="10"/>
  <c r="H235" i="10" s="1"/>
  <c r="F228" i="10" s="1"/>
  <c r="F71" i="10"/>
  <c r="H71" i="10" s="1"/>
  <c r="F72" i="10"/>
  <c r="H72" i="10" s="1"/>
  <c r="F269" i="10"/>
  <c r="H269" i="10" s="1"/>
  <c r="F263" i="10" s="1"/>
  <c r="F45" i="10"/>
  <c r="H45" i="10" s="1"/>
  <c r="F306" i="10"/>
  <c r="H306" i="10" s="1"/>
  <c r="F303" i="10" s="1"/>
  <c r="F301" i="10"/>
  <c r="H301" i="10" s="1"/>
  <c r="F295" i="10" s="1"/>
  <c r="F97" i="10"/>
  <c r="H97" i="10" s="1"/>
  <c r="F98" i="10"/>
  <c r="H98" i="10" s="1"/>
  <c r="F3409" i="19"/>
  <c r="H3409" i="19" s="1"/>
  <c r="F3402" i="19" s="1"/>
  <c r="F1320" i="19"/>
  <c r="H1320" i="19" s="1"/>
  <c r="F1309" i="19" s="1"/>
  <c r="F2265" i="19"/>
  <c r="H2265" i="19" s="1"/>
  <c r="F2259" i="19" s="1"/>
  <c r="F2043" i="19"/>
  <c r="H2043" i="19" s="1"/>
  <c r="F3937" i="19"/>
  <c r="F2012" i="19"/>
  <c r="H2012" i="19" s="1"/>
  <c r="F2059" i="19"/>
  <c r="H2059" i="19" s="1"/>
  <c r="F2001" i="19"/>
  <c r="H2001" i="19" s="1"/>
  <c r="F1391" i="19"/>
  <c r="H1391" i="19" s="1"/>
  <c r="F2366" i="19"/>
  <c r="H2366" i="19" s="1"/>
  <c r="F2362" i="19" s="1"/>
  <c r="F1899" i="19"/>
  <c r="F1380" i="19"/>
  <c r="H1380" i="19" s="1"/>
  <c r="F2036" i="19"/>
  <c r="F1000" i="19"/>
  <c r="H1000" i="19" s="1"/>
  <c r="F3924" i="19"/>
  <c r="F1256" i="19"/>
  <c r="H1256" i="19" s="1"/>
  <c r="F1430" i="19"/>
  <c r="H1430" i="19" s="1"/>
  <c r="F1441" i="19"/>
  <c r="H1441" i="19" s="1"/>
  <c r="F1283" i="19"/>
  <c r="F2347" i="19"/>
  <c r="H2347" i="19" s="1"/>
  <c r="F2342" i="19" s="1"/>
  <c r="F3557" i="19"/>
  <c r="H3557" i="19" s="1"/>
  <c r="F381" i="19"/>
  <c r="H381" i="19" s="1"/>
  <c r="F1881" i="19"/>
  <c r="H1881" i="19" s="1"/>
  <c r="F1873" i="19" s="1"/>
  <c r="F2275" i="19"/>
  <c r="H2275" i="19" s="1"/>
  <c r="F2266" i="19" s="1"/>
  <c r="F423" i="19"/>
  <c r="H423" i="19" s="1"/>
  <c r="F1398" i="19"/>
  <c r="H1398" i="19" s="1"/>
  <c r="F41" i="19"/>
  <c r="H41" i="19" s="1"/>
  <c r="F49" i="19"/>
  <c r="F1215" i="19"/>
  <c r="H1215" i="19" s="1"/>
  <c r="F3550" i="19"/>
  <c r="H3550" i="19" s="1"/>
  <c r="F2234" i="19"/>
  <c r="H2234" i="19" s="1"/>
  <c r="F2228" i="19" s="1"/>
  <c r="F1051" i="19"/>
  <c r="H1051" i="19" s="1"/>
  <c r="F1356" i="19"/>
  <c r="H1356" i="19" s="1"/>
  <c r="F1345" i="19" s="1"/>
  <c r="F3604" i="19"/>
  <c r="H3604" i="19" s="1"/>
  <c r="F3605" i="19"/>
  <c r="H3605" i="19" s="1"/>
  <c r="F395" i="19"/>
  <c r="H395" i="19" s="1"/>
  <c r="F396" i="19"/>
  <c r="H396" i="19" s="1"/>
  <c r="F2151" i="19"/>
  <c r="F781" i="19"/>
  <c r="H781" i="19" s="1"/>
  <c r="F782" i="19"/>
  <c r="F3581" i="19"/>
  <c r="H3581" i="19" s="1"/>
  <c r="F3580" i="19"/>
  <c r="H3580" i="19" s="1"/>
  <c r="F3593" i="19"/>
  <c r="H3593" i="19" s="1"/>
  <c r="F3592" i="19"/>
  <c r="H3592" i="19" s="1"/>
  <c r="F429" i="19"/>
  <c r="H429" i="19" s="1"/>
  <c r="F428" i="19"/>
  <c r="H428" i="19" s="1"/>
  <c r="F3569" i="19"/>
  <c r="H3569" i="19" s="1"/>
  <c r="F3568" i="19"/>
  <c r="H3568" i="19" s="1"/>
  <c r="F1039" i="19"/>
  <c r="H1039" i="19" s="1"/>
  <c r="F1038" i="19"/>
  <c r="H1038" i="19" s="1"/>
  <c r="F403" i="19"/>
  <c r="H403" i="19" s="1"/>
  <c r="F404" i="19"/>
  <c r="H404" i="19" s="1"/>
  <c r="F501" i="19"/>
  <c r="H501" i="19" s="1"/>
  <c r="F502" i="19"/>
  <c r="H502" i="19" s="1"/>
  <c r="F1435" i="19"/>
  <c r="H1435" i="19" s="1"/>
  <c r="F1436" i="19"/>
  <c r="H1436" i="19" s="1"/>
  <c r="F3545" i="19"/>
  <c r="H3545" i="19" s="1"/>
  <c r="F3544" i="19"/>
  <c r="H3544" i="19" s="1"/>
  <c r="F1023" i="19"/>
  <c r="H1023" i="19" s="1"/>
  <c r="F1024" i="19"/>
  <c r="H1024" i="19" s="1"/>
  <c r="F2162" i="19"/>
  <c r="H2162" i="19" s="1"/>
  <c r="F2161" i="19"/>
  <c r="H2161" i="19" s="1"/>
  <c r="F391" i="19"/>
  <c r="H391" i="19" s="1"/>
  <c r="F390" i="19"/>
  <c r="H390" i="19" s="1"/>
  <c r="F490" i="19"/>
  <c r="H490" i="19" s="1"/>
  <c r="F489" i="19"/>
  <c r="H489" i="19" s="1"/>
  <c r="F2213" i="19"/>
  <c r="H2213" i="19" s="1"/>
  <c r="F2212" i="19"/>
  <c r="H2212" i="19" s="1"/>
  <c r="F1250" i="19"/>
  <c r="H1250" i="19" s="1"/>
  <c r="F1249" i="19"/>
  <c r="H1249" i="19" s="1"/>
  <c r="F2169" i="19"/>
  <c r="H2169" i="19" s="1"/>
  <c r="F2170" i="19"/>
  <c r="H2170" i="19" s="1"/>
  <c r="F3599" i="19"/>
  <c r="H3599" i="19" s="1"/>
  <c r="F3598" i="19"/>
  <c r="H3598" i="19" s="1"/>
  <c r="F3587" i="19"/>
  <c r="H3587" i="19" s="1"/>
  <c r="F3586" i="19"/>
  <c r="H3586" i="19" s="1"/>
  <c r="F2063" i="19"/>
  <c r="H2063" i="19" s="1"/>
  <c r="F408" i="19"/>
  <c r="H408" i="19" s="1"/>
  <c r="F409" i="19"/>
  <c r="H409" i="19" s="1"/>
  <c r="F3574" i="19"/>
  <c r="H3574" i="19" s="1"/>
  <c r="F3575" i="19"/>
  <c r="H3575" i="19" s="1"/>
  <c r="F3562" i="19"/>
  <c r="H3562" i="19" s="1"/>
  <c r="F3563" i="19"/>
  <c r="H3563" i="19" s="1"/>
  <c r="F3401" i="19"/>
  <c r="H3401" i="19" s="1"/>
  <c r="F3400" i="19"/>
  <c r="H3400" i="19" s="1"/>
  <c r="F2248" i="19"/>
  <c r="H2248" i="19" s="1"/>
  <c r="F2247" i="19"/>
  <c r="H2247" i="19" s="1"/>
  <c r="F1980" i="19"/>
  <c r="H1980" i="19" s="1"/>
  <c r="F1981" i="19"/>
  <c r="H1981" i="19" s="1"/>
  <c r="F795" i="19"/>
  <c r="H795" i="19" s="1"/>
  <c r="F794" i="19"/>
  <c r="H794" i="19" s="1"/>
  <c r="F2379" i="19"/>
  <c r="H2379" i="19" s="1"/>
  <c r="F2369" i="19" s="1"/>
  <c r="F3965" i="19"/>
  <c r="H3965" i="19" s="1"/>
  <c r="F3958" i="19" s="1"/>
  <c r="F496" i="19"/>
  <c r="H496" i="19" s="1"/>
  <c r="F495" i="19"/>
  <c r="H495" i="19" s="1"/>
  <c r="F1269" i="19"/>
  <c r="H1269" i="19" s="1"/>
  <c r="F1270" i="19"/>
  <c r="H1270" i="19" s="1"/>
  <c r="F808" i="19"/>
  <c r="H808" i="19" s="1"/>
  <c r="F807" i="19"/>
  <c r="H807" i="19" s="1"/>
  <c r="F1374" i="19"/>
  <c r="H1374" i="19" s="1"/>
  <c r="F1373" i="19"/>
  <c r="H1373" i="19" s="1"/>
  <c r="F985" i="19"/>
  <c r="H985" i="19" s="1"/>
  <c r="F986" i="19"/>
  <c r="H986" i="19" s="1"/>
  <c r="F1426" i="19"/>
  <c r="H1426" i="19" s="1"/>
  <c r="F483" i="19"/>
  <c r="H483" i="19" s="1"/>
  <c r="F2296" i="19"/>
  <c r="H2296" i="19" s="1"/>
  <c r="F2341" i="19"/>
  <c r="H2341" i="19" s="1"/>
  <c r="F2340" i="19"/>
  <c r="H2340" i="19" s="1"/>
  <c r="F2297" i="19"/>
  <c r="H2297" i="19" s="1"/>
  <c r="F1420" i="19"/>
  <c r="H1420" i="19" s="1"/>
  <c r="H515" i="19"/>
  <c r="F479" i="19"/>
  <c r="H479" i="19" s="1"/>
  <c r="F480" i="19"/>
  <c r="H480" i="19" s="1"/>
  <c r="F639" i="19" l="1"/>
  <c r="F1107" i="10"/>
  <c r="H1107" i="10" s="1"/>
  <c r="F3901" i="19"/>
  <c r="H3901" i="19" s="1"/>
  <c r="F81" i="19"/>
  <c r="F1100" i="19"/>
  <c r="H1100" i="19" s="1"/>
  <c r="F1018" i="10"/>
  <c r="H1018" i="10" s="1"/>
  <c r="F1014" i="10" s="1"/>
  <c r="F628" i="19"/>
  <c r="F1094" i="19"/>
  <c r="F1032" i="10"/>
  <c r="H1032" i="10" s="1"/>
  <c r="F1029" i="10" s="1"/>
  <c r="F662" i="19"/>
  <c r="F1025" i="10"/>
  <c r="H1025" i="10" s="1"/>
  <c r="F1022" i="10" s="1"/>
  <c r="F651" i="19"/>
  <c r="F1039" i="10"/>
  <c r="H1039" i="10" s="1"/>
  <c r="F1036" i="10" s="1"/>
  <c r="F729" i="19"/>
  <c r="F1682" i="19"/>
  <c r="F162" i="10"/>
  <c r="F575" i="19" s="1"/>
  <c r="F267" i="19"/>
  <c r="F144" i="19"/>
  <c r="F357" i="19"/>
  <c r="F34" i="19"/>
  <c r="F3740" i="19" s="1"/>
  <c r="H3740" i="19" s="1"/>
  <c r="F195" i="19"/>
  <c r="F274" i="19"/>
  <c r="F96" i="19"/>
  <c r="F2477" i="19" s="1"/>
  <c r="H2477" i="19" s="1"/>
  <c r="F2472" i="19" s="1"/>
  <c r="F252" i="19"/>
  <c r="F913" i="19"/>
  <c r="H913" i="19" s="1"/>
  <c r="F943" i="19"/>
  <c r="H943" i="19" s="1"/>
  <c r="F928" i="19"/>
  <c r="H928" i="19" s="1"/>
  <c r="F123" i="19"/>
  <c r="F118" i="19"/>
  <c r="F113" i="19"/>
  <c r="F764" i="19" s="1"/>
  <c r="H764" i="19" s="1"/>
  <c r="F10" i="19"/>
  <c r="F152" i="19" s="1"/>
  <c r="F102" i="19"/>
  <c r="F84" i="19"/>
  <c r="F343" i="19"/>
  <c r="H914" i="19"/>
  <c r="H929" i="19"/>
  <c r="I4055" i="19"/>
  <c r="F602" i="19"/>
  <c r="F607" i="19"/>
  <c r="F2898" i="19"/>
  <c r="F3730" i="19"/>
  <c r="H3730" i="19" s="1"/>
  <c r="F3771" i="19"/>
  <c r="H3771" i="19" s="1"/>
  <c r="F3758" i="19"/>
  <c r="H3758" i="19" s="1"/>
  <c r="F3743" i="19"/>
  <c r="H3743" i="19" s="1"/>
  <c r="F3939" i="19"/>
  <c r="F3396" i="19"/>
  <c r="F3369" i="19"/>
  <c r="F1998" i="19"/>
  <c r="F1962" i="19"/>
  <c r="H1962" i="19" s="1"/>
  <c r="F3718" i="19"/>
  <c r="H3718" i="19" s="1"/>
  <c r="F2514" i="19"/>
  <c r="F2332" i="19"/>
  <c r="F2287" i="19"/>
  <c r="F2276" i="19"/>
  <c r="F2243" i="19"/>
  <c r="F2159" i="19"/>
  <c r="F2167" i="19"/>
  <c r="F2050" i="19"/>
  <c r="F2060" i="19"/>
  <c r="F2055" i="19"/>
  <c r="F2038" i="19"/>
  <c r="F2008" i="19"/>
  <c r="F1976" i="19"/>
  <c r="F2003" i="19"/>
  <c r="F1988" i="19"/>
  <c r="F1900" i="19"/>
  <c r="F1882" i="19"/>
  <c r="F595" i="19"/>
  <c r="F588" i="19"/>
  <c r="F581" i="19"/>
  <c r="F567" i="19"/>
  <c r="F557" i="19"/>
  <c r="F498" i="19"/>
  <c r="F504" i="19"/>
  <c r="F492" i="19"/>
  <c r="F486" i="19"/>
  <c r="F476" i="19"/>
  <c r="F472" i="19"/>
  <c r="F425" i="19"/>
  <c r="F420" i="19"/>
  <c r="F392" i="19"/>
  <c r="F405" i="19"/>
  <c r="F400" i="19"/>
  <c r="F387" i="19"/>
  <c r="F378" i="19"/>
  <c r="F2090" i="19"/>
  <c r="H2090" i="19" s="1"/>
  <c r="F2086" i="19" s="1"/>
  <c r="F69" i="19"/>
  <c r="F178" i="19"/>
  <c r="F90" i="19"/>
  <c r="F66" i="19"/>
  <c r="F661" i="10"/>
  <c r="F750" i="10"/>
  <c r="H750" i="10" s="1"/>
  <c r="F533" i="10"/>
  <c r="F1469" i="19" s="1"/>
  <c r="H1469" i="19" s="1"/>
  <c r="F1468" i="19" s="1"/>
  <c r="H385" i="19"/>
  <c r="H782" i="19"/>
  <c r="H3937" i="19"/>
  <c r="F3932" i="19" s="1"/>
  <c r="H3930" i="19"/>
  <c r="F3925" i="19" s="1"/>
  <c r="H3924" i="19"/>
  <c r="F3918" i="19" s="1"/>
  <c r="H3915" i="19"/>
  <c r="F3911" i="19" s="1"/>
  <c r="H2124" i="19"/>
  <c r="F2120" i="19" s="1"/>
  <c r="H3537" i="19"/>
  <c r="F3538" i="19" s="1"/>
  <c r="H3538" i="19" s="1"/>
  <c r="H2937" i="19"/>
  <c r="F2934" i="19" s="1"/>
  <c r="H2884" i="19"/>
  <c r="F2880" i="19" s="1"/>
  <c r="F2839" i="19"/>
  <c r="H1193" i="19"/>
  <c r="F1190" i="19" s="1"/>
  <c r="F2206" i="19"/>
  <c r="H2353" i="19"/>
  <c r="F2348" i="19" s="1"/>
  <c r="H2186" i="19"/>
  <c r="F2179" i="19" s="1"/>
  <c r="H2036" i="19"/>
  <c r="F2032" i="19" s="1"/>
  <c r="H1899" i="19"/>
  <c r="F1891" i="19" s="1"/>
  <c r="H1567" i="19"/>
  <c r="F1560" i="19" s="1"/>
  <c r="H1549" i="19"/>
  <c r="F1541" i="19" s="1"/>
  <c r="H1522" i="19"/>
  <c r="F1517" i="19" s="1"/>
  <c r="H1283" i="19"/>
  <c r="F1271" i="19" s="1"/>
  <c r="H49" i="19"/>
  <c r="F655" i="10"/>
  <c r="F103" i="10"/>
  <c r="F377" i="19" s="1"/>
  <c r="F91" i="10"/>
  <c r="F95" i="10"/>
  <c r="F81" i="10"/>
  <c r="F316" i="10"/>
  <c r="H316" i="10" s="1"/>
  <c r="F313" i="10" s="1"/>
  <c r="F69" i="10"/>
  <c r="F118" i="10"/>
  <c r="F80" i="10"/>
  <c r="H80" i="10" s="1"/>
  <c r="F78" i="10" s="1"/>
  <c r="F511" i="19"/>
  <c r="H511" i="19" s="1"/>
  <c r="H510" i="19"/>
  <c r="F512" i="19"/>
  <c r="H512" i="19" s="1"/>
  <c r="F1008" i="10"/>
  <c r="H1008" i="10" s="1"/>
  <c r="F210" i="10"/>
  <c r="H210" i="10" s="1"/>
  <c r="F198" i="10" s="1"/>
  <c r="F77" i="10"/>
  <c r="H77" i="10" s="1"/>
  <c r="F75" i="10"/>
  <c r="H75" i="10" s="1"/>
  <c r="F226" i="10"/>
  <c r="H226" i="10" s="1"/>
  <c r="F110" i="10"/>
  <c r="H110" i="10" s="1"/>
  <c r="F111" i="10"/>
  <c r="H111" i="10" s="1"/>
  <c r="F41" i="10"/>
  <c r="F484" i="19"/>
  <c r="H484" i="19" s="1"/>
  <c r="F485" i="19"/>
  <c r="H485" i="19" s="1"/>
  <c r="F517" i="19"/>
  <c r="H517" i="19" s="1"/>
  <c r="F516" i="19"/>
  <c r="H516" i="19" s="1"/>
  <c r="H520" i="19"/>
  <c r="F220" i="10" l="1"/>
  <c r="H220" i="10" s="1"/>
  <c r="F2425" i="19"/>
  <c r="H2425" i="19" s="1"/>
  <c r="F2416" i="19" s="1"/>
  <c r="F60" i="19"/>
  <c r="F649" i="19"/>
  <c r="F884" i="19"/>
  <c r="F777" i="19"/>
  <c r="H777" i="19" s="1"/>
  <c r="F1008" i="19"/>
  <c r="H1008" i="19" s="1"/>
  <c r="F1059" i="19"/>
  <c r="H1059" i="19" s="1"/>
  <c r="F804" i="19"/>
  <c r="H804" i="19" s="1"/>
  <c r="F1046" i="19"/>
  <c r="H1046" i="19" s="1"/>
  <c r="F791" i="19"/>
  <c r="H791" i="19" s="1"/>
  <c r="F996" i="19"/>
  <c r="H996" i="19" s="1"/>
  <c r="F982" i="19"/>
  <c r="H982" i="19" s="1"/>
  <c r="F1034" i="19"/>
  <c r="H1034" i="19" s="1"/>
  <c r="F752" i="19"/>
  <c r="F3877" i="19"/>
  <c r="H3877" i="19" s="1"/>
  <c r="F640" i="19"/>
  <c r="F739" i="19"/>
  <c r="F954" i="19"/>
  <c r="F2565" i="19"/>
  <c r="H2565" i="19" s="1"/>
  <c r="F1125" i="10"/>
  <c r="H1125" i="10" s="1"/>
  <c r="F927" i="19"/>
  <c r="H927" i="19" s="1"/>
  <c r="F920" i="19" s="1"/>
  <c r="F779" i="19"/>
  <c r="F819" i="19"/>
  <c r="F1058" i="19"/>
  <c r="F1961" i="19"/>
  <c r="H1961" i="19" s="1"/>
  <c r="F1117" i="10"/>
  <c r="H1117" i="10" s="1"/>
  <c r="F1112" i="10" s="1"/>
  <c r="F1068" i="19" s="1"/>
  <c r="F660" i="19"/>
  <c r="F766" i="19"/>
  <c r="F857" i="19"/>
  <c r="F1048" i="19"/>
  <c r="F2571" i="19"/>
  <c r="H2571" i="19" s="1"/>
  <c r="F997" i="19"/>
  <c r="F2559" i="19"/>
  <c r="H2559" i="19" s="1"/>
  <c r="F3821" i="19"/>
  <c r="H3821" i="19" s="1"/>
  <c r="F667" i="19"/>
  <c r="F1087" i="19"/>
  <c r="H1087" i="19" s="1"/>
  <c r="F681" i="19"/>
  <c r="F875" i="19"/>
  <c r="F983" i="19"/>
  <c r="F2583" i="19"/>
  <c r="H2583" i="19" s="1"/>
  <c r="F3797" i="19"/>
  <c r="H3797" i="19" s="1"/>
  <c r="F72" i="19"/>
  <c r="F1112" i="19"/>
  <c r="H1112" i="19" s="1"/>
  <c r="F720" i="19"/>
  <c r="F805" i="19"/>
  <c r="F866" i="19"/>
  <c r="F1036" i="19"/>
  <c r="F1076" i="19"/>
  <c r="H1076" i="19" s="1"/>
  <c r="F3854" i="19"/>
  <c r="H3854" i="19" s="1"/>
  <c r="F700" i="19"/>
  <c r="F847" i="19"/>
  <c r="F63" i="19"/>
  <c r="F3768" i="19" s="1"/>
  <c r="H3768" i="19" s="1"/>
  <c r="F629" i="19"/>
  <c r="F711" i="19"/>
  <c r="F792" i="19"/>
  <c r="F897" i="19"/>
  <c r="F1010" i="19"/>
  <c r="F1131" i="19"/>
  <c r="F1149" i="19"/>
  <c r="F3838" i="19"/>
  <c r="H3838" i="19" s="1"/>
  <c r="F942" i="19"/>
  <c r="F571" i="10"/>
  <c r="F2577" i="19"/>
  <c r="H2577" i="19" s="1"/>
  <c r="F3868" i="19"/>
  <c r="H3868" i="19" s="1"/>
  <c r="F3888" i="19"/>
  <c r="H3888" i="19" s="1"/>
  <c r="F912" i="19"/>
  <c r="H912" i="19" s="1"/>
  <c r="F905" i="19" s="1"/>
  <c r="F834" i="19"/>
  <c r="F967" i="19"/>
  <c r="F1122" i="19"/>
  <c r="F2685" i="19"/>
  <c r="H2685" i="19" s="1"/>
  <c r="F3755" i="19"/>
  <c r="H3755" i="19" s="1"/>
  <c r="F2679" i="19"/>
  <c r="H2679" i="19" s="1"/>
  <c r="F2413" i="19"/>
  <c r="H2413" i="19" s="1"/>
  <c r="F2404" i="19" s="1"/>
  <c r="F2660" i="19"/>
  <c r="H2660" i="19" s="1"/>
  <c r="F2650" i="19" s="1"/>
  <c r="F2401" i="19"/>
  <c r="H2401" i="19" s="1"/>
  <c r="F2392" i="19" s="1"/>
  <c r="F2485" i="19"/>
  <c r="H2485" i="19" s="1"/>
  <c r="F2480" i="19" s="1"/>
  <c r="F3729" i="19"/>
  <c r="H3729" i="19" s="1"/>
  <c r="F3798" i="19"/>
  <c r="H3798" i="19" s="1"/>
  <c r="F995" i="19"/>
  <c r="H995" i="19" s="1"/>
  <c r="F748" i="10"/>
  <c r="H748" i="10" s="1"/>
  <c r="F389" i="10"/>
  <c r="H389" i="10" s="1"/>
  <c r="F3823" i="19"/>
  <c r="H3823" i="19" s="1"/>
  <c r="F1009" i="19"/>
  <c r="H1009" i="19" s="1"/>
  <c r="F992" i="10"/>
  <c r="H992" i="10" s="1"/>
  <c r="F403" i="10"/>
  <c r="H403" i="10" s="1"/>
  <c r="F3770" i="19"/>
  <c r="H3770" i="19" s="1"/>
  <c r="F803" i="19"/>
  <c r="H803" i="19" s="1"/>
  <c r="F638" i="19"/>
  <c r="H638" i="19" s="1"/>
  <c r="F530" i="10"/>
  <c r="H530" i="10" s="1"/>
  <c r="F472" i="10"/>
  <c r="H472" i="10" s="1"/>
  <c r="F468" i="10" s="1"/>
  <c r="F249" i="10"/>
  <c r="H249" i="10" s="1"/>
  <c r="F1108" i="10"/>
  <c r="H1108" i="10" s="1"/>
  <c r="F1106" i="10" s="1"/>
  <c r="F1066" i="19" s="1"/>
  <c r="H1066" i="19" s="1"/>
  <c r="F765" i="19"/>
  <c r="H765" i="19" s="1"/>
  <c r="F430" i="10"/>
  <c r="H430" i="10" s="1"/>
  <c r="F426" i="10" s="1"/>
  <c r="F3783" i="19"/>
  <c r="H3783" i="19" s="1"/>
  <c r="F1077" i="19"/>
  <c r="H1077" i="19" s="1"/>
  <c r="F981" i="19"/>
  <c r="H981" i="19" s="1"/>
  <c r="F650" i="19"/>
  <c r="H650" i="19" s="1"/>
  <c r="F588" i="10"/>
  <c r="H588" i="10" s="1"/>
  <c r="F486" i="10"/>
  <c r="H486" i="10" s="1"/>
  <c r="F482" i="10" s="1"/>
  <c r="F1047" i="19"/>
  <c r="H1047" i="19" s="1"/>
  <c r="F3742" i="19"/>
  <c r="H3742" i="19" s="1"/>
  <c r="F1960" i="19"/>
  <c r="H1960" i="19" s="1"/>
  <c r="F778" i="19"/>
  <c r="H778" i="19" s="1"/>
  <c r="F683" i="10"/>
  <c r="H683" i="10" s="1"/>
  <c r="F515" i="10"/>
  <c r="H515" i="10" s="1"/>
  <c r="F444" i="10"/>
  <c r="H444" i="10" s="1"/>
  <c r="F440" i="10" s="1"/>
  <c r="F706" i="10"/>
  <c r="H706" i="10" s="1"/>
  <c r="F3757" i="19"/>
  <c r="H3757" i="19" s="1"/>
  <c r="F1060" i="19"/>
  <c r="H1060" i="19" s="1"/>
  <c r="F790" i="19"/>
  <c r="H790" i="19" s="1"/>
  <c r="F1004" i="10"/>
  <c r="H1004" i="10" s="1"/>
  <c r="F375" i="10"/>
  <c r="H375" i="10" s="1"/>
  <c r="F458" i="10"/>
  <c r="H458" i="10" s="1"/>
  <c r="F454" i="10" s="1"/>
  <c r="F1126" i="10"/>
  <c r="H1126" i="10" s="1"/>
  <c r="F3717" i="19"/>
  <c r="H3717" i="19" s="1"/>
  <c r="F1035" i="19"/>
  <c r="H1035" i="19" s="1"/>
  <c r="F661" i="19"/>
  <c r="H661" i="19" s="1"/>
  <c r="F1111" i="19"/>
  <c r="H1111" i="19" s="1"/>
  <c r="F736" i="10"/>
  <c r="H736" i="10" s="1"/>
  <c r="F417" i="10"/>
  <c r="H417" i="10" s="1"/>
  <c r="F1121" i="19"/>
  <c r="H1121" i="19" s="1"/>
  <c r="F627" i="19"/>
  <c r="H627" i="19" s="1"/>
  <c r="F383" i="19"/>
  <c r="F2493" i="19"/>
  <c r="H2493" i="19" s="1"/>
  <c r="F2488" i="19" s="1"/>
  <c r="F2437" i="19"/>
  <c r="H2437" i="19" s="1"/>
  <c r="F2428" i="19" s="1"/>
  <c r="F752" i="10"/>
  <c r="H752" i="10" s="1"/>
  <c r="F3536" i="19"/>
  <c r="F513" i="19"/>
  <c r="F508" i="19"/>
  <c r="F3590" i="19"/>
  <c r="F481" i="19"/>
  <c r="F1219" i="19"/>
  <c r="F1963" i="19"/>
  <c r="H1963" i="19" s="1"/>
  <c r="F110" i="19"/>
  <c r="F1365" i="19"/>
  <c r="F1938" i="19"/>
  <c r="F2457" i="19"/>
  <c r="H2457" i="19" s="1"/>
  <c r="F2454" i="19" s="1"/>
  <c r="F2666" i="19"/>
  <c r="H2666" i="19" s="1"/>
  <c r="F2663" i="19" s="1"/>
  <c r="F3238" i="19"/>
  <c r="H3238" i="19" s="1"/>
  <c r="F3232" i="19" s="1"/>
  <c r="F1371" i="19"/>
  <c r="F1247" i="19"/>
  <c r="F1418" i="19"/>
  <c r="F1205" i="19"/>
  <c r="F1267" i="19"/>
  <c r="F1428" i="19"/>
  <c r="F3741" i="19"/>
  <c r="H3741" i="19" s="1"/>
  <c r="F1212" i="19"/>
  <c r="F1253" i="19"/>
  <c r="F1260" i="19"/>
  <c r="F1396" i="19"/>
  <c r="F1948" i="19"/>
  <c r="F2530" i="19"/>
  <c r="H2530" i="19" s="1"/>
  <c r="F2525" i="19" s="1"/>
  <c r="F3153" i="19"/>
  <c r="H3153" i="19" s="1"/>
  <c r="F3147" i="19" s="1"/>
  <c r="F3483" i="19"/>
  <c r="H3483" i="19" s="1"/>
  <c r="F3478" i="19" s="1"/>
  <c r="F3548" i="19"/>
  <c r="F3596" i="19"/>
  <c r="F3782" i="19"/>
  <c r="H3782" i="19" s="1"/>
  <c r="F3170" i="19"/>
  <c r="H3170" i="19" s="1"/>
  <c r="F3164" i="19" s="1"/>
  <c r="F3524" i="19"/>
  <c r="H3524" i="19" s="1"/>
  <c r="F3522" i="19" s="1"/>
  <c r="F3560" i="19"/>
  <c r="F1226" i="19"/>
  <c r="F1378" i="19"/>
  <c r="F1404" i="19"/>
  <c r="F1968" i="19"/>
  <c r="F1928" i="19"/>
  <c r="F2451" i="19"/>
  <c r="H2451" i="19" s="1"/>
  <c r="F2448" i="19" s="1"/>
  <c r="F2673" i="19"/>
  <c r="H2673" i="19" s="1"/>
  <c r="F2669" i="19" s="1"/>
  <c r="F3221" i="19"/>
  <c r="H3221" i="19" s="1"/>
  <c r="F3215" i="19" s="1"/>
  <c r="F3542" i="19"/>
  <c r="F3554" i="19"/>
  <c r="F1654" i="19"/>
  <c r="F1527" i="19"/>
  <c r="F1465" i="19"/>
  <c r="F2467" i="19"/>
  <c r="H2467" i="19" s="1"/>
  <c r="F2465" i="19" s="1"/>
  <c r="F2503" i="19"/>
  <c r="H2503" i="19" s="1"/>
  <c r="F2500" i="19" s="1"/>
  <c r="F2540" i="19"/>
  <c r="H2540" i="19" s="1"/>
  <c r="F2535" i="19" s="1"/>
  <c r="F3136" i="19"/>
  <c r="H3136" i="19" s="1"/>
  <c r="F3130" i="19" s="1"/>
  <c r="F3204" i="19"/>
  <c r="H3204" i="19" s="1"/>
  <c r="F3198" i="19" s="1"/>
  <c r="F3468" i="19"/>
  <c r="H3468" i="19" s="1"/>
  <c r="F3463" i="19" s="1"/>
  <c r="F3566" i="19"/>
  <c r="F3584" i="19"/>
  <c r="F3769" i="19"/>
  <c r="H3769" i="19" s="1"/>
  <c r="F1359" i="19"/>
  <c r="F1389" i="19"/>
  <c r="F1423" i="19"/>
  <c r="F1439" i="19"/>
  <c r="F1828" i="19"/>
  <c r="F1851" i="19"/>
  <c r="F1645" i="19"/>
  <c r="F2462" i="19"/>
  <c r="H2462" i="19" s="1"/>
  <c r="F2460" i="19" s="1"/>
  <c r="F1140" i="19"/>
  <c r="H1140" i="19" s="1"/>
  <c r="F3119" i="19"/>
  <c r="H3119" i="19" s="1"/>
  <c r="F3113" i="19" s="1"/>
  <c r="F3187" i="19"/>
  <c r="H3187" i="19" s="1"/>
  <c r="F3181" i="19" s="1"/>
  <c r="F3453" i="19"/>
  <c r="H3453" i="19" s="1"/>
  <c r="F3448" i="19" s="1"/>
  <c r="F3530" i="19"/>
  <c r="F3572" i="19"/>
  <c r="F3578" i="19"/>
  <c r="F3602" i="19"/>
  <c r="F3756" i="19"/>
  <c r="H3756" i="19" s="1"/>
  <c r="F3856" i="19"/>
  <c r="H3856" i="19" s="1"/>
  <c r="F42" i="19"/>
  <c r="F688" i="19" s="1"/>
  <c r="F1101" i="19"/>
  <c r="H1101" i="19" s="1"/>
  <c r="F1099" i="19" s="1"/>
  <c r="F2678" i="19"/>
  <c r="H2678" i="19" s="1"/>
  <c r="F3878" i="19"/>
  <c r="H3878" i="19" s="1"/>
  <c r="F3891" i="19"/>
  <c r="F3857" i="19"/>
  <c r="H3857" i="19" s="1"/>
  <c r="F3869" i="19"/>
  <c r="H3869" i="19" s="1"/>
  <c r="F3825" i="19"/>
  <c r="H3825" i="19" s="1"/>
  <c r="F3841" i="19"/>
  <c r="H3841" i="19" s="1"/>
  <c r="F2915" i="19"/>
  <c r="H2915" i="19" s="1"/>
  <c r="F3799" i="19"/>
  <c r="H3799" i="19" s="1"/>
  <c r="F3539" i="19"/>
  <c r="H3539" i="19" s="1"/>
  <c r="F2916" i="19"/>
  <c r="H2916" i="19" s="1"/>
  <c r="F2684" i="19"/>
  <c r="H2684" i="19" s="1"/>
  <c r="F2927" i="19"/>
  <c r="H2927" i="19" s="1"/>
  <c r="F2582" i="19"/>
  <c r="H2582" i="19" s="1"/>
  <c r="F2570" i="19"/>
  <c r="H2570" i="19" s="1"/>
  <c r="F2568" i="19" s="1"/>
  <c r="F2576" i="19"/>
  <c r="H2576" i="19" s="1"/>
  <c r="F2574" i="19" s="1"/>
  <c r="F2564" i="19"/>
  <c r="H2564" i="19" s="1"/>
  <c r="F2558" i="19"/>
  <c r="H2558" i="19" s="1"/>
  <c r="F1095" i="19"/>
  <c r="F725" i="10"/>
  <c r="F924" i="10"/>
  <c r="F643" i="10"/>
  <c r="H643" i="10" s="1"/>
  <c r="F528" i="10"/>
  <c r="H528" i="10" s="1"/>
  <c r="F108" i="10"/>
  <c r="F73" i="10"/>
  <c r="H575" i="19"/>
  <c r="F181" i="10"/>
  <c r="H181" i="10" s="1"/>
  <c r="F1471" i="19"/>
  <c r="F140" i="19"/>
  <c r="F885" i="10"/>
  <c r="H885" i="10" s="1"/>
  <c r="F871" i="10"/>
  <c r="H871" i="10" s="1"/>
  <c r="F1000" i="10"/>
  <c r="H1000" i="10" s="1"/>
  <c r="F2928" i="19"/>
  <c r="H2928" i="19" s="1"/>
  <c r="H526" i="19"/>
  <c r="F522" i="19"/>
  <c r="F521" i="19"/>
  <c r="H521" i="19" s="1"/>
  <c r="F3872" i="19" l="1"/>
  <c r="F1120" i="10"/>
  <c r="F1070" i="19" s="1"/>
  <c r="F1105" i="19"/>
  <c r="F2682" i="19"/>
  <c r="F1071" i="19"/>
  <c r="F1956" i="19"/>
  <c r="F2676" i="19"/>
  <c r="F2580" i="19"/>
  <c r="F3864" i="19"/>
  <c r="F2562" i="19"/>
  <c r="F3787" i="19"/>
  <c r="F674" i="19"/>
  <c r="H152" i="19"/>
  <c r="H522" i="19"/>
  <c r="F518" i="19" s="1"/>
  <c r="H3891" i="19"/>
  <c r="F3827" i="19"/>
  <c r="H3827" i="19" s="1"/>
  <c r="F3843" i="19"/>
  <c r="H3843" i="19" s="1"/>
  <c r="F749" i="10"/>
  <c r="H749" i="10" s="1"/>
  <c r="H1095" i="19"/>
  <c r="F737" i="10"/>
  <c r="H924" i="10"/>
  <c r="F918" i="10" s="1"/>
  <c r="H140" i="19"/>
  <c r="F2642" i="19"/>
  <c r="H2642" i="19" s="1"/>
  <c r="F2637" i="19" s="1"/>
  <c r="F2636" i="19"/>
  <c r="H2636" i="19" s="1"/>
  <c r="F2632" i="19" s="1"/>
  <c r="F1151" i="19"/>
  <c r="H1151" i="19" s="1"/>
  <c r="F642" i="10"/>
  <c r="H377" i="19"/>
  <c r="F376" i="19" s="1"/>
  <c r="F160" i="10"/>
  <c r="H160" i="10" s="1"/>
  <c r="F156" i="10" s="1"/>
  <c r="H532" i="19"/>
  <c r="F528" i="19"/>
  <c r="H528" i="19" s="1"/>
  <c r="F527" i="19"/>
  <c r="H527" i="19" s="1"/>
  <c r="F1069" i="19" l="1"/>
  <c r="F139" i="19"/>
  <c r="F524" i="19"/>
  <c r="F620" i="19"/>
  <c r="H620" i="19" s="1"/>
  <c r="F619" i="19" s="1"/>
  <c r="F4051" i="19"/>
  <c r="F2589" i="19"/>
  <c r="H2589" i="19" s="1"/>
  <c r="F2590" i="19"/>
  <c r="H2590" i="19" s="1"/>
  <c r="F3904" i="19"/>
  <c r="H3904" i="19" s="1"/>
  <c r="F3903" i="19"/>
  <c r="H3903" i="19" s="1"/>
  <c r="F1142" i="19"/>
  <c r="H1142" i="19" s="1"/>
  <c r="F1134" i="19" s="1"/>
  <c r="F3910" i="19"/>
  <c r="H3910" i="19" s="1"/>
  <c r="F3909" i="19"/>
  <c r="H3909" i="19" s="1"/>
  <c r="F533" i="19"/>
  <c r="H533" i="19" s="1"/>
  <c r="F534" i="19"/>
  <c r="H534" i="19" s="1"/>
  <c r="F3898" i="19" l="1"/>
  <c r="F3905" i="19"/>
  <c r="F2586" i="19"/>
  <c r="F530" i="19"/>
  <c r="F2511" i="19"/>
  <c r="H2511" i="19" s="1"/>
  <c r="F2508" i="19" s="1"/>
  <c r="H1471" i="19"/>
  <c r="F1470" i="19" s="1"/>
  <c r="H539" i="19"/>
  <c r="H538" i="19"/>
  <c r="F540" i="19"/>
  <c r="H540" i="19" s="1"/>
  <c r="F3656" i="19"/>
  <c r="F536" i="19" l="1"/>
  <c r="F880" i="19"/>
  <c r="H880" i="19" s="1"/>
  <c r="F824" i="19"/>
  <c r="H824" i="19" s="1"/>
  <c r="F744" i="19"/>
  <c r="H744" i="19" s="1"/>
  <c r="F1090" i="19"/>
  <c r="H1090" i="19" s="1"/>
  <c r="F1080" i="19" s="1"/>
  <c r="F1027" i="19"/>
  <c r="H1027" i="19" s="1"/>
  <c r="F1001" i="19"/>
  <c r="H1001" i="19" s="1"/>
  <c r="F973" i="19"/>
  <c r="H973" i="19" s="1"/>
  <c r="F959" i="19"/>
  <c r="H959" i="19" s="1"/>
  <c r="F904" i="19"/>
  <c r="H904" i="19" s="1"/>
  <c r="F809" i="19"/>
  <c r="H809" i="19" s="1"/>
  <c r="F783" i="19"/>
  <c r="H783" i="19" s="1"/>
  <c r="F757" i="19"/>
  <c r="H757" i="19" s="1"/>
  <c r="F692" i="19"/>
  <c r="H692" i="19" s="1"/>
  <c r="F678" i="19"/>
  <c r="H678" i="19" s="1"/>
  <c r="F889" i="19"/>
  <c r="H889" i="19" s="1"/>
  <c r="F862" i="19"/>
  <c r="H862" i="19" s="1"/>
  <c r="F704" i="19"/>
  <c r="H704" i="19" s="1"/>
  <c r="F987" i="19"/>
  <c r="H987" i="19" s="1"/>
  <c r="F871" i="19"/>
  <c r="H871" i="19" s="1"/>
  <c r="F839" i="19"/>
  <c r="H839" i="19" s="1"/>
  <c r="F796" i="19"/>
  <c r="H796" i="19" s="1"/>
  <c r="F770" i="19"/>
  <c r="H770" i="19" s="1"/>
  <c r="F685" i="19"/>
  <c r="H685" i="19" s="1"/>
  <c r="F671" i="19"/>
  <c r="H671" i="19" s="1"/>
  <c r="H544" i="19"/>
  <c r="H543" i="19"/>
  <c r="F545" i="19"/>
  <c r="H545" i="19" s="1"/>
  <c r="H548" i="19"/>
  <c r="F541" i="19" l="1"/>
  <c r="F726" i="10"/>
  <c r="F549" i="19"/>
  <c r="H549" i="19" s="1"/>
  <c r="F546" i="19" l="1"/>
  <c r="F599" i="10"/>
  <c r="F738" i="10"/>
  <c r="F553" i="19"/>
  <c r="H553" i="19" s="1"/>
  <c r="H552" i="19"/>
  <c r="F550" i="19" l="1"/>
  <c r="H725" i="10"/>
  <c r="H737" i="10"/>
  <c r="H726" i="10"/>
  <c r="H599" i="10"/>
  <c r="H738" i="10"/>
  <c r="F2929" i="19" l="1"/>
  <c r="H2929" i="19" s="1"/>
  <c r="F2917" i="19"/>
  <c r="H2917" i="19" s="1"/>
  <c r="F2930" i="19" l="1"/>
  <c r="H2930" i="19" s="1"/>
  <c r="F2922" i="19" s="1"/>
  <c r="F2918" i="19"/>
  <c r="H2918" i="19" s="1"/>
  <c r="F2910" i="19" s="1"/>
  <c r="H1682" i="19" l="1"/>
  <c r="F1678" i="19" s="1"/>
  <c r="H76" i="19"/>
  <c r="F639" i="10"/>
  <c r="H639" i="10" s="1"/>
  <c r="F637" i="10" s="1"/>
  <c r="F74" i="19" l="1"/>
  <c r="H628" i="19"/>
  <c r="F915" i="10"/>
  <c r="H915" i="10" s="1"/>
  <c r="F909" i="10" s="1"/>
  <c r="H662" i="19"/>
  <c r="H81" i="19"/>
  <c r="F79" i="19" s="1"/>
  <c r="F900" i="10"/>
  <c r="H900" i="10" s="1"/>
  <c r="F895" i="10" s="1"/>
  <c r="H651" i="19"/>
  <c r="H639" i="19"/>
  <c r="F1259" i="19" l="1"/>
  <c r="F1266" i="19"/>
  <c r="H1266" i="19" s="1"/>
  <c r="F947" i="10"/>
  <c r="H947" i="10" s="1"/>
  <c r="F945" i="10" s="1"/>
  <c r="H1094" i="19"/>
  <c r="F1093" i="19" s="1"/>
  <c r="F1065" i="19"/>
  <c r="H729" i="19"/>
  <c r="F723" i="19" s="1"/>
  <c r="F936" i="10"/>
  <c r="H936" i="10" s="1"/>
  <c r="F934" i="10" s="1"/>
  <c r="F930" i="10"/>
  <c r="H930" i="10" s="1"/>
  <c r="F928" i="10" s="1"/>
  <c r="F941" i="10"/>
  <c r="H941" i="10" s="1"/>
  <c r="F939" i="10" s="1"/>
  <c r="H63" i="19" l="1"/>
  <c r="F61" i="19" s="1"/>
  <c r="H72" i="19"/>
  <c r="F70" i="19" s="1"/>
  <c r="F3855" i="19" s="1"/>
  <c r="H3855" i="19" s="1"/>
  <c r="F868" i="10"/>
  <c r="H868" i="10" s="1"/>
  <c r="F861" i="10" s="1"/>
  <c r="F402" i="10"/>
  <c r="H402" i="10" s="1"/>
  <c r="F399" i="10" s="1"/>
  <c r="F598" i="10"/>
  <c r="H598" i="10" s="1"/>
  <c r="F592" i="10" s="1"/>
  <c r="F724" i="10"/>
  <c r="H724" i="10" s="1"/>
  <c r="F718" i="10" s="1"/>
  <c r="H866" i="19"/>
  <c r="F388" i="10"/>
  <c r="H388" i="10" s="1"/>
  <c r="F385" i="10" s="1"/>
  <c r="F555" i="10"/>
  <c r="H555" i="10" s="1"/>
  <c r="F549" i="10" s="1"/>
  <c r="H897" i="19"/>
  <c r="F882" i="10"/>
  <c r="H882" i="10" s="1"/>
  <c r="F875" i="10" s="1"/>
  <c r="F735" i="10"/>
  <c r="H735" i="10" s="1"/>
  <c r="F729" i="10" s="1"/>
  <c r="F696" i="10"/>
  <c r="H696" i="10" s="1"/>
  <c r="F691" i="10" s="1"/>
  <c r="F618" i="10"/>
  <c r="H618" i="10" s="1"/>
  <c r="F809" i="10"/>
  <c r="H809" i="10" s="1"/>
  <c r="F801" i="10" s="1"/>
  <c r="F905" i="10"/>
  <c r="H905" i="10" s="1"/>
  <c r="F903" i="10" s="1"/>
  <c r="F775" i="10"/>
  <c r="H775" i="10" s="1"/>
  <c r="F767" i="10" s="1"/>
  <c r="F587" i="10"/>
  <c r="H587" i="10" s="1"/>
  <c r="F581" i="10" s="1"/>
  <c r="H875" i="19"/>
  <c r="F529" i="10"/>
  <c r="H529" i="10" s="1"/>
  <c r="F525" i="10" s="1"/>
  <c r="F514" i="10"/>
  <c r="H514" i="10" s="1"/>
  <c r="F507" i="10" s="1"/>
  <c r="F564" i="10"/>
  <c r="H564" i="10" s="1"/>
  <c r="F558" i="10" s="1"/>
  <c r="F747" i="10"/>
  <c r="H747" i="10" s="1"/>
  <c r="F741" i="10" s="1"/>
  <c r="F705" i="10"/>
  <c r="H705" i="10" s="1"/>
  <c r="F699" i="10" s="1"/>
  <c r="H1149" i="19"/>
  <c r="F1143" i="19" s="1"/>
  <c r="F763" i="10"/>
  <c r="H763" i="10" s="1"/>
  <c r="F756" i="10" s="1"/>
  <c r="F672" i="10"/>
  <c r="H672" i="10" s="1"/>
  <c r="F668" i="10" s="1"/>
  <c r="F374" i="10"/>
  <c r="H374" i="10" s="1"/>
  <c r="F371" i="10" s="1"/>
  <c r="H60" i="19"/>
  <c r="F58" i="19" s="1"/>
  <c r="F3727" i="19" s="1"/>
  <c r="H571" i="10"/>
  <c r="F682" i="10"/>
  <c r="H682" i="10" s="1"/>
  <c r="F681" i="10" s="1"/>
  <c r="F962" i="10"/>
  <c r="H962" i="10" s="1"/>
  <c r="F955" i="10" s="1"/>
  <c r="H857" i="19"/>
  <c r="F1003" i="10"/>
  <c r="H1003" i="10" s="1"/>
  <c r="F1001" i="10" s="1"/>
  <c r="H884" i="19"/>
  <c r="F891" i="10"/>
  <c r="H891" i="10" s="1"/>
  <c r="F889" i="10" s="1"/>
  <c r="F991" i="10"/>
  <c r="H991" i="10" s="1"/>
  <c r="F989" i="10" s="1"/>
  <c r="F820" i="10"/>
  <c r="H820" i="10" s="1"/>
  <c r="F813" i="10" s="1"/>
  <c r="F975" i="10"/>
  <c r="H975" i="10" s="1"/>
  <c r="F968" i="10" s="1"/>
  <c r="F676" i="10"/>
  <c r="H676" i="10" s="1"/>
  <c r="F675" i="10" s="1"/>
  <c r="F715" i="10"/>
  <c r="H715" i="10" s="1"/>
  <c r="F709" i="10" s="1"/>
  <c r="F611" i="10" l="1"/>
  <c r="F1064" i="19"/>
  <c r="H1064" i="19" s="1"/>
  <c r="F1063" i="19" s="1"/>
  <c r="F3811" i="19"/>
  <c r="H3811" i="19" s="1"/>
  <c r="F3804" i="19" s="1"/>
  <c r="F3822" i="19"/>
  <c r="H3822" i="19" s="1"/>
  <c r="F3839" i="19"/>
  <c r="H3839" i="19" s="1"/>
  <c r="F3715" i="19"/>
  <c r="H3715" i="19" s="1"/>
  <c r="F3781" i="19"/>
  <c r="H3781" i="19" s="1"/>
  <c r="F3775" i="19" s="1"/>
  <c r="F1021" i="19"/>
  <c r="F2556" i="19"/>
  <c r="H1131" i="19"/>
  <c r="F1125" i="19" s="1"/>
  <c r="H1122" i="19"/>
  <c r="F1115" i="19" s="1"/>
  <c r="H1070" i="19"/>
  <c r="H1068" i="19"/>
  <c r="F1067" i="19" s="1"/>
  <c r="H1058" i="19"/>
  <c r="F1052" i="19" s="1"/>
  <c r="H1048" i="19"/>
  <c r="H1036" i="19"/>
  <c r="F1028" i="19" s="1"/>
  <c r="H1010" i="19"/>
  <c r="F1002" i="19" s="1"/>
  <c r="H997" i="19"/>
  <c r="F988" i="19" s="1"/>
  <c r="H983" i="19"/>
  <c r="F974" i="19" s="1"/>
  <c r="H967" i="19"/>
  <c r="F960" i="19" s="1"/>
  <c r="H954" i="19"/>
  <c r="F950" i="19" s="1"/>
  <c r="H847" i="19"/>
  <c r="F840" i="19" s="1"/>
  <c r="H834" i="19"/>
  <c r="F825" i="19" s="1"/>
  <c r="H819" i="19"/>
  <c r="F810" i="19" s="1"/>
  <c r="H805" i="19"/>
  <c r="H792" i="19"/>
  <c r="F784" i="19" s="1"/>
  <c r="H779" i="19"/>
  <c r="F771" i="19" s="1"/>
  <c r="H766" i="19"/>
  <c r="F758" i="19" s="1"/>
  <c r="H752" i="19"/>
  <c r="F745" i="19" s="1"/>
  <c r="H739" i="19"/>
  <c r="F732" i="19" s="1"/>
  <c r="H720" i="19"/>
  <c r="F714" i="19" s="1"/>
  <c r="H711" i="19"/>
  <c r="F705" i="19" s="1"/>
  <c r="H700" i="19"/>
  <c r="F693" i="19" s="1"/>
  <c r="H681" i="19"/>
  <c r="F679" i="19" s="1"/>
  <c r="H667" i="19"/>
  <c r="F665" i="19" s="1"/>
  <c r="H660" i="19"/>
  <c r="F654" i="19" s="1"/>
  <c r="H649" i="19"/>
  <c r="F643" i="19" s="1"/>
  <c r="H640" i="19"/>
  <c r="F632" i="19" s="1"/>
  <c r="H629" i="19"/>
  <c r="F621" i="19" s="1"/>
  <c r="H3727" i="19"/>
  <c r="F797" i="10"/>
  <c r="H797" i="10" s="1"/>
  <c r="F789" i="10" s="1"/>
  <c r="F785" i="10"/>
  <c r="H785" i="10" s="1"/>
  <c r="F779" i="10" s="1"/>
  <c r="H66" i="19"/>
  <c r="F64" i="19" s="1"/>
  <c r="H942" i="19" s="1"/>
  <c r="F1040" i="19" l="1"/>
  <c r="F3889" i="19" s="1"/>
  <c r="H3889" i="19" s="1"/>
  <c r="F797" i="19"/>
  <c r="F3890" i="19" s="1"/>
  <c r="H3890" i="19" s="1"/>
  <c r="F1092" i="19"/>
  <c r="H1092" i="19" s="1"/>
  <c r="F1091" i="19" s="1"/>
  <c r="F3893" i="19"/>
  <c r="H3893" i="19" s="1"/>
  <c r="H1021" i="19"/>
  <c r="F1014" i="19" s="1"/>
  <c r="F416" i="10"/>
  <c r="H416" i="10" s="1"/>
  <c r="F413" i="10" s="1"/>
  <c r="H69" i="19"/>
  <c r="F854" i="10"/>
  <c r="H854" i="10" s="1"/>
  <c r="F846" i="10" s="1"/>
  <c r="F3840" i="19" l="1"/>
  <c r="H3840" i="19" s="1"/>
  <c r="F3824" i="19"/>
  <c r="H3824" i="19" s="1"/>
  <c r="H688" i="19"/>
  <c r="F686" i="19" s="1"/>
  <c r="H674" i="19"/>
  <c r="F672" i="19" s="1"/>
  <c r="F67" i="19"/>
  <c r="F858" i="10"/>
  <c r="H858" i="10" s="1"/>
  <c r="F857" i="10" s="1"/>
  <c r="F843" i="10"/>
  <c r="H843" i="10" s="1"/>
  <c r="F835" i="10" s="1"/>
  <c r="F522" i="10"/>
  <c r="H522" i="10" s="1"/>
  <c r="F520" i="10" s="1"/>
  <c r="F832" i="10"/>
  <c r="H832" i="10" s="1"/>
  <c r="F824" i="10" s="1"/>
  <c r="H1247" i="19" l="1"/>
  <c r="H1259" i="19"/>
  <c r="F248" i="10"/>
  <c r="H248" i="10" s="1"/>
  <c r="F246" i="10" s="1"/>
  <c r="H110" i="19"/>
  <c r="F108" i="19" s="1"/>
  <c r="H3602" i="19"/>
  <c r="F3600" i="19" s="1"/>
  <c r="F572" i="10"/>
  <c r="H572" i="10" s="1"/>
  <c r="F567" i="10" s="1"/>
  <c r="H1260" i="19"/>
  <c r="F1257" i="19" l="1"/>
  <c r="F1244" i="19"/>
  <c r="F3858" i="19" s="1"/>
  <c r="F1233" i="19"/>
  <c r="H1233" i="19" s="1"/>
  <c r="F2359" i="19"/>
  <c r="F3716" i="19"/>
  <c r="H3716" i="19" s="1"/>
  <c r="H3596" i="19"/>
  <c r="F3594" i="19" s="1"/>
  <c r="H3590" i="19"/>
  <c r="F3588" i="19" s="1"/>
  <c r="H3584" i="19"/>
  <c r="F3582" i="19" s="1"/>
  <c r="H3578" i="19"/>
  <c r="F3576" i="19" s="1"/>
  <c r="H3572" i="19"/>
  <c r="F3570" i="19" s="1"/>
  <c r="H3566" i="19"/>
  <c r="F3564" i="19" s="1"/>
  <c r="H3560" i="19"/>
  <c r="F3558" i="19" s="1"/>
  <c r="H3548" i="19"/>
  <c r="F3546" i="19" s="1"/>
  <c r="H3542" i="19"/>
  <c r="F3540" i="19" s="1"/>
  <c r="H3530" i="19"/>
  <c r="F3528" i="19" s="1"/>
  <c r="F1433" i="19"/>
  <c r="F2202" i="19"/>
  <c r="H2202" i="19" s="1"/>
  <c r="F2195" i="19" s="1"/>
  <c r="H1968" i="19"/>
  <c r="F1966" i="19" s="1"/>
  <c r="H1948" i="19"/>
  <c r="F1941" i="19" s="1"/>
  <c r="H1938" i="19"/>
  <c r="F1931" i="19" s="1"/>
  <c r="H1928" i="19"/>
  <c r="F1922" i="19" s="1"/>
  <c r="H1828" i="19"/>
  <c r="F1821" i="19" s="1"/>
  <c r="H1851" i="19"/>
  <c r="F1847" i="19" s="1"/>
  <c r="H1654" i="19"/>
  <c r="F1648" i="19" s="1"/>
  <c r="H1645" i="19"/>
  <c r="F1639" i="19" s="1"/>
  <c r="H1527" i="19"/>
  <c r="F1523" i="19" s="1"/>
  <c r="H1465" i="19"/>
  <c r="F1464" i="19" s="1"/>
  <c r="H1439" i="19"/>
  <c r="F1437" i="19" s="1"/>
  <c r="H1428" i="19"/>
  <c r="F1427" i="19" s="1"/>
  <c r="H1423" i="19"/>
  <c r="F1422" i="19" s="1"/>
  <c r="H1418" i="19"/>
  <c r="F1417" i="19" s="1"/>
  <c r="F1240" i="19"/>
  <c r="F1414" i="19"/>
  <c r="H1404" i="19"/>
  <c r="F1400" i="19" s="1"/>
  <c r="H1396" i="19"/>
  <c r="F1393" i="19" s="1"/>
  <c r="H1389" i="19"/>
  <c r="F1386" i="19" s="1"/>
  <c r="H1378" i="19"/>
  <c r="F1375" i="19" s="1"/>
  <c r="H1371" i="19"/>
  <c r="F1369" i="19" s="1"/>
  <c r="H1365" i="19"/>
  <c r="F1363" i="19" s="1"/>
  <c r="H1359" i="19"/>
  <c r="F1357" i="19" s="1"/>
  <c r="H1267" i="19"/>
  <c r="F1264" i="19" s="1"/>
  <c r="H1253" i="19"/>
  <c r="F1251" i="19" s="1"/>
  <c r="H1226" i="19"/>
  <c r="F1223" i="19" s="1"/>
  <c r="H1219" i="19"/>
  <c r="F1216" i="19" s="1"/>
  <c r="H1212" i="19"/>
  <c r="F1209" i="19" s="1"/>
  <c r="H1205" i="19"/>
  <c r="F1202" i="19" s="1"/>
  <c r="F3826" i="19" l="1"/>
  <c r="H3826" i="19" s="1"/>
  <c r="F3815" i="19" s="1"/>
  <c r="F3842" i="19"/>
  <c r="H3842" i="19" s="1"/>
  <c r="F3832" i="19" s="1"/>
  <c r="F1230" i="19"/>
  <c r="H3554" i="19"/>
  <c r="F3552" i="19" s="1"/>
  <c r="H3536" i="19"/>
  <c r="F3534" i="19" s="1"/>
  <c r="F3892" i="19"/>
  <c r="H3892" i="19" s="1"/>
  <c r="F3881" i="19" s="1"/>
  <c r="F2389" i="19"/>
  <c r="F3772" i="19" l="1"/>
  <c r="H3772" i="19" s="1"/>
  <c r="F3763" i="19" s="1"/>
  <c r="F2899" i="19"/>
  <c r="H2899" i="19" s="1"/>
  <c r="H2898" i="19"/>
  <c r="F3759" i="19"/>
  <c r="H3759" i="19" s="1"/>
  <c r="F3747" i="19" s="1"/>
  <c r="F3731" i="19"/>
  <c r="H3731" i="19" s="1"/>
  <c r="F3719" i="19"/>
  <c r="H3719" i="19" s="1"/>
  <c r="F3710" i="19" s="1"/>
  <c r="F3744" i="19"/>
  <c r="H3744" i="19" s="1"/>
  <c r="F3734" i="19" s="1"/>
  <c r="F150" i="19"/>
  <c r="H150" i="19" s="1"/>
  <c r="H3858" i="19"/>
  <c r="H2389" i="19"/>
  <c r="F2380" i="19" s="1"/>
  <c r="F577" i="10"/>
  <c r="H577" i="10" s="1"/>
  <c r="F575" i="10" s="1"/>
  <c r="F605" i="10"/>
  <c r="H605" i="10" s="1"/>
  <c r="F603" i="10" s="1"/>
  <c r="F149" i="19" l="1"/>
  <c r="F2894" i="19"/>
  <c r="H3728" i="19"/>
  <c r="F3722" i="19" s="1"/>
  <c r="H2359" i="19"/>
  <c r="F2356" i="19" s="1"/>
  <c r="H1433" i="19"/>
  <c r="F1432" i="19" s="1"/>
  <c r="H1414" i="19" l="1"/>
  <c r="F1411" i="19" s="1"/>
  <c r="H1240" i="19"/>
  <c r="F1237" i="19" s="1"/>
  <c r="F574" i="19" l="1"/>
  <c r="F210" i="19"/>
  <c r="F3859" i="19"/>
  <c r="F221" i="10"/>
  <c r="H221" i="10" s="1"/>
  <c r="F212" i="10" s="1"/>
  <c r="F182" i="10"/>
  <c r="H182" i="10" s="1"/>
  <c r="F179" i="10" s="1"/>
  <c r="H3859" i="19" l="1"/>
  <c r="F3848" i="19" s="1"/>
  <c r="F885" i="19"/>
  <c r="F898" i="19"/>
  <c r="F867" i="19"/>
  <c r="F876" i="19"/>
  <c r="F858" i="19"/>
  <c r="H574" i="19"/>
  <c r="F572" i="19" s="1"/>
  <c r="H210" i="19"/>
  <c r="F209" i="19" s="1"/>
  <c r="F935" i="19" l="1"/>
  <c r="H898" i="19"/>
  <c r="F890" i="19" s="1"/>
  <c r="H885" i="19"/>
  <c r="F881" i="19" s="1"/>
  <c r="H876" i="19"/>
  <c r="F872" i="19" s="1"/>
  <c r="H867" i="19"/>
  <c r="F863" i="19" s="1"/>
  <c r="H858" i="19"/>
  <c r="F850"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Isabel Cristina Spaggiari  Gutierrez</author>
  </authors>
  <commentList>
    <comment ref="F575" authorId="0" shapeId="0" xr:uid="{00000000-0006-0000-0100-000001000000}">
      <text>
        <r>
          <rPr>
            <b/>
            <sz val="9"/>
            <color indexed="81"/>
            <rFont val="Tahoma"/>
            <family val="2"/>
          </rPr>
          <t>Isabel Cristina Spaggiari  Gutierrez:</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Isabel Cristina Spaggiari Gutierrez </author>
    <author>Isabel Cristina Spaggiari  Gutierrez</author>
  </authors>
  <commentList>
    <comment ref="A248" authorId="0" shapeId="0" xr:uid="{29B2F893-CB0E-448B-AD29-2C4F9B3DB997}">
      <text>
        <r>
          <rPr>
            <b/>
            <sz val="9"/>
            <color indexed="81"/>
            <rFont val="Tahoma"/>
            <family val="2"/>
          </rPr>
          <t>Isabel Cristina Spaggiari Gutierrez :</t>
        </r>
        <r>
          <rPr>
            <sz val="9"/>
            <color indexed="81"/>
            <rFont val="Tahoma"/>
            <family val="2"/>
          </rPr>
          <t xml:space="preserve">
</t>
        </r>
      </text>
    </comment>
    <comment ref="A356" authorId="0" shapeId="0" xr:uid="{35CF7706-4163-4E2C-AF8E-2B7A70BEF943}">
      <text>
        <r>
          <rPr>
            <b/>
            <sz val="9"/>
            <color indexed="81"/>
            <rFont val="Tahoma"/>
            <family val="2"/>
          </rPr>
          <t>Isabel Cristina Spaggiari Gutierrez :</t>
        </r>
        <r>
          <rPr>
            <sz val="9"/>
            <color indexed="81"/>
            <rFont val="Tahoma"/>
            <family val="2"/>
          </rPr>
          <t xml:space="preserve">
</t>
        </r>
      </text>
    </comment>
    <comment ref="A365" authorId="0" shapeId="0" xr:uid="{9249E458-3119-4600-806A-862029B07C07}">
      <text>
        <r>
          <rPr>
            <b/>
            <sz val="9"/>
            <color indexed="81"/>
            <rFont val="Tahoma"/>
            <family val="2"/>
          </rPr>
          <t>Isabel Cristina Spaggiari Gutierrez :</t>
        </r>
        <r>
          <rPr>
            <sz val="9"/>
            <color indexed="81"/>
            <rFont val="Tahoma"/>
            <family val="2"/>
          </rPr>
          <t xml:space="preserve">
</t>
        </r>
      </text>
    </comment>
    <comment ref="A373" authorId="0" shapeId="0" xr:uid="{6A2EC5A9-63DC-40D7-8449-923FB566B9B5}">
      <text>
        <r>
          <rPr>
            <b/>
            <sz val="9"/>
            <color indexed="81"/>
            <rFont val="Tahoma"/>
            <family val="2"/>
          </rPr>
          <t>Isabel Cristina Spaggiari Gutierrez :</t>
        </r>
        <r>
          <rPr>
            <sz val="9"/>
            <color indexed="81"/>
            <rFont val="Tahoma"/>
            <family val="2"/>
          </rPr>
          <t xml:space="preserve">
</t>
        </r>
      </text>
    </comment>
    <comment ref="A382" authorId="0" shapeId="0" xr:uid="{E2C00145-1E3D-40BA-8E7F-B33C64ACC670}">
      <text>
        <r>
          <rPr>
            <b/>
            <sz val="9"/>
            <color indexed="81"/>
            <rFont val="Tahoma"/>
            <family val="2"/>
          </rPr>
          <t>Isabel Cristina Spaggiari Gutierrez :</t>
        </r>
        <r>
          <rPr>
            <sz val="9"/>
            <color indexed="81"/>
            <rFont val="Tahoma"/>
            <family val="2"/>
          </rPr>
          <t xml:space="preserve">
</t>
        </r>
      </text>
    </comment>
    <comment ref="A390" authorId="0" shapeId="0" xr:uid="{C7046671-C686-4733-90BA-213EE4C35B7B}">
      <text>
        <r>
          <rPr>
            <b/>
            <sz val="9"/>
            <color indexed="81"/>
            <rFont val="Tahoma"/>
            <family val="2"/>
          </rPr>
          <t>Isabel Cristina Spaggiari Gutierrez :</t>
        </r>
        <r>
          <rPr>
            <sz val="9"/>
            <color indexed="81"/>
            <rFont val="Tahoma"/>
            <family val="2"/>
          </rPr>
          <t xml:space="preserve">
</t>
        </r>
      </text>
    </comment>
    <comment ref="A399" authorId="0" shapeId="0" xr:uid="{DE133D4A-CB41-4259-A988-4AEFCDA76668}">
      <text>
        <r>
          <rPr>
            <b/>
            <sz val="9"/>
            <color indexed="81"/>
            <rFont val="Tahoma"/>
            <family val="2"/>
          </rPr>
          <t>Isabel Cristina Spaggiari Gutierrez :</t>
        </r>
        <r>
          <rPr>
            <sz val="9"/>
            <color indexed="81"/>
            <rFont val="Tahoma"/>
            <family val="2"/>
          </rPr>
          <t xml:space="preserve">
</t>
        </r>
      </text>
    </comment>
    <comment ref="A919" authorId="1" shapeId="0" xr:uid="{8104BB85-8C20-4545-952C-67507931B3DC}">
      <text>
        <r>
          <rPr>
            <b/>
            <sz val="9"/>
            <color indexed="81"/>
            <rFont val="Tahoma"/>
            <family val="2"/>
          </rPr>
          <t>Isabel Cristina Spaggiari  Gutierrez:</t>
        </r>
        <r>
          <rPr>
            <sz val="9"/>
            <color indexed="81"/>
            <rFont val="Tahoma"/>
            <family val="2"/>
          </rPr>
          <t xml:space="preserve">
</t>
        </r>
      </text>
    </comment>
  </commentList>
</comments>
</file>

<file path=xl/sharedStrings.xml><?xml version="1.0" encoding="utf-8"?>
<sst xmlns="http://schemas.openxmlformats.org/spreadsheetml/2006/main" count="26261" uniqueCount="4238">
  <si>
    <t>Lija de agua</t>
  </si>
  <si>
    <t>Limpiador removedor PVC 1/4</t>
  </si>
  <si>
    <t>Universal PVC 1 1/2"</t>
  </si>
  <si>
    <t>Universal PVC 3/4"</t>
  </si>
  <si>
    <t>Universal PVC de 1/2"</t>
  </si>
  <si>
    <t>Universal PVC 2"</t>
  </si>
  <si>
    <t>Fluxómetro de palanca para orinal</t>
  </si>
  <si>
    <t>Tubería PVC corrugada perforada de 100 mm (4")</t>
  </si>
  <si>
    <t>Tubería PVC corrugada perforada de 200 mm (8")</t>
  </si>
  <si>
    <t>Tubería PVC corrugada perforada de 160 mm (6")</t>
  </si>
  <si>
    <t>Adaptador bajante PVC agua lluvia cuadrado 3 x 3</t>
  </si>
  <si>
    <t>Accesorios PVC sanitaria (% tubería)</t>
  </si>
  <si>
    <t>Señal vertical completa con cinta reflectiva, mástil de 0,90 m</t>
  </si>
  <si>
    <t>Guadua sobrebasa longitud promedio = 5 m</t>
  </si>
  <si>
    <t>PRESTACIONES Y APORTES</t>
  </si>
  <si>
    <t>Desmonte de cerramiento de malla y postería  de concreto, no incluye demolición de muro y/o alfajía</t>
  </si>
  <si>
    <t>Sobrecimiento h = 0,20 m revoque impermeabilizado 2 caras</t>
  </si>
  <si>
    <t>Perfil aluminio natural ángulo L = 6 m</t>
  </si>
  <si>
    <t>Perfil aluminio natural T L = 6 m</t>
  </si>
  <si>
    <t>Perfil aluminio anoloc T L = 6 m</t>
  </si>
  <si>
    <t>Remache de aluminio</t>
  </si>
  <si>
    <t>Perfil aluminio blanco ángulo L = 6 m</t>
  </si>
  <si>
    <t>Perfil aluminio anoloc ángulo L = 6 m</t>
  </si>
  <si>
    <t>Perfil aluminio blanco T L = 6 m</t>
  </si>
  <si>
    <t>Cielo falso duracustic en aluminio blanco</t>
  </si>
  <si>
    <t>Cielo falso duracustic en aluminio anoloc</t>
  </si>
  <si>
    <t>Cielo falso duracustic en aluminio natural</t>
  </si>
  <si>
    <t>Tubería PVC de alcantarillado de pared estructural d =  4", exterior corrugado</t>
  </si>
  <si>
    <t>Tubería PVC de alcantarillado de pared estructural d =  6", exterior corrugado</t>
  </si>
  <si>
    <t>Tubería PVC de alcantarillado de pared estructural d =  8", exterior corrugado</t>
  </si>
  <si>
    <t>Tubería PVC de alcantarillado de pared estructural d =  10", exterior corrugado</t>
  </si>
  <si>
    <t>Tubería PVC de alcantarillado de pared estructural d =  12", exterior corrugado</t>
  </si>
  <si>
    <t>Tubería PVC de alcantarillado de pared estructural d =  16", exterior corrugado</t>
  </si>
  <si>
    <t>Lámina de yeso 1,22 m x 2,44 m e = 12,7 mm</t>
  </si>
  <si>
    <t>Impermeabilizante para concreto</t>
  </si>
  <si>
    <t>Sello de junta para pavimento</t>
  </si>
  <si>
    <t>Sello de junta  para pavimento</t>
  </si>
  <si>
    <t>Impermeabilizante bituminoso para cubiertas</t>
  </si>
  <si>
    <t>Pintura transparente protectora de fachadas</t>
  </si>
  <si>
    <t>Fluidificante para concretos</t>
  </si>
  <si>
    <t>Fertilizante</t>
  </si>
  <si>
    <t xml:space="preserve">Fertilizante </t>
  </si>
  <si>
    <t>Geomalla BX 1200</t>
  </si>
  <si>
    <t>Pintura reflectiva de aluminio</t>
  </si>
  <si>
    <t>Sanitario infantil blanco incluye grifería</t>
  </si>
  <si>
    <t>Adhesivo para tubería de pared estructural 310 ml</t>
  </si>
  <si>
    <t>Viga de enlace de zapatas en concreto de 24,5 Mpa, no incluye refuerzo</t>
  </si>
  <si>
    <t>Tubería PVC perforada 4"</t>
  </si>
  <si>
    <t>Tubería PVC sanitaria 2"</t>
  </si>
  <si>
    <t>Adhesivo para piso de vinilo</t>
  </si>
  <si>
    <t>Formaleta cono cámara inspección 1,20 m</t>
  </si>
  <si>
    <t>Pavimento en concreto 20,7 Mpa en obra, e = 0.175 m, incluye refuerzo, corte con disco y sello de juntas</t>
  </si>
  <si>
    <t>Cortadora de concreto con disco</t>
  </si>
  <si>
    <t>Gasolina</t>
  </si>
  <si>
    <t>Corte de pavimento rígido con cortadora autopropulsada</t>
  </si>
  <si>
    <t>Corte de pavimento flexible con cortadora autopropulsada</t>
  </si>
  <si>
    <r>
      <t>M</t>
    </r>
    <r>
      <rPr>
        <vertAlign val="superscript"/>
        <sz val="10"/>
        <color indexed="8"/>
        <rFont val="Arial"/>
        <family val="2"/>
      </rPr>
      <t>3</t>
    </r>
  </si>
  <si>
    <t>Pavimento en concreto MR = 4,1 Mpa premezclado, e = 0.175 m, incluye refuerzo, corte con disco y sello de juntas</t>
  </si>
  <si>
    <t>Pavimento en concreto MR = 4,1 Mpa premezclado, e = 0.15 m, incluye refuerzo, corte con disco y sello de juntas</t>
  </si>
  <si>
    <t>Pavimento en concreto MR = 4,1 Mpa premezclado, e = 0.2 m, incluye refuerzo, corte con disco y sello de juntas</t>
  </si>
  <si>
    <t>Cerca viva (planta cada 3 m) especies diferentes</t>
  </si>
  <si>
    <t>Cerca viva (planta cada 4 m) especies diferentes</t>
  </si>
  <si>
    <t>Cerca viva (planta cada 5 m) especies diferentes</t>
  </si>
  <si>
    <t>EQU053</t>
  </si>
  <si>
    <t>EQU054</t>
  </si>
  <si>
    <t>Andamio tubular</t>
  </si>
  <si>
    <t>Concretadora gasolina de 1 o 1 1/2 sacos</t>
  </si>
  <si>
    <t>Solado en concreto de 10,3 Mpa</t>
  </si>
  <si>
    <t>Caja de inspección de 0,60 x 0,60 x 0,60 m en concreto de 17,2 Mpa, tapa reforzada en concreto de 20,7 Mpa</t>
  </si>
  <si>
    <t>Caja de inspección de 0,60 x 0,60 x 0,60 m en ladrillo, concreto de 17,2 Mpa y tapa reforzada en concreto de 20,7 Mpa para instalaciones eléctricas</t>
  </si>
  <si>
    <t>Caja de inspección de 0,80 x 0,80 x 0,80 m en concreto de 17,2 Mpa, tapa reforzada en concreto de 20,7 Mpa</t>
  </si>
  <si>
    <t>Caja de inspección de 1,00 x 1,00 x 1,00 m en concreto de 17,2 Mpa, tapa reforzada en concreto de 20,7 Mpa</t>
  </si>
  <si>
    <t>Anden en concreto de 20,7 Mpa e = 0,07 m</t>
  </si>
  <si>
    <t>Zapatas en concreto de 20,7 Mpa, no incluye refuerzo</t>
  </si>
  <si>
    <t>Viga de enlace de zapatas en concreto de 20,7 Mpa, no incluye refuerzo</t>
  </si>
  <si>
    <t>Viga de amarre en concreto de 20,7 Mpa de 0,15 x 0,20 m, incluye refuerzo</t>
  </si>
  <si>
    <t>Caja de inspección de 0,50 x 0,50 x 0,50  m en concreto de 17,2 Mpa, tapa reforzada en concreto de 20,7 Mpa</t>
  </si>
  <si>
    <t>Tablilla fina para piso (chanú)</t>
  </si>
  <si>
    <t>Caja de inspección para instalación eléctrica, de 0,30 x 0,30 x 0,50 m en concreto de 17,2 Mpa (2500 psi), tapa reforzada en concreto de 20,7 Mpa (3.000 psi), sin base</t>
  </si>
  <si>
    <t>Muro en ladrillo prensado visto en soga, dos caras</t>
  </si>
  <si>
    <t>Cuadrilla S (1Sold.+1Ay práctico) (jornal + prestaciones)</t>
  </si>
  <si>
    <t>MOB008</t>
  </si>
  <si>
    <t>Equipo perforación de pilotes</t>
  </si>
  <si>
    <t>Ladrillo prensado tipo Santa Fe</t>
  </si>
  <si>
    <t>Puerta en ángulo y malla eslabonada para cerramiento, incluye manija, pasador, anticorrosivo y pintura</t>
  </si>
  <si>
    <t>Varilla cuadrada de 1/2" para reja</t>
  </si>
  <si>
    <t>Aro para baloncesto, incluye malla e instalación</t>
  </si>
  <si>
    <t>Rejilla metálica para cañuela, incluye bisagras, anticorrosivo y pintura, a = 0,3 m</t>
  </si>
  <si>
    <t>Cercha metálica 5 - 12 m, incluye anticorrosivo</t>
  </si>
  <si>
    <t>Seguro para puerta en lámina</t>
  </si>
  <si>
    <t>Descapote y limpieza con máquina, incluye cargue manual</t>
  </si>
  <si>
    <t>Tubería PVC unión platino de 8"</t>
  </si>
  <si>
    <t>Tubería PVC unión platino de 6"</t>
  </si>
  <si>
    <t>Tubería PVC unión platino de 4"</t>
  </si>
  <si>
    <t>Tubería PVC unión platino de 3"</t>
  </si>
  <si>
    <t>Tubería PVC unión platino de 2"</t>
  </si>
  <si>
    <t>Limatesa, limahoya de fibrocemento</t>
  </si>
  <si>
    <t>Ml</t>
  </si>
  <si>
    <t>Caballete thermoacustic</t>
  </si>
  <si>
    <t>Lavamanos tipo Avanti de colgar con grifería</t>
  </si>
  <si>
    <t>Tornillo drywall 6 x 1"</t>
  </si>
  <si>
    <t>Tornillo estructura drywall 8 x 12"</t>
  </si>
  <si>
    <t>Paral 59 en 2,4 m calibre 26</t>
  </si>
  <si>
    <t>Omega en 63 liviana en 2,4</t>
  </si>
  <si>
    <t>Vigueta principal en 2,4</t>
  </si>
  <si>
    <t>Masilla topex joint</t>
  </si>
  <si>
    <t>Conjunto fijador de ala arandela</t>
  </si>
  <si>
    <t xml:space="preserve">Soldadura 6013 </t>
  </si>
  <si>
    <t>Caballete fijo para teja thermoacustic</t>
  </si>
  <si>
    <t>Concreto fluido 13,8 Mpa (2000 PSI) tamaño máximo 1/2"</t>
  </si>
  <si>
    <t>Tacha reflectiva unidireccional</t>
  </si>
  <si>
    <t>Tacha reflectiva unidireccional incluye suministro e instalación</t>
  </si>
  <si>
    <t>Piso en loseta prefabricada A30</t>
  </si>
  <si>
    <t>Geotextil Repav 450</t>
  </si>
  <si>
    <t>Bordillo prefabricado A80 (800 x 200 x 350 mm)</t>
  </si>
  <si>
    <t>Abuzardado de concreto</t>
  </si>
  <si>
    <t>Pared en bloque de vidrio</t>
  </si>
  <si>
    <t>Muro en tierra reforzado con geomalla</t>
  </si>
  <si>
    <t>Anclaje epóxico para 1/2" profundidad 0,15 m</t>
  </si>
  <si>
    <t>Anclaje epóxico para 3/4" profundidad 0,15 m</t>
  </si>
  <si>
    <t>Anclaje epóxico para 1" profundidad 0,15 m</t>
  </si>
  <si>
    <t>Mortero para bloques de vidrio</t>
  </si>
  <si>
    <t>EQU055</t>
  </si>
  <si>
    <t>Separador plástico para bloques de vidrio</t>
  </si>
  <si>
    <t>División para baño en aluminio anoloc y acrílico, incluye instalación todo costo</t>
  </si>
  <si>
    <t>Mezclador para lavaplatos</t>
  </si>
  <si>
    <t>Demolición pavimento flexible manual e &gt; 0,07 m</t>
  </si>
  <si>
    <t>EQU056</t>
  </si>
  <si>
    <t>Formaleta cónica para caissons</t>
  </si>
  <si>
    <t>EQU057</t>
  </si>
  <si>
    <t>Camisa metálica recuperable para pilotes</t>
  </si>
  <si>
    <t>Ducha niquelada de 1/2" sencilla</t>
  </si>
  <si>
    <t>Grifería orinal de empotrar tipo push mediano</t>
  </si>
  <si>
    <t>Excavación en material común seco de 0 - 2 m manual</t>
  </si>
  <si>
    <t>Corte en material común con máquina</t>
  </si>
  <si>
    <t>ESY001</t>
  </si>
  <si>
    <t>Ensayo resistencia concretos</t>
  </si>
  <si>
    <t>ESY002</t>
  </si>
  <si>
    <t>Toma de densidades</t>
  </si>
  <si>
    <t>ENSAYOS</t>
  </si>
  <si>
    <t>Cargue mecánico de material</t>
  </si>
  <si>
    <t>Cerramiento con cinta de señalización, incluye poste en guadua</t>
  </si>
  <si>
    <t>Carga-Km</t>
  </si>
  <si>
    <t>Cargue de material manual</t>
  </si>
  <si>
    <t>Ángulo de 2" x 1/8"</t>
  </si>
  <si>
    <t>Base y cañuela para cámara de inspección d = 1,20 m en concreto de 20,7 Mpa</t>
  </si>
  <si>
    <t>Enrocados de fondo</t>
  </si>
  <si>
    <t>Placa de contrapiso en concreto de 20,7 Mpa e = 0,10 m</t>
  </si>
  <si>
    <t>Estribos y/o aletas en concreto ciclópeo</t>
  </si>
  <si>
    <t>Calados prefabricados en concreto</t>
  </si>
  <si>
    <t>Tornillo estructura drywall 8 x 1/2"</t>
  </si>
  <si>
    <t>Blanqueamiento con carburo (cal)</t>
  </si>
  <si>
    <t>Caballete fijo para teja ondulada de fibrocemento</t>
  </si>
  <si>
    <t>Ganchos para teja ondulada de fibrocemento</t>
  </si>
  <si>
    <t>Limatesa o limahoya de fibrocemento</t>
  </si>
  <si>
    <t>Ducha cromada de 1/2" con mezclador</t>
  </si>
  <si>
    <t>Rejilla de bronce de 3" x 2" con sosco</t>
  </si>
  <si>
    <t>Caballete articulado para teja ondulada de fibrocemento tipo española</t>
  </si>
  <si>
    <t>Bisagra de hierro para puerta</t>
  </si>
  <si>
    <t>Tachón en resina 0,4 x 0,15 x 0,08 m</t>
  </si>
  <si>
    <t>Ángulo para puente de 2" x 3/16"</t>
  </si>
  <si>
    <t>Columpio metálico de 3 puestos, pintado e instalado</t>
  </si>
  <si>
    <t>Columpio metálico de 2 puestos, pintado e instalado</t>
  </si>
  <si>
    <t>Ladrillo prensado tipo Santa Fe 24,5 x 12 x 5,5 cm</t>
  </si>
  <si>
    <t>Estopa</t>
  </si>
  <si>
    <t>Pomos de porcelana</t>
  </si>
  <si>
    <t>Par</t>
  </si>
  <si>
    <t>Profesional en salud ocupacional</t>
  </si>
  <si>
    <t>Mes</t>
  </si>
  <si>
    <t>EQU015</t>
  </si>
  <si>
    <t>Pulidora sin operario</t>
  </si>
  <si>
    <t>Conjunto desagüe flexible para lavadero de 1 1/2" con canastillas</t>
  </si>
  <si>
    <t>Poste para cerramiento en concreto 3,00 m</t>
  </si>
  <si>
    <t>Bloque de cemento de 0,14 x 0,19 x 0,39 m</t>
  </si>
  <si>
    <t>Soldadura para hierro estructural</t>
  </si>
  <si>
    <t>Tubería galvanizada para cerramiento de 1 1/2" x 6 m</t>
  </si>
  <si>
    <t>Ladrillo farol rayado de 0,12 x 0,20 x 0,30 m</t>
  </si>
  <si>
    <t>Tablón de 0,20 x 0,20 m rojo</t>
  </si>
  <si>
    <t>Ángulo de 1 1/2" x 1/8"</t>
  </si>
  <si>
    <t>Bloque de cemento de 0,14 x 0,19 x 0,39 m estructural</t>
  </si>
  <si>
    <t>Yeso</t>
  </si>
  <si>
    <t>Barniz intemperie brillante</t>
  </si>
  <si>
    <t>Varilla esqueleto fina</t>
  </si>
  <si>
    <t>Tanque para agua plástico de 1.000 lt completo</t>
  </si>
  <si>
    <t>Tanque para agua plástico de 500 lt completo</t>
  </si>
  <si>
    <t>Pintura vinilo para exteriores koraza o similar</t>
  </si>
  <si>
    <t>Platinas para claraboya</t>
  </si>
  <si>
    <t>Jg</t>
  </si>
  <si>
    <t>Tanque para agua plástico de 250 lt completo</t>
  </si>
  <si>
    <t>Teja S l = 0,40 m a = 0,17 m</t>
  </si>
  <si>
    <t>Tapa poros referencia 7203 o similar</t>
  </si>
  <si>
    <t>Frescasa sin papel 2 1/2" x 15,24 x 1,22 m</t>
  </si>
  <si>
    <t>Tope para puerta (caucho - resorte)</t>
  </si>
  <si>
    <t>Nave metálica en lamina C 20 de 0,60 x 2,05 m, incluye anticorrosivo</t>
  </si>
  <si>
    <t>Nave metálica en lamina C 20 de 0,90 x 2,05 m, incluye anticorrosivo</t>
  </si>
  <si>
    <t>Marco metálica lamina C 20 a = 1,20 m, incluye anticorrosivo</t>
  </si>
  <si>
    <t>Ventanería metálica en lámina C 20, incluye anticorrosivo</t>
  </si>
  <si>
    <t>Silicona transparente sellador de vidrios</t>
  </si>
  <si>
    <t>Ventanería metálica en lámina C 20 de seguridad, incluye anticorrosivo</t>
  </si>
  <si>
    <t>Ventanería en ángulo de 1" x 1/8", incluye anticorrosivo</t>
  </si>
  <si>
    <t>Ángulo de 2" x 3/16"</t>
  </si>
  <si>
    <t>Cruces de HG 2"</t>
  </si>
  <si>
    <t>Codo de HG 2" x 90º</t>
  </si>
  <si>
    <t>Tee de HG 2"</t>
  </si>
  <si>
    <t>Tubería de HG de 3"</t>
  </si>
  <si>
    <t>Codo de HG 3" x 90º</t>
  </si>
  <si>
    <t>Tee de HG 3"</t>
  </si>
  <si>
    <t>EQU019</t>
  </si>
  <si>
    <t>Finisher (pavimentadora) con operario</t>
  </si>
  <si>
    <t>EQU020</t>
  </si>
  <si>
    <t>Carrotanque asfalto</t>
  </si>
  <si>
    <t>Tubería PVC sanitaria de 3"</t>
  </si>
  <si>
    <t>Icopor e = 1"</t>
  </si>
  <si>
    <t>Juegos infantiles de madera en pino, básico</t>
  </si>
  <si>
    <t>Juegos infantiles de madera en pino completo</t>
  </si>
  <si>
    <t>Juegos infantiles metálicos incluyen instalación wash primer y pintura: Pasamanos sencillo</t>
  </si>
  <si>
    <t>Accesorios PVC presión (% tubería)</t>
  </si>
  <si>
    <t>%Tub</t>
  </si>
  <si>
    <t>Accesorios CPVC 1/2" promedio de: T, codo 90º, U</t>
  </si>
  <si>
    <t>Tubería PF + UAD 1/2" (manguera)</t>
  </si>
  <si>
    <t>Collar de derivación unión platino de 4" x 1/2"</t>
  </si>
  <si>
    <t>Collar de derivación unión platino de 3" x 1/2"</t>
  </si>
  <si>
    <t>Collar de derivación unión platino de 2 1/2" x 1/2"</t>
  </si>
  <si>
    <t>Collar de derivación unión platino de 2" x 1/2"</t>
  </si>
  <si>
    <t>Adaptador PVC macho de 1 1/2" presión</t>
  </si>
  <si>
    <t>Adaptador PVC macho de 1" presión</t>
  </si>
  <si>
    <t>Adaptador PVC macho de 1/2" presión</t>
  </si>
  <si>
    <t>Adaptador macho PF + UAD 1/2"</t>
  </si>
  <si>
    <t>Registro de incorporación de 1/2"</t>
  </si>
  <si>
    <t>Llave de paso tipo Red White de 1 1/2"</t>
  </si>
  <si>
    <t>Llave de paso tipo Red White de 3/4"</t>
  </si>
  <si>
    <t>Adaptador PVC macho de 3/4" presión</t>
  </si>
  <si>
    <t>Medidor de 1"    volumétrico tipo "B"</t>
  </si>
  <si>
    <t>Llave terminal roscada de 1/2" pesada</t>
  </si>
  <si>
    <t>Hidrante tipo Milán de 3" extremo brida, incluye kit de nivelación</t>
  </si>
  <si>
    <t>Válvula de 3" sello de bronce extremo liso o junta hidráulica PVC</t>
  </si>
  <si>
    <t>Hidrante tipo Milán de 3" extremo liso, incluye kit de nivelación</t>
  </si>
  <si>
    <t>Válvula de 3" sello elástico extremo liso o junta hidráulica PVC</t>
  </si>
  <si>
    <t>Adaptador PVC macho de 2" presión</t>
  </si>
  <si>
    <t>Llave de paso tipo Red White de 2"</t>
  </si>
  <si>
    <t>Gabinete contra incendios completo tipo 3</t>
  </si>
  <si>
    <t>Accesorios PVC agua lluvia (% tubería)</t>
  </si>
  <si>
    <t xml:space="preserve">Soporte bajante PVC </t>
  </si>
  <si>
    <t>Tubería PVC agua lluvia cuadrada</t>
  </si>
  <si>
    <t>Tubería PVC de ventilación de 2"</t>
  </si>
  <si>
    <t>Tubería PVC de ventilación de 3"</t>
  </si>
  <si>
    <t>Tubería PVC sanitaria de 2"</t>
  </si>
  <si>
    <t>Tubería PVC sanitaria de 4"</t>
  </si>
  <si>
    <t>Tubería PVC sanitaria de 6"</t>
  </si>
  <si>
    <t>Vaselina</t>
  </si>
  <si>
    <t>EQU029</t>
  </si>
  <si>
    <t>Manejo de tubería</t>
  </si>
  <si>
    <t>MOB020</t>
  </si>
  <si>
    <t>MOB021</t>
  </si>
  <si>
    <t>EQU039</t>
  </si>
  <si>
    <t>Semilla de grama</t>
  </si>
  <si>
    <t>Rll</t>
  </si>
  <si>
    <t>Flexocreto</t>
  </si>
  <si>
    <t>EQU042</t>
  </si>
  <si>
    <t>Bomba para concreto</t>
  </si>
  <si>
    <t>Plántula (nacedero, carey, leucaena, matarratón), altura promedio 0.25 m</t>
  </si>
  <si>
    <t>EQU036</t>
  </si>
  <si>
    <t>Plántula (vetiver, limoncillo, lirio y afines), altura promedio 0.25 m</t>
  </si>
  <si>
    <t>Cepas, macollas o matas de pasto</t>
  </si>
  <si>
    <t>Base de Datos Gobernación de Risaralda</t>
  </si>
  <si>
    <t>CÓDIGO</t>
  </si>
  <si>
    <t>MOB011</t>
  </si>
  <si>
    <t>Acarreo Horizontal</t>
  </si>
  <si>
    <t>% MO</t>
  </si>
  <si>
    <t>EQU002</t>
  </si>
  <si>
    <t>MOB012</t>
  </si>
  <si>
    <t>MOB016</t>
  </si>
  <si>
    <t>Cuadrilla F 6 Of + 4 Ay (jornal + prestaciones)</t>
  </si>
  <si>
    <t>Herramienta menor</t>
  </si>
  <si>
    <t>EQU001</t>
  </si>
  <si>
    <t>Control de agua</t>
  </si>
  <si>
    <t>EQU017</t>
  </si>
  <si>
    <t>EQU025</t>
  </si>
  <si>
    <t>Formaleta cono cámara</t>
  </si>
  <si>
    <t>EQU041</t>
  </si>
  <si>
    <t>Aro para baloncesto, incluye malla</t>
  </si>
  <si>
    <t>RENDIMIENTO, USOS, DESPEDICIOS</t>
  </si>
  <si>
    <t>VALOR PARCIAL</t>
  </si>
  <si>
    <t>Acarreo horizontal</t>
  </si>
  <si>
    <t>Herramienta menor (% mano obra)</t>
  </si>
  <si>
    <r>
      <t>M</t>
    </r>
    <r>
      <rPr>
        <vertAlign val="superscript"/>
        <sz val="10"/>
        <rFont val="Arial"/>
        <family val="2"/>
      </rPr>
      <t>3</t>
    </r>
  </si>
  <si>
    <t>Entibado (% mano obra)</t>
  </si>
  <si>
    <t>Control de aguas</t>
  </si>
  <si>
    <r>
      <t>M</t>
    </r>
    <r>
      <rPr>
        <vertAlign val="superscript"/>
        <sz val="10"/>
        <rFont val="Arial"/>
        <family val="2"/>
      </rPr>
      <t>2</t>
    </r>
  </si>
  <si>
    <t>Profesional de salud ocupacional</t>
  </si>
  <si>
    <t>Herbicida</t>
  </si>
  <si>
    <t>Transporte (% materiales)</t>
  </si>
  <si>
    <t>%Mat</t>
  </si>
  <si>
    <t>EQUIPO</t>
  </si>
  <si>
    <t>M . O</t>
  </si>
  <si>
    <t>MATERIALES</t>
  </si>
  <si>
    <t>Subsidio de Transporte (salario &lt;= 2 SMMLV)</t>
  </si>
  <si>
    <t>SALARIO &lt;= 2 SMMLV</t>
  </si>
  <si>
    <t>PERSONAL TÉCNICO, OPERATIVO
Riesgo Clase V</t>
  </si>
  <si>
    <t>PRESTACIONES SOCIALES</t>
  </si>
  <si>
    <t>Cesantías</t>
  </si>
  <si>
    <t>Intereses cesantías</t>
  </si>
  <si>
    <t>Vacaciones</t>
  </si>
  <si>
    <t>Prima</t>
  </si>
  <si>
    <t>SEGURIDAD SOCIAL</t>
  </si>
  <si>
    <t>OTROS APORTES</t>
  </si>
  <si>
    <t>I.C.B.F.</t>
  </si>
  <si>
    <t>Comfamiliar</t>
  </si>
  <si>
    <t>Aportes régimen contributivo de salud</t>
  </si>
  <si>
    <t>Dotación</t>
  </si>
  <si>
    <t>SALARIO &gt; 2 SMMLV</t>
  </si>
  <si>
    <t>NOMBRE</t>
  </si>
  <si>
    <t>ANÁLISIS MANO DE OBRA</t>
  </si>
  <si>
    <t>SALARIO MENSUAL</t>
  </si>
  <si>
    <t>Subsidio de transporte</t>
  </si>
  <si>
    <t>SALARIO + PRESTACIONES</t>
  </si>
  <si>
    <t>Ayudante</t>
  </si>
  <si>
    <t>Ayudante práctico</t>
  </si>
  <si>
    <t>Maestro de obra</t>
  </si>
  <si>
    <t>Minero</t>
  </si>
  <si>
    <t>Oficial eléctrico</t>
  </si>
  <si>
    <t>Oficial pintor</t>
  </si>
  <si>
    <t>Operador de maquinaria</t>
  </si>
  <si>
    <t>Soldador</t>
  </si>
  <si>
    <t>Topógrafo</t>
  </si>
  <si>
    <t>Oficial</t>
  </si>
  <si>
    <t>Cadenero 1</t>
  </si>
  <si>
    <t>Cadenero 2</t>
  </si>
  <si>
    <t>Análisis Mano de Obra Gobernación de Risaralda</t>
  </si>
  <si>
    <t>Ayudante eléctrico (jornal + prestaciones)</t>
  </si>
  <si>
    <r>
      <t>M</t>
    </r>
    <r>
      <rPr>
        <b/>
        <vertAlign val="superscript"/>
        <sz val="10"/>
        <rFont val="Arial"/>
        <family val="2"/>
      </rPr>
      <t>3</t>
    </r>
  </si>
  <si>
    <t>MOB004</t>
  </si>
  <si>
    <t>Ayudante práctico (jornal + prestaciones)</t>
  </si>
  <si>
    <t>EQU014</t>
  </si>
  <si>
    <t>Guadaña</t>
  </si>
  <si>
    <t>Alambre de púas C 14</t>
  </si>
  <si>
    <t>Volqueta 7 m3</t>
  </si>
  <si>
    <t>EQU021</t>
  </si>
  <si>
    <t>Compresor pintura</t>
  </si>
  <si>
    <t>EQU037</t>
  </si>
  <si>
    <t>EQU040</t>
  </si>
  <si>
    <t>Equipo soldadura eléctrica</t>
  </si>
  <si>
    <t>EQU043</t>
  </si>
  <si>
    <t>EQU044</t>
  </si>
  <si>
    <t>EQU045</t>
  </si>
  <si>
    <t>EQU047</t>
  </si>
  <si>
    <t>UN</t>
  </si>
  <si>
    <t>EQU048</t>
  </si>
  <si>
    <t>Material granular seleccionado</t>
  </si>
  <si>
    <t xml:space="preserve">Agua </t>
  </si>
  <si>
    <t>EQU049</t>
  </si>
  <si>
    <t>Plántula con especies diferentes guayacán, acacia, eucalipto, altura promedio 0.25</t>
  </si>
  <si>
    <t>Pirlán de bronce</t>
  </si>
  <si>
    <t>Concreto premezclado de 20,7 Mpa</t>
  </si>
  <si>
    <t>Concretadora gasolina 1 o 1 1/2 sacos</t>
  </si>
  <si>
    <t xml:space="preserve">Vibrocompactador manual </t>
  </si>
  <si>
    <t>Transporte de materiales en mula</t>
  </si>
  <si>
    <t>Compactador neumático  con tractor</t>
  </si>
  <si>
    <t>Agua</t>
  </si>
  <si>
    <t>Tubo galvanizado para cerramiento de 1 1/2" x 3 m incluye tapa.</t>
  </si>
  <si>
    <t>Vibrocompactador manual</t>
  </si>
  <si>
    <t>Tablilla fina para piso</t>
  </si>
  <si>
    <t>Nave en madera triplex de 0,90 x 2,05 m, entamborada</t>
  </si>
  <si>
    <t>Marco metálico en lámina C 20 de 0,80 x 2,05 m, incluye anticorrosivo</t>
  </si>
  <si>
    <t>Marco metálico en lámina C 20 de 1,20 x 2,05 m, incluye anticorrosivo</t>
  </si>
  <si>
    <t>Marco metálico en lámina C 20 de 0,90 x 2,05 m, incluye anticorrosivo</t>
  </si>
  <si>
    <t>Marco metálico en lámina C 20 de 0,60 x 2,05 m, incluye anticorrosivo</t>
  </si>
  <si>
    <t>Nave metálica en lamina C 20 de 0,80 x 2,05 m, incluye anticorrosivo</t>
  </si>
  <si>
    <t>Correa metálica 4 - 8  m, incluye templete y anticorrosivo</t>
  </si>
  <si>
    <t>Cruces de HG 3"</t>
  </si>
  <si>
    <r>
      <t>Volqueta 7 m</t>
    </r>
    <r>
      <rPr>
        <vertAlign val="superscript"/>
        <sz val="10"/>
        <rFont val="Arial"/>
        <family val="2"/>
      </rPr>
      <t>3</t>
    </r>
  </si>
  <si>
    <t>Reinstalación puerta y marco en lámina 2 naves, incluye resane y pintura</t>
  </si>
  <si>
    <t>Reinstalación puerta en madera y marco en lámina, incluye resane, pintura y barniz</t>
  </si>
  <si>
    <t>Reinstalación puerta en madera, suministro de marco en lámina, incluye resane, anticorrosivo, pintura y barniz</t>
  </si>
  <si>
    <t>Reinstalación puerta en lámina, suministro de marco en lámina, incluye resane, anticorrosivo y pintura</t>
  </si>
  <si>
    <t>Cama baja</t>
  </si>
  <si>
    <t xml:space="preserve">Cama baja </t>
  </si>
  <si>
    <t xml:space="preserve">Motoniveladora </t>
  </si>
  <si>
    <t>EQU050</t>
  </si>
  <si>
    <t>EQU051</t>
  </si>
  <si>
    <t>Restitución con afirmado y cemento 5 % del peso</t>
  </si>
  <si>
    <t>Lleno compactado con material del sitio manual</t>
  </si>
  <si>
    <t>MAT</t>
  </si>
  <si>
    <t xml:space="preserve">Compactador neumático con tractor </t>
  </si>
  <si>
    <t>Motoniveladora</t>
  </si>
  <si>
    <t>Cilindro compactador vibratorio Dynapac y tractor</t>
  </si>
  <si>
    <r>
      <t>Cargador 930 1,5 yd</t>
    </r>
    <r>
      <rPr>
        <vertAlign val="superscript"/>
        <sz val="10"/>
        <rFont val="Arial"/>
        <family val="2"/>
      </rPr>
      <t>3</t>
    </r>
    <r>
      <rPr>
        <sz val="10"/>
        <rFont val="Arial"/>
        <family val="2"/>
      </rPr>
      <t xml:space="preserve"> </t>
    </r>
  </si>
  <si>
    <t>MANO DE OBRA</t>
  </si>
  <si>
    <t>Concretadora gasolina  de 1 o 1 1/2 sacos</t>
  </si>
  <si>
    <t>Muro en afirmado reforzado con geotextil</t>
  </si>
  <si>
    <t>Transporte maquinaría pesada</t>
  </si>
  <si>
    <t>Cerramiento con cinta de señalización, incluye señalizador tubular, dos cintas</t>
  </si>
  <si>
    <t>Muro en tierra reforzado con geotextil</t>
  </si>
  <si>
    <t>Hidrante tipo Milán de 3" extremo liso, incluye válvula sello elástico y kit de  nivelación</t>
  </si>
  <si>
    <t>Ayudante eléctrico</t>
  </si>
  <si>
    <t>Cuadrilla K (1Of eléctrico+2Ay eléctricos) (jornal + prestaciones)</t>
  </si>
  <si>
    <t>Cuadrilla J (1 Of eléctrico+1Ay eléctrico) (jornal + prestaciones)</t>
  </si>
  <si>
    <t>MOB019</t>
  </si>
  <si>
    <t>MOB007</t>
  </si>
  <si>
    <t>Oficial eléctrico (jornal + prestaciones)</t>
  </si>
  <si>
    <t>Formaleta pavimento concreto L = 3m</t>
  </si>
  <si>
    <t>Pavimento en concreto 20,7 Mpa en obra, e = 0.15 m, incluye refuerzo, corte con disco y sello de juntas</t>
  </si>
  <si>
    <t>DESCRIPCIÓN</t>
  </si>
  <si>
    <t>UNIDAD</t>
  </si>
  <si>
    <t>VALOR UNITARIO</t>
  </si>
  <si>
    <t>M</t>
  </si>
  <si>
    <t>Kg</t>
  </si>
  <si>
    <t>Acometida hidráulica en tubería PVC de 1"</t>
  </si>
  <si>
    <t>Acometida hidráulica en tubería PVC de 1/2"</t>
  </si>
  <si>
    <t>Acometida hidráulica en tubería PVC de 3/4"</t>
  </si>
  <si>
    <t>M3</t>
  </si>
  <si>
    <t>Un</t>
  </si>
  <si>
    <t>Alzaprimada provisional en madera</t>
  </si>
  <si>
    <t>Barrera viva</t>
  </si>
  <si>
    <t>Barrera viva doble con vetiver, limoncillo, lirio y afines</t>
  </si>
  <si>
    <t>Barrera viva triple con vetiver, limoncillo, lirio y afines</t>
  </si>
  <si>
    <t>Calados de 20 x 20 x 10 cm en gres</t>
  </si>
  <si>
    <t>Carburo para canaleta (cal)</t>
  </si>
  <si>
    <t>Carburo para teja ondulada (cal)</t>
  </si>
  <si>
    <t>Cenefa en ladrillo visto en soga 2 hiladas</t>
  </si>
  <si>
    <t>Cerca viva (planta cada 2.5 m) nacedero, carey, leucaena, matarratón</t>
  </si>
  <si>
    <t>Cerca viva (planta cada 5 m) vainillo, guayacán, acacia, eucalipto</t>
  </si>
  <si>
    <t>Cerramiento en esterilla h = 1,80 m</t>
  </si>
  <si>
    <t>Cerramiento en guadua y zinc</t>
  </si>
  <si>
    <t>Cerramiento en poste de madera 3 hilos de alambre de púas</t>
  </si>
  <si>
    <t>Cerramiento provisional con señalizador y tela de cerramiento</t>
  </si>
  <si>
    <t>Cielo falso en aluminio anoloc e icopor perlita lisa</t>
  </si>
  <si>
    <t>Cinta antideslizante de 25 mm</t>
  </si>
  <si>
    <t>Cinta PVC V - 10</t>
  </si>
  <si>
    <t>Cinta PVC V - 15</t>
  </si>
  <si>
    <t>Collar de derivación de 2 1/2" x 1/2"</t>
  </si>
  <si>
    <t>Collar de derivación de 2" x 1/2"</t>
  </si>
  <si>
    <t>Collar de derivación de 3" x 1/2"</t>
  </si>
  <si>
    <t>Collar de derivación de 4" x 1/2"</t>
  </si>
  <si>
    <t>Corte con disco muro ambos lados</t>
  </si>
  <si>
    <t>Corte de baldosa existente</t>
  </si>
  <si>
    <t>Corte en conglomerado con máquina</t>
  </si>
  <si>
    <t>Cortina, muro y/o aletas en concreto ciclópeo</t>
  </si>
  <si>
    <t>Demolición anden</t>
  </si>
  <si>
    <t>Demolición baldosa</t>
  </si>
  <si>
    <t>Demolición calados en concreto o gres</t>
  </si>
  <si>
    <t>Demolición cono cámara</t>
  </si>
  <si>
    <t>Demolición cuerpo cámara</t>
  </si>
  <si>
    <t>Demolición de mesón</t>
  </si>
  <si>
    <t>Demolición enchape y/o revoque</t>
  </si>
  <si>
    <t>Demolición escaleras sobre terreno</t>
  </si>
  <si>
    <t>Demolición losa sobre terreno</t>
  </si>
  <si>
    <t>Demolición manual de concreto</t>
  </si>
  <si>
    <t>Demolición manual de concreto ciclópeo</t>
  </si>
  <si>
    <t>Demolición placa aligerada</t>
  </si>
  <si>
    <t>Demolición sumidero</t>
  </si>
  <si>
    <t xml:space="preserve">Demolición viga estructural en concreto </t>
  </si>
  <si>
    <t>Desarme de gaviones</t>
  </si>
  <si>
    <t>Desmonte aparatos sanitarios, con recuperación de ellos</t>
  </si>
  <si>
    <t>Desmonte canal en lámina o PVC</t>
  </si>
  <si>
    <t>Desmonte de adoquines</t>
  </si>
  <si>
    <t>Desmonte de cerramiento en poste de madera y alambre de púas</t>
  </si>
  <si>
    <t>Desmonte de tubería de alcantarillado de 14" a 24"</t>
  </si>
  <si>
    <t>Desmonte de tubería de alcantarillado hasta 12"</t>
  </si>
  <si>
    <t>Desmonte de ventana metálicas o de madera</t>
  </si>
  <si>
    <t>Desmonte malla eslabonada</t>
  </si>
  <si>
    <t>Desmonte techo y estructura de madera</t>
  </si>
  <si>
    <t>Ha</t>
  </si>
  <si>
    <t>División para baño en aluminio anoloc y acrílico</t>
  </si>
  <si>
    <t>Empradización con prado kikuyo</t>
  </si>
  <si>
    <t>Empradización con prado trenza</t>
  </si>
  <si>
    <t>Empradización de taludes con trenza</t>
  </si>
  <si>
    <t>Filos y dilataciones</t>
  </si>
  <si>
    <t>Formaleta placa (básico)</t>
  </si>
  <si>
    <t>Geotextil no tejido 1,600</t>
  </si>
  <si>
    <t>Graniplast</t>
  </si>
  <si>
    <t>Gravilla lavada para paso de escalera h = 0,30 ch = 0,175 m</t>
  </si>
  <si>
    <t>Gravilla lavada y tablón para paso de escalera h = 0,30 ch = 0,175 m</t>
  </si>
  <si>
    <t>Hidrante tipo Milán de 3" extremo brida, incluye válvula sello de bronce y kit de nivelación</t>
  </si>
  <si>
    <t>Imprimación con asfalto líquido</t>
  </si>
  <si>
    <t>Juego infantil en pino básico</t>
  </si>
  <si>
    <t>Juego infantil en pino completo</t>
  </si>
  <si>
    <t>Junta de icopor e = 1"</t>
  </si>
  <si>
    <t>Lavado de paredes</t>
  </si>
  <si>
    <t>Lavamanos tipo Acuacer de colgar con grifería</t>
  </si>
  <si>
    <t>Lavamanos tipo Avanti de pedestal con grifería</t>
  </si>
  <si>
    <t>Lavamanos tipo Marsella de sobreponer con grifería</t>
  </si>
  <si>
    <t>Limpieza de superficies de moho</t>
  </si>
  <si>
    <t>Limpieza manual de cunetas revestidas  y canales en concreto (disipador, zanjas de coronación),  incluye retiro manual</t>
  </si>
  <si>
    <t>Limpieza y nivelación</t>
  </si>
  <si>
    <t>Llave de paso de 1 1/2" tipo Red White</t>
  </si>
  <si>
    <t>Llave de paso de 1" tipo Red White</t>
  </si>
  <si>
    <t>Llave de paso de 1/2" tipo Red White</t>
  </si>
  <si>
    <t>Llave de paso de 2" tipo Red White</t>
  </si>
  <si>
    <t>Llave de paso de 3/4" tipo Red White</t>
  </si>
  <si>
    <t>Llave terminal cromada de 1/2"</t>
  </si>
  <si>
    <t>Llave terminal de cobre roscada de 1/2"</t>
  </si>
  <si>
    <t>Localización y replanteo</t>
  </si>
  <si>
    <t>Localización y replanteo para pavimentación de vías (3 líneas, 3 instancias)</t>
  </si>
  <si>
    <t>Mantenimiento de pozos sépticos para baterías de 3 unidades</t>
  </si>
  <si>
    <t>Marcas viales</t>
  </si>
  <si>
    <t>Mateado</t>
  </si>
  <si>
    <t>Medidor de 1" volumétrico tipo "B"</t>
  </si>
  <si>
    <t>Medidor de 1/2" volumétrico tipo "C"</t>
  </si>
  <si>
    <t>Medidor de 3/4" volumétrico tipo "B"</t>
  </si>
  <si>
    <t>Muro en ladrillo farol pandereta e = 0,10 m</t>
  </si>
  <si>
    <t>Muro en ladrillo farol pandereta e = 0,12 m</t>
  </si>
  <si>
    <t>Muro en ladrillo prensado visto en soga</t>
  </si>
  <si>
    <t>Muro en ladrillo tolete en pandereta</t>
  </si>
  <si>
    <t>Muro en ladrillo tolete en soga</t>
  </si>
  <si>
    <t>Nivelación terreno con material del sitio</t>
  </si>
  <si>
    <t>Paleteros</t>
  </si>
  <si>
    <t>Jr</t>
  </si>
  <si>
    <t>Pasamanos en tubería de H. G. de 3", incluye accesorios</t>
  </si>
  <si>
    <t>Pintura con esmalte guarda escobas, h = 0,10 m, incluye resane</t>
  </si>
  <si>
    <t>Piso en tablilla machihembrada, incluye imprimante y barniz</t>
  </si>
  <si>
    <t>Poceta de acero inoxidable de 0,60 x 0,40 m, incluye grifería, sifón de 2" y canastilla</t>
  </si>
  <si>
    <t>Pocetas y cabezotes en concreto ciclópeo</t>
  </si>
  <si>
    <t>Polietileno negro C 4 a = 3 m</t>
  </si>
  <si>
    <t>Puerta en lámina C 20 0,60 x 2,05 m, incluye anticorrosivo, pintura, chapa, manija y tope</t>
  </si>
  <si>
    <t>Puerta en lámina C 20 1,00 x 2,05 m, incluye anticorrosivo, pintura, chapa portón, manija y tope</t>
  </si>
  <si>
    <t>Puerta en lámina C 20 1,20 x 2,05 m (2 naves), incluye anticorrosivo, pintura, chapa tipo portón, manija y tope</t>
  </si>
  <si>
    <t>Recorrido de techos en teja de barro</t>
  </si>
  <si>
    <t>Regata de muros</t>
  </si>
  <si>
    <t>Registro de corte de 1/2"</t>
  </si>
  <si>
    <t>Reinstalación ventana de aluminio</t>
  </si>
  <si>
    <t>Reinstalación ventana metálica en lámina, incluye pintura</t>
  </si>
  <si>
    <t>Reja metálica de seguridad de 1/2" en varilla cuadrada, incluye anticorrosivo y pintura</t>
  </si>
  <si>
    <t>Remoción manual de derrumbes, no incluye retiro</t>
  </si>
  <si>
    <t>Renivelación banca incluye escarificación y conformación</t>
  </si>
  <si>
    <t>Km</t>
  </si>
  <si>
    <t>Resane cielo raso con malla</t>
  </si>
  <si>
    <t>Resane muro con malla</t>
  </si>
  <si>
    <t>Resane muro cosido y malla</t>
  </si>
  <si>
    <t>Revoque cielo raso, incluye dilataciones y filos</t>
  </si>
  <si>
    <t>Revoque de bajantes, incluye malla</t>
  </si>
  <si>
    <t>Revoque muro impermeabilizado, incluye dilataciones y filos</t>
  </si>
  <si>
    <t>Revoque muro incluye dilataciones y filos</t>
  </si>
  <si>
    <t>Sanitario infantil blanco con grifería</t>
  </si>
  <si>
    <t>Señal vertical de 0,60 m (con cinta reflectiva)</t>
  </si>
  <si>
    <t>Señal vertical de 0,90 m (con cinta reflectiva)</t>
  </si>
  <si>
    <t>Sobre cimiento h = 0,20 m revoque impermeabilizado 2 caras</t>
  </si>
  <si>
    <t>Suministro y colocación de papel de colgadura</t>
  </si>
  <si>
    <t>Tanque para agua, plástico de 1,000 lt, completo (flotador)</t>
  </si>
  <si>
    <t>Tanque para agua, plástico de 250 lt, completo (flotador)</t>
  </si>
  <si>
    <t>Tanque para agua, plástico de 500 lt, completo (flotador)</t>
  </si>
  <si>
    <t>Tapa plástica de registro de 0,20 x 0,20 m</t>
  </si>
  <si>
    <t>Tela para protección de edificios</t>
  </si>
  <si>
    <t>Terraplén con material del sitio</t>
  </si>
  <si>
    <t>Transporte material asfáltico</t>
  </si>
  <si>
    <t>Trinchos doble en guadua h libre = 1,00 m</t>
  </si>
  <si>
    <t>Trinchos en cañabrava</t>
  </si>
  <si>
    <t>Trinchos en esterilla h libre = 0,60 m</t>
  </si>
  <si>
    <t>Trinchos en guadua h libre = 1,00 m</t>
  </si>
  <si>
    <t>Tubería en concreto vibrada reforzada unión caucho de 24" C 2</t>
  </si>
  <si>
    <t>Tubería en concreto vibrada reforzada unión caucho de 30" C 2</t>
  </si>
  <si>
    <t>Tubería en concreto vibrada reforzada unión caucho de 36" C 2</t>
  </si>
  <si>
    <t>Tubería en concreto vibrada reforzada unión caucho de 40" C 2</t>
  </si>
  <si>
    <t>Tubería en concreto vibrada reforzada unión caucho de 48" C 2</t>
  </si>
  <si>
    <t>Tubería en concreto vibrada reforzada unión caucho de 52" C 2</t>
  </si>
  <si>
    <t>Tubería en concreto vibrada reforzada unión caucho de 60" C 2</t>
  </si>
  <si>
    <t>Tubería en concreto vibrada unión caucho de 10" C 2</t>
  </si>
  <si>
    <t>Tubería en concreto vibrada unión caucho de 12" C 2</t>
  </si>
  <si>
    <t>Tubería en concreto vibrada unión caucho de 15" C 2</t>
  </si>
  <si>
    <t>Tubería en concreto vibrada unión caucho de 16" C 2</t>
  </si>
  <si>
    <t>Tubería en concreto vibrada unión caucho de 18" C 2</t>
  </si>
  <si>
    <t>Tubería en concreto vibrada unión caucho de 21" C 2</t>
  </si>
  <si>
    <t>Tubería en concreto vibrada unión caucho de 24" C 2</t>
  </si>
  <si>
    <t>Tubería PF + UAD de 1/2"</t>
  </si>
  <si>
    <t>Tubería PVC agua lluvia de 2"</t>
  </si>
  <si>
    <t>Tubería PVC agua lluvia de 3"</t>
  </si>
  <si>
    <t>Tubería PVC agua lluvia de 4"</t>
  </si>
  <si>
    <t>Tubería PVC de ventilación de 2", incluye accesorios</t>
  </si>
  <si>
    <t>Tubería PVC de ventilación de 3", incluye accesorios</t>
  </si>
  <si>
    <t>Tubería PVC perforada de 4" (100 mm)</t>
  </si>
  <si>
    <t>Tubería PVC perforada de 6" (160 mm)</t>
  </si>
  <si>
    <t>Tubería PVC perforada de 8" (200 mm)</t>
  </si>
  <si>
    <t>Tubería PVC sanitaria de 2", incluye accesorios</t>
  </si>
  <si>
    <t>Tubería PVC sanitaria de 3", incluye accesorios</t>
  </si>
  <si>
    <t>Tubería PVC sanitaria de 4", incluye accesorios</t>
  </si>
  <si>
    <t>Tubería PVC sanitaria de 6", incluye accesorios</t>
  </si>
  <si>
    <t>Unión de reparación de 2 1/2"</t>
  </si>
  <si>
    <t>Unión de reparación de 2"</t>
  </si>
  <si>
    <t>Unión de reparación de 3"</t>
  </si>
  <si>
    <t>Unión de reparación de 4"</t>
  </si>
  <si>
    <t>Unión de reparación de 6"</t>
  </si>
  <si>
    <t>Unión de reparación de 8"</t>
  </si>
  <si>
    <t>Zarpa en concreto ciclópeo</t>
  </si>
  <si>
    <t>MOB003</t>
  </si>
  <si>
    <t>Ayudante (jornal + prestaciones)</t>
  </si>
  <si>
    <t>Día</t>
  </si>
  <si>
    <t>%MO</t>
  </si>
  <si>
    <t>MOB005</t>
  </si>
  <si>
    <t>Cuadrilla A 1 Of + 4 Ay (jornal + prestaciones)</t>
  </si>
  <si>
    <t>Puntilla de 3"</t>
  </si>
  <si>
    <t>Lb</t>
  </si>
  <si>
    <t>Guadua basa longitud promedio = 5 m</t>
  </si>
  <si>
    <t>Cuartón de sajo 2" x 4" x 2,9 m</t>
  </si>
  <si>
    <t>Listón sajo de 5 x 3 cm x 2,5 m (varilla)</t>
  </si>
  <si>
    <t>MOB010</t>
  </si>
  <si>
    <t>EQU011</t>
  </si>
  <si>
    <t>MOB018</t>
  </si>
  <si>
    <t>Cuadrilla H 4 Ay (jornal + prestaciones)</t>
  </si>
  <si>
    <t>EQU006</t>
  </si>
  <si>
    <t>MOB002</t>
  </si>
  <si>
    <t>Oficial (jornal + prestaciones)</t>
  </si>
  <si>
    <t>Material de peña (recebo) en cantera</t>
  </si>
  <si>
    <t>Esterilla</t>
  </si>
  <si>
    <t>Puntilla (promedio)</t>
  </si>
  <si>
    <t>Alambre negro calibre 18 - 19</t>
  </si>
  <si>
    <t>MOB014</t>
  </si>
  <si>
    <t>Cuadrilla D 2 Of + 4 Ay (jornal + prestaciones)</t>
  </si>
  <si>
    <t>MOB017</t>
  </si>
  <si>
    <t>Cuadrilla G 1 Of + 2 Ay (jornal + prestaciones)</t>
  </si>
  <si>
    <t>EQU016</t>
  </si>
  <si>
    <t>Motobomba sumergible 3" con manguera</t>
  </si>
  <si>
    <t>MOB006</t>
  </si>
  <si>
    <t>Cuadrilla B 1 Min + 2 Ay (jornal + prestaciones)</t>
  </si>
  <si>
    <t>EQU005</t>
  </si>
  <si>
    <t>Hr</t>
  </si>
  <si>
    <t>EQU004</t>
  </si>
  <si>
    <t>Sc</t>
  </si>
  <si>
    <t>Lt</t>
  </si>
  <si>
    <t>MOB013</t>
  </si>
  <si>
    <t>Cuadrilla C 1 Of + 7 Ay (jornal + prestaciones)</t>
  </si>
  <si>
    <t>EQU003</t>
  </si>
  <si>
    <t>EQU012</t>
  </si>
  <si>
    <t>Tierra no vegetal</t>
  </si>
  <si>
    <t>EQU022</t>
  </si>
  <si>
    <t>EQU008</t>
  </si>
  <si>
    <t>EQU013</t>
  </si>
  <si>
    <t>EQU023</t>
  </si>
  <si>
    <t>Carrotanque agua</t>
  </si>
  <si>
    <t>Afirmado</t>
  </si>
  <si>
    <t>Material seleccionado para filtro</t>
  </si>
  <si>
    <t>EQU009</t>
  </si>
  <si>
    <t>EQU010</t>
  </si>
  <si>
    <t>Tabla para formaleta de 1" x 10" x 2,9 m</t>
  </si>
  <si>
    <t xml:space="preserve">Alambre galvanizado C 12 </t>
  </si>
  <si>
    <t>Geotextil no tejido 1,600 a = 3,50 m</t>
  </si>
  <si>
    <t>Prado trenza</t>
  </si>
  <si>
    <t>Estacas de guadua</t>
  </si>
  <si>
    <t>Tierra vegetal</t>
  </si>
  <si>
    <t>Arenón</t>
  </si>
  <si>
    <t>Prado kikuyo</t>
  </si>
  <si>
    <t>Geotextil tejido 2.400 a = 3,85 m</t>
  </si>
  <si>
    <t>ACPM</t>
  </si>
  <si>
    <t>Gl</t>
  </si>
  <si>
    <t>Pintura esmalte para exteriores</t>
  </si>
  <si>
    <t>MOB015</t>
  </si>
  <si>
    <t>Cuadrilla E 1 Of + 1 Ay (jornal + prestaciones)</t>
  </si>
  <si>
    <t>EQU030</t>
  </si>
  <si>
    <t>EQU031</t>
  </si>
  <si>
    <t>Arena</t>
  </si>
  <si>
    <t>EQU033</t>
  </si>
  <si>
    <t>EQU032</t>
  </si>
  <si>
    <t>Azadones con cabo</t>
  </si>
  <si>
    <t>Lima plana con mango de 8"</t>
  </si>
  <si>
    <t>Pica con cabo</t>
  </si>
  <si>
    <t>Papelería, fotografías, fotocopias - rocerías</t>
  </si>
  <si>
    <t>EQU034</t>
  </si>
  <si>
    <t>EQU035</t>
  </si>
  <si>
    <t>EQU024</t>
  </si>
  <si>
    <t>EQU038</t>
  </si>
  <si>
    <t>Cg</t>
  </si>
  <si>
    <t>Telera de 3,5 x 24 cm x 2,9 m de sajo</t>
  </si>
  <si>
    <t>Señalizador tubular de 1 m (2 líneas de cinta)</t>
  </si>
  <si>
    <t>Tela de cerramiento a = 2,10 m (rollo por 100 m)</t>
  </si>
  <si>
    <t>EQU007</t>
  </si>
  <si>
    <t>Ángulo de 1" x 1/8"</t>
  </si>
  <si>
    <t>Ladrillo tolete común</t>
  </si>
  <si>
    <t>EQU028</t>
  </si>
  <si>
    <t>Formaleta cuerpo cámara inspección 1,20 m</t>
  </si>
  <si>
    <t>EQU018</t>
  </si>
  <si>
    <t>Vibrador eléctrico o a gasolina</t>
  </si>
  <si>
    <t>EQU026</t>
  </si>
  <si>
    <t>Regla vibradora</t>
  </si>
  <si>
    <t>EQU027</t>
  </si>
  <si>
    <t>Malla de gallinero o hexagonal</t>
  </si>
  <si>
    <t>Steeldeck, C 22 0,94 x 5,60 m e = 0,75 mm, perfil e = 1,5 mm 90 x 130 mm l = 6 m</t>
  </si>
  <si>
    <t>Plántula (vainillo, guayacán (varios colores), acacia, eucalipto, guadua, guamo, gualanday, chachafruto, cámbulo), altura promedio 0.25 m</t>
  </si>
  <si>
    <t>Boca puerta en granito pulido, incluye dilataciones de bronce, a = 0,15 m</t>
  </si>
  <si>
    <t>Cemento blanco</t>
  </si>
  <si>
    <t>Piso tipo Duropiso de 33 x 33 cm</t>
  </si>
  <si>
    <t>Aportes FIC</t>
  </si>
  <si>
    <t>Tubería PVC de alcantarillado de pared estructural d = 30", exterior corrugado.</t>
  </si>
  <si>
    <t>Tubería PVC de alcantarillado de pared estructural d = 30", exterior corrugado</t>
  </si>
  <si>
    <t>Tubería PVC de alcantarillado de pared estructural d = 27", exterior corrugado</t>
  </si>
  <si>
    <t>Tubería PVC de alcantarillado de pared estructural d = 36", exterior corrugado</t>
  </si>
  <si>
    <t>m</t>
  </si>
  <si>
    <t>Tubería PVC de alcantarillado de pared estructural d = 42", exterior corrugado</t>
  </si>
  <si>
    <t>Pintura vinilo tipo II</t>
  </si>
  <si>
    <t>MOB022</t>
  </si>
  <si>
    <t>Cuadrilla L 2 Of + 8 Ay (jornal + prestaciones)</t>
  </si>
  <si>
    <t>un</t>
  </si>
  <si>
    <t>Paleta pare - siga en polietileno y texto reflectivo, de 45 cm</t>
  </si>
  <si>
    <t>Asfalto líquido MC-30 para imprimar</t>
  </si>
  <si>
    <t>Cuadrilla M 1 Of + 3 Ay (jornal + prestaciones)</t>
  </si>
  <si>
    <t>Lleno compactado con afirmado manual</t>
  </si>
  <si>
    <t>Disposición en botadero</t>
  </si>
  <si>
    <t>Cuadrilla E 1 Of + 2 Ay (jornal + prestaciones)</t>
  </si>
  <si>
    <t>Tubería CPVC presión de 1/2" 100 PSI</t>
  </si>
  <si>
    <t>Cheque de 1" en bronce</t>
  </si>
  <si>
    <t>Cheque de 1/2" en bronce</t>
  </si>
  <si>
    <t>Microesferas reflectivas</t>
  </si>
  <si>
    <t>EQU058</t>
  </si>
  <si>
    <t>1 - 06 PISOS Y ENCHAPES</t>
  </si>
  <si>
    <t>1 - 08 CUBIERTAS</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</si>
  <si>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</si>
  <si>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</si>
  <si>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</si>
  <si>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</si>
  <si>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</si>
  <si>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</si>
  <si>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</si>
  <si>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</si>
  <si>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</si>
  <si>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</si>
  <si>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</si>
  <si>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</si>
  <si>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</si>
  <si>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</si>
  <si>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</si>
  <si>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</si>
  <si>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</si>
  <si>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</si>
  <si>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</si>
  <si>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</si>
  <si>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</si>
  <si>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</si>
  <si>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</si>
  <si>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</si>
  <si>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</si>
  <si>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</si>
  <si>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1-01-27</t>
  </si>
  <si>
    <t>1-01-28</t>
  </si>
  <si>
    <t>1-01-29</t>
  </si>
  <si>
    <t>1-02-01</t>
  </si>
  <si>
    <t>1-02-02</t>
  </si>
  <si>
    <t>1-02-03</t>
  </si>
  <si>
    <t>1-02-04</t>
  </si>
  <si>
    <t>1-02-05</t>
  </si>
  <si>
    <t>1-02-06</t>
  </si>
  <si>
    <t>1-02-07</t>
  </si>
  <si>
    <t>1-02-08</t>
  </si>
  <si>
    <t>1-02-09</t>
  </si>
  <si>
    <t>1-02-10</t>
  </si>
  <si>
    <t>1-02-11</t>
  </si>
  <si>
    <t>1-02-12</t>
  </si>
  <si>
    <t>1-02-13</t>
  </si>
  <si>
    <t>1-02-14</t>
  </si>
  <si>
    <t>1-02-15</t>
  </si>
  <si>
    <t>1-02-16</t>
  </si>
  <si>
    <t>1-02-17</t>
  </si>
  <si>
    <t>1-02-18</t>
  </si>
  <si>
    <t>1-02-19</t>
  </si>
  <si>
    <t>1-02-20</t>
  </si>
  <si>
    <t>1-02-21</t>
  </si>
  <si>
    <t>1-02-22</t>
  </si>
  <si>
    <t>1-02-23</t>
  </si>
  <si>
    <t>1-02-24</t>
  </si>
  <si>
    <t>1-02-25</t>
  </si>
  <si>
    <t>1-02-26</t>
  </si>
  <si>
    <t>1-02-27</t>
  </si>
  <si>
    <t>1-02-28</t>
  </si>
  <si>
    <t>1-02-29</t>
  </si>
  <si>
    <t>1-02-30</t>
  </si>
  <si>
    <t>1-02-31</t>
  </si>
  <si>
    <t>1-02-32</t>
  </si>
  <si>
    <t>1-02-33</t>
  </si>
  <si>
    <t>1-02-34</t>
  </si>
  <si>
    <t>1-03-01</t>
  </si>
  <si>
    <t>1-04-01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</si>
  <si>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</si>
  <si>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</si>
  <si>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</si>
  <si>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</si>
  <si>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</si>
  <si>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</si>
  <si>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</si>
  <si>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</si>
  <si>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</si>
  <si>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</si>
  <si>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</si>
  <si>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</si>
  <si>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</si>
  <si>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</si>
  <si>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</si>
  <si>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</si>
  <si>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</si>
  <si>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</si>
  <si>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</si>
  <si>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</si>
  <si>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</si>
  <si>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</si>
  <si>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</si>
  <si>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</si>
  <si>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</si>
  <si>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1-04-02</t>
  </si>
  <si>
    <t>1-04-03</t>
  </si>
  <si>
    <t>1-04-04</t>
  </si>
  <si>
    <t>G-01-01</t>
  </si>
  <si>
    <t>G-01-02</t>
  </si>
  <si>
    <t>G-01-03</t>
  </si>
  <si>
    <t>G-01-04</t>
  </si>
  <si>
    <t>G-01-05</t>
  </si>
  <si>
    <t>G-01-06</t>
  </si>
  <si>
    <t>G-01-07</t>
  </si>
  <si>
    <t>G-01-08</t>
  </si>
  <si>
    <t>G-01-09</t>
  </si>
  <si>
    <t>G-01-10</t>
  </si>
  <si>
    <t>G-01-11</t>
  </si>
  <si>
    <t>G-01-12</t>
  </si>
  <si>
    <t>G-01-13</t>
  </si>
  <si>
    <t>G-01-14</t>
  </si>
  <si>
    <t>G-01-15</t>
  </si>
  <si>
    <t>G-01-16</t>
  </si>
  <si>
    <t>G-01-17</t>
  </si>
  <si>
    <t>G-02-01</t>
  </si>
  <si>
    <t>G-02-02</t>
  </si>
  <si>
    <t>G-02-03</t>
  </si>
  <si>
    <t>G-03-01</t>
  </si>
  <si>
    <t>G-03-02</t>
  </si>
  <si>
    <t>G-03-03</t>
  </si>
  <si>
    <t>G-03-04</t>
  </si>
  <si>
    <t>G-01-18</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</si>
  <si>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</si>
  <si>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</si>
  <si>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</si>
  <si>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</si>
  <si>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</si>
  <si>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</si>
  <si>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</si>
  <si>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</si>
  <si>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</si>
  <si>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</si>
  <si>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</si>
  <si>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</si>
  <si>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</si>
  <si>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</si>
  <si>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</si>
  <si>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</si>
  <si>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</si>
  <si>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</si>
  <si>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</si>
  <si>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</si>
  <si>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</si>
  <si>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</si>
  <si>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</si>
  <si>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</si>
  <si>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</si>
  <si>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</si>
  <si>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</si>
  <si>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</si>
  <si>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</si>
  <si>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</si>
  <si>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</si>
  <si>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</si>
  <si>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</si>
  <si>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</si>
  <si>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</si>
  <si>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</si>
  <si>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</si>
  <si>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</si>
  <si>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</si>
  <si>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1-04-45</t>
  </si>
  <si>
    <t>1-04-46</t>
  </si>
  <si>
    <t>1-04-47</t>
  </si>
  <si>
    <t>1-04-48</t>
  </si>
  <si>
    <t>1-04-49</t>
  </si>
  <si>
    <t>1-04-50</t>
  </si>
  <si>
    <t>1-04-51</t>
  </si>
  <si>
    <t>1-04-52</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</si>
  <si>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</si>
  <si>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</si>
  <si>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</si>
  <si>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</si>
  <si>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</si>
  <si>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</si>
  <si>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</si>
  <si>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</si>
  <si>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</si>
  <si>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</si>
  <si>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</si>
  <si>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</si>
  <si>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</si>
  <si>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</si>
  <si>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</si>
  <si>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</si>
  <si>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</si>
  <si>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</si>
  <si>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</si>
  <si>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</si>
  <si>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</si>
  <si>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</si>
  <si>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</si>
  <si>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</si>
  <si>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</si>
  <si>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</si>
  <si>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</si>
  <si>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1-07-01</t>
  </si>
  <si>
    <t>1-07-03</t>
  </si>
  <si>
    <t>1-07-04</t>
  </si>
  <si>
    <t>1-07-05</t>
  </si>
  <si>
    <t>1-07-06</t>
  </si>
  <si>
    <t>1-07-07</t>
  </si>
  <si>
    <t>1-07-08</t>
  </si>
  <si>
    <t>1-07-09</t>
  </si>
  <si>
    <t>1-07-10</t>
  </si>
  <si>
    <t>1-07-11</t>
  </si>
  <si>
    <t>1-07-12</t>
  </si>
  <si>
    <t>1-07-13</t>
  </si>
  <si>
    <t>1-07-14</t>
  </si>
  <si>
    <t>1-07-15</t>
  </si>
  <si>
    <t>1-07-16</t>
  </si>
  <si>
    <t>1-07-17</t>
  </si>
  <si>
    <t>1-07-18</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</si>
  <si>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</si>
  <si>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</si>
  <si>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</si>
  <si>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</si>
  <si>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</si>
  <si>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</si>
  <si>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</si>
  <si>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</si>
  <si>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</si>
  <si>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</si>
  <si>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</si>
  <si>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</si>
  <si>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</si>
  <si>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</si>
  <si>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</si>
  <si>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</si>
  <si>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</si>
  <si>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</si>
  <si>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</si>
  <si>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</si>
  <si>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</si>
  <si>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</si>
  <si>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</si>
  <si>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</si>
  <si>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</si>
  <si>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</si>
  <si>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</si>
  <si>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</si>
  <si>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</si>
  <si>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</si>
  <si>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</si>
  <si>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1-10-01</t>
  </si>
  <si>
    <t>1-10-02</t>
  </si>
  <si>
    <t>1-10-03</t>
  </si>
  <si>
    <t>1-10-04</t>
  </si>
  <si>
    <t>1-10-05</t>
  </si>
  <si>
    <t>1-10-06</t>
  </si>
  <si>
    <t>1-11-01</t>
  </si>
  <si>
    <t>1-11-02</t>
  </si>
  <si>
    <t>1-11-03</t>
  </si>
  <si>
    <t>1-11-04</t>
  </si>
  <si>
    <t>1-11-05</t>
  </si>
  <si>
    <t>1-11-06</t>
  </si>
  <si>
    <t>1-11-07</t>
  </si>
  <si>
    <t>1-11-08</t>
  </si>
  <si>
    <t>1-11-09</t>
  </si>
  <si>
    <t>1-11-10</t>
  </si>
  <si>
    <t>1-11-11</t>
  </si>
  <si>
    <t>1-11-12</t>
  </si>
  <si>
    <t>1-11-13</t>
  </si>
  <si>
    <t>1-11-14</t>
  </si>
  <si>
    <t>1-11-15</t>
  </si>
  <si>
    <t>1-11-16</t>
  </si>
  <si>
    <t>1-11-17</t>
  </si>
  <si>
    <t>1-11-18</t>
  </si>
  <si>
    <t>1-11-19</t>
  </si>
  <si>
    <t>1-11-20</t>
  </si>
  <si>
    <t>1-11-22</t>
  </si>
  <si>
    <t>1-11-23</t>
  </si>
  <si>
    <t>1-11-24</t>
  </si>
  <si>
    <t>1-11-25</t>
  </si>
  <si>
    <t>1-11-26</t>
  </si>
  <si>
    <t>1-11-27</t>
  </si>
  <si>
    <t>1-11-28</t>
  </si>
  <si>
    <t>1-11-29</t>
  </si>
  <si>
    <t>1-11-30</t>
  </si>
  <si>
    <t>1-11-31</t>
  </si>
  <si>
    <t>1-11-32</t>
  </si>
  <si>
    <t>1-11-33</t>
  </si>
  <si>
    <t>1-11-34</t>
  </si>
  <si>
    <t>1-11-35</t>
  </si>
  <si>
    <t>1-11-36</t>
  </si>
  <si>
    <t>1-11-37</t>
  </si>
  <si>
    <t>1-11-38</t>
  </si>
  <si>
    <t>1-11-39</t>
  </si>
  <si>
    <t>1-11-40</t>
  </si>
  <si>
    <t>1-11-41</t>
  </si>
  <si>
    <t>1-11-42</t>
  </si>
  <si>
    <t>1-11-43</t>
  </si>
  <si>
    <t>1-12-01</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</si>
  <si>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</si>
  <si>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</si>
  <si>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</si>
  <si>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</si>
  <si>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</si>
  <si>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</si>
  <si>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</si>
  <si>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</si>
  <si>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</si>
  <si>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</si>
  <si>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</si>
  <si>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</si>
  <si>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</si>
  <si>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</si>
  <si>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</si>
  <si>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</si>
  <si>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</si>
  <si>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</si>
  <si>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</si>
  <si>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</si>
  <si>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</si>
  <si>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</si>
  <si>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</si>
  <si>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</si>
  <si>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</si>
  <si>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1-12-27</t>
  </si>
  <si>
    <t>1-12-28</t>
  </si>
  <si>
    <t>1-12-29</t>
  </si>
  <si>
    <t>1-12-30</t>
  </si>
  <si>
    <t>1-12-31</t>
  </si>
  <si>
    <t>1-12-32</t>
  </si>
  <si>
    <t>1-12-33</t>
  </si>
  <si>
    <t>1-12-34</t>
  </si>
  <si>
    <t>1-12-35</t>
  </si>
  <si>
    <t>1-12-36</t>
  </si>
  <si>
    <t>1-12-37</t>
  </si>
  <si>
    <t>1-12-38</t>
  </si>
  <si>
    <t>1-12-39</t>
  </si>
  <si>
    <t>1-12-40</t>
  </si>
  <si>
    <t>1-12-41</t>
  </si>
  <si>
    <t>1-12-42</t>
  </si>
  <si>
    <t>1-12-43</t>
  </si>
  <si>
    <t>1-12-44</t>
  </si>
  <si>
    <t>1-12-45</t>
  </si>
  <si>
    <t>1-12-46</t>
  </si>
  <si>
    <t>1-12-47</t>
  </si>
  <si>
    <t>1-12-48</t>
  </si>
  <si>
    <t>1-12-49</t>
  </si>
  <si>
    <t>1-12-50</t>
  </si>
  <si>
    <t>1-12-51</t>
  </si>
  <si>
    <t>1-12-52</t>
  </si>
  <si>
    <t>1-12-53</t>
  </si>
  <si>
    <t>1-12-54</t>
  </si>
  <si>
    <t>1-12-55</t>
  </si>
  <si>
    <t>1-12-56</t>
  </si>
  <si>
    <t>1-12-57</t>
  </si>
  <si>
    <t>1-13-01</t>
  </si>
  <si>
    <t>1-13-03</t>
  </si>
  <si>
    <t>1-13-04</t>
  </si>
  <si>
    <t>1-13-05</t>
  </si>
  <si>
    <t>1-13-06</t>
  </si>
  <si>
    <t>1-13-07</t>
  </si>
  <si>
    <t>1-13-08</t>
  </si>
  <si>
    <t>1-13-09</t>
  </si>
  <si>
    <t>1-13-10</t>
  </si>
  <si>
    <t>1-13-11</t>
  </si>
  <si>
    <t>1-13-12</t>
  </si>
  <si>
    <t>1-13-13</t>
  </si>
  <si>
    <t>1-13-14</t>
  </si>
  <si>
    <t>1-13-15</t>
  </si>
  <si>
    <t>1-13-16</t>
  </si>
  <si>
    <t>1-13-17</t>
  </si>
  <si>
    <t>1-13-18</t>
  </si>
  <si>
    <t>1-14-01</t>
  </si>
  <si>
    <t>1-14-02</t>
  </si>
  <si>
    <t>1-14-03</t>
  </si>
  <si>
    <t>1-14-04</t>
  </si>
  <si>
    <t>1-14-05</t>
  </si>
  <si>
    <t>1-14-06</t>
  </si>
  <si>
    <t>1-14-07</t>
  </si>
  <si>
    <t>1-14-08</t>
  </si>
  <si>
    <t>1-14-09</t>
  </si>
  <si>
    <t>1-14-10</t>
  </si>
  <si>
    <t>1-14-11</t>
  </si>
  <si>
    <t>1-14-12</t>
  </si>
  <si>
    <t>1-14-13</t>
  </si>
  <si>
    <t>1-14-14</t>
  </si>
  <si>
    <t>1-14-15</t>
  </si>
  <si>
    <t>1-15-01</t>
  </si>
  <si>
    <t>1-15-02</t>
  </si>
  <si>
    <t>1-15-03</t>
  </si>
  <si>
    <t>2-01-01</t>
  </si>
  <si>
    <t>2-01-03</t>
  </si>
  <si>
    <t>2-01-04</t>
  </si>
  <si>
    <t>1-04-53</t>
  </si>
  <si>
    <t>1-04-54</t>
  </si>
  <si>
    <t>1-02-35</t>
  </si>
  <si>
    <t>Detergentes</t>
  </si>
  <si>
    <t>Limpiavidrios</t>
  </si>
  <si>
    <t>2-05-01</t>
  </si>
  <si>
    <t>2-06-01</t>
  </si>
  <si>
    <t>2-07-01</t>
  </si>
  <si>
    <t>2-08-01</t>
  </si>
  <si>
    <t>2-09-01</t>
  </si>
  <si>
    <t>2-01-05</t>
  </si>
  <si>
    <t>2-01-06</t>
  </si>
  <si>
    <t>2-01-07</t>
  </si>
  <si>
    <t>2-01-08</t>
  </si>
  <si>
    <t>2-01-09</t>
  </si>
  <si>
    <t>2-01-10</t>
  </si>
  <si>
    <t>2-01-11</t>
  </si>
  <si>
    <t>2-01-12</t>
  </si>
  <si>
    <t>2-01-13</t>
  </si>
  <si>
    <t>2-01-14</t>
  </si>
  <si>
    <t>2-01-15</t>
  </si>
  <si>
    <t>2-01-16</t>
  </si>
  <si>
    <t>2-01-17</t>
  </si>
  <si>
    <t>2-01-18</t>
  </si>
  <si>
    <t>2-01-19</t>
  </si>
  <si>
    <t>2-01-20</t>
  </si>
  <si>
    <t>2-01-21</t>
  </si>
  <si>
    <t>2-02-01</t>
  </si>
  <si>
    <t>2-02-02</t>
  </si>
  <si>
    <t>2-02-03</t>
  </si>
  <si>
    <t>2-02-04</t>
  </si>
  <si>
    <t>2-02-05</t>
  </si>
  <si>
    <t>2-02-06</t>
  </si>
  <si>
    <t>2-02-07</t>
  </si>
  <si>
    <t>2-02-08</t>
  </si>
  <si>
    <t>2-02-09</t>
  </si>
  <si>
    <t>2-02-10</t>
  </si>
  <si>
    <t>2-02-11</t>
  </si>
  <si>
    <t>2-03-01</t>
  </si>
  <si>
    <t>2-03-02</t>
  </si>
  <si>
    <t>2-03-04</t>
  </si>
  <si>
    <t>2-03-05</t>
  </si>
  <si>
    <t>2-03-06</t>
  </si>
  <si>
    <t>2-04-01</t>
  </si>
  <si>
    <t>2-04-02</t>
  </si>
  <si>
    <t>2-04-03</t>
  </si>
  <si>
    <t>2-04-04</t>
  </si>
  <si>
    <t>2-04-05</t>
  </si>
  <si>
    <t>2-04-06</t>
  </si>
  <si>
    <t>2-04-07</t>
  </si>
  <si>
    <t>2-04-08</t>
  </si>
  <si>
    <t>2-05-02</t>
  </si>
  <si>
    <t>2-05-03</t>
  </si>
  <si>
    <t>2-05-04</t>
  </si>
  <si>
    <t>2-05-05</t>
  </si>
  <si>
    <t>2-05-06</t>
  </si>
  <si>
    <t>2-05-07</t>
  </si>
  <si>
    <t>2-05-08</t>
  </si>
  <si>
    <t>2-05-09</t>
  </si>
  <si>
    <t>2-05-10</t>
  </si>
  <si>
    <t>2-05-11</t>
  </si>
  <si>
    <t>2-05-12</t>
  </si>
  <si>
    <t>2-05-13</t>
  </si>
  <si>
    <t>2-05-14</t>
  </si>
  <si>
    <t>2-05-15</t>
  </si>
  <si>
    <t>2-05-16</t>
  </si>
  <si>
    <t>2-05-17</t>
  </si>
  <si>
    <t>2-05-18</t>
  </si>
  <si>
    <t>2-05-19</t>
  </si>
  <si>
    <t>2-05-20</t>
  </si>
  <si>
    <t>2-05-21</t>
  </si>
  <si>
    <t>2-06-02</t>
  </si>
  <si>
    <t>2-06-03</t>
  </si>
  <si>
    <t>2-06-04</t>
  </si>
  <si>
    <t>2-06-05</t>
  </si>
  <si>
    <t>2-06-06</t>
  </si>
  <si>
    <t>2-06-07</t>
  </si>
  <si>
    <t>2-06-08</t>
  </si>
  <si>
    <t>2-06-09</t>
  </si>
  <si>
    <t>2-06-10</t>
  </si>
  <si>
    <t>2-06-11</t>
  </si>
  <si>
    <t>2-06-12</t>
  </si>
  <si>
    <t>2-06-13</t>
  </si>
  <si>
    <t>2-06-14</t>
  </si>
  <si>
    <t>2-06-15</t>
  </si>
  <si>
    <t>2-06-16</t>
  </si>
  <si>
    <t>2-06-17</t>
  </si>
  <si>
    <t>2-06-18</t>
  </si>
  <si>
    <t>2-06-19</t>
  </si>
  <si>
    <t>2-06-20</t>
  </si>
  <si>
    <t>2-06-21</t>
  </si>
  <si>
    <t>2-06-22</t>
  </si>
  <si>
    <t>2-06-23</t>
  </si>
  <si>
    <t>2-06-24</t>
  </si>
  <si>
    <t>2-06-25</t>
  </si>
  <si>
    <t>2-06-26</t>
  </si>
  <si>
    <t>2-06-27</t>
  </si>
  <si>
    <t>2-06-28</t>
  </si>
  <si>
    <t>2-06-29</t>
  </si>
  <si>
    <t>2-06-30</t>
  </si>
  <si>
    <t>2-06-31</t>
  </si>
  <si>
    <t>2-06-32</t>
  </si>
  <si>
    <t>2-06-33</t>
  </si>
  <si>
    <t>2-06-34</t>
  </si>
  <si>
    <t>2-06-35</t>
  </si>
  <si>
    <t>2-06-36</t>
  </si>
  <si>
    <t>2-06-37</t>
  </si>
  <si>
    <t>2-06-38</t>
  </si>
  <si>
    <t>2-06-39</t>
  </si>
  <si>
    <t>2-06-40</t>
  </si>
  <si>
    <t>2-06-41</t>
  </si>
  <si>
    <t>2-06-42</t>
  </si>
  <si>
    <t>2-06-43</t>
  </si>
  <si>
    <t>2-06-44</t>
  </si>
  <si>
    <t>2-06-45</t>
  </si>
  <si>
    <t>2-06-46</t>
  </si>
  <si>
    <t>2-07-02</t>
  </si>
  <si>
    <t>2-07-03</t>
  </si>
  <si>
    <t>2-07-04</t>
  </si>
  <si>
    <t>2-07-05</t>
  </si>
  <si>
    <t>2-07-06</t>
  </si>
  <si>
    <t>2-07-07</t>
  </si>
  <si>
    <t>2-07-08</t>
  </si>
  <si>
    <t>2-07-09</t>
  </si>
  <si>
    <t>2-07-10</t>
  </si>
  <si>
    <t>2-07-11</t>
  </si>
  <si>
    <t>2-08-02</t>
  </si>
  <si>
    <t>2-08-03</t>
  </si>
  <si>
    <t>2-08-04</t>
  </si>
  <si>
    <t>2-08-05</t>
  </si>
  <si>
    <t>2-08-06</t>
  </si>
  <si>
    <t>2-08-07</t>
  </si>
  <si>
    <t>2-03-03</t>
  </si>
  <si>
    <t>G-03-05</t>
  </si>
  <si>
    <t>1-06-26</t>
  </si>
  <si>
    <t>Salida interruptor sencillo cable Cu # 12 THHN AWG, tubería PVC 1/2" longitud promedio 4,5 m</t>
  </si>
  <si>
    <t>Conector tipo resorte para cable Nº 14/12.</t>
  </si>
  <si>
    <t>Interruptor sencillo sin luz piloto, Marca Luminex o similar</t>
  </si>
  <si>
    <t>Salida interruptor sencillo cable Cu # 12 HFFR LS, tubería PVC 1/2" longitud promedio 4,5 m</t>
  </si>
  <si>
    <t>Cable Cu aislado # 12 HFFR LS</t>
  </si>
  <si>
    <t>Salida interruptor doble cable Cu # 12 THHN AWG, tubería PVC 1/2"  longitud promedio 4,5 m</t>
  </si>
  <si>
    <t>Salida interruptor doble cable Cu # 12 HFFR LS, tubería PVC 1/2"  longitud promedio 4,5 m</t>
  </si>
  <si>
    <t>Salida interruptor triple cable Cu # 12 THHN AWG, tubería PVC 1/2"  longitud promedio 4,5 m</t>
  </si>
  <si>
    <t>Salida interruptor triple cable Cu # 12 HFFR LS, tubería PVC 1/2"  longitud promedio 4,5 m</t>
  </si>
  <si>
    <t>Salida interruptor conmutable sencillo cable Cu # 12 THHN AWG, tubería PVC 1/2"  longitud promedio 4,5 m</t>
  </si>
  <si>
    <t>Salida toma doble polo a tierra cable Cu # 12 THHN AWG, tubería PVC 1/2" longitud promedio 6 m</t>
  </si>
  <si>
    <t>Salida toma doble polo a tierra cable Cu # 12 THHN AWG,  tubería conduit EMT 3/4" longitud promedio 6 m</t>
  </si>
  <si>
    <t>Salida toma doble tipo GFCI cable Cu # 12 THHN AWG, tubería PVC 1/2" longitud promedio 6 m</t>
  </si>
  <si>
    <t>Tomacorriente doble tipo GFCI . Marca Luminex o similar</t>
  </si>
  <si>
    <t>Salida para A.A. toma 208 V, 4 hilos, cable Cu # 12 THHN AWG, Tubería conduit PVC 3/4" longitud promedio 6 m</t>
  </si>
  <si>
    <t>Hebilla para cinta bandit 3/4"</t>
  </si>
  <si>
    <t>Percha tipo pesada de un puesto</t>
  </si>
  <si>
    <t>Aislador tipo carrete 3" ANSI 53-2</t>
  </si>
  <si>
    <t>Conector de perforación de aislamiento JZ2-95</t>
  </si>
  <si>
    <t>Pin de corte bipolar 40 A 10 KA Luminex o similar</t>
  </si>
  <si>
    <t>Unión conduit IMC 1"</t>
  </si>
  <si>
    <t>Conector recto para coraza de 1", incluye tuerca y contratuerca</t>
  </si>
  <si>
    <t>Cable de Cu #  8 HFFR LS</t>
  </si>
  <si>
    <t>Cable de Cu #  12 HFFR LS</t>
  </si>
  <si>
    <t>Salida toma doble polo a tierra cable Cu # 12 HFFR LS, tubería PVC 1/2" longitud promedio 6 m</t>
  </si>
  <si>
    <t>Salida toma doble tipo GFCI cable Cu # 12 HFFR LS, tubería PVC 1/2" longitud promedio 6 m</t>
  </si>
  <si>
    <t>Tubería PVC de alcantarillado de pared estructural d = 48", exterior liso</t>
  </si>
  <si>
    <t>Tubería PVC de alcantarillado de pared estructural d = 51", exterior liso</t>
  </si>
  <si>
    <t>Tubería PVC de alcantarillado de pared estructural d = 54", exterior liso</t>
  </si>
  <si>
    <t>Asfalto para liga tipo CRR-1 o CRR 2</t>
  </si>
  <si>
    <t>Cortadora de ladrillo sin disco</t>
  </si>
  <si>
    <t>Cortadora de concreto sin disco</t>
  </si>
  <si>
    <t>MAT,001</t>
  </si>
  <si>
    <t>MAT,002</t>
  </si>
  <si>
    <t>MAT,003</t>
  </si>
  <si>
    <t>MAT,004</t>
  </si>
  <si>
    <t>MAT,005</t>
  </si>
  <si>
    <t>MAT,006</t>
  </si>
  <si>
    <t>MAT,007</t>
  </si>
  <si>
    <t>MAT,009</t>
  </si>
  <si>
    <t>MAT,008</t>
  </si>
  <si>
    <t>MAT,010</t>
  </si>
  <si>
    <t>MAT,011</t>
  </si>
  <si>
    <t>MAT,012</t>
  </si>
  <si>
    <t>MAT,013</t>
  </si>
  <si>
    <t>MAT,014</t>
  </si>
  <si>
    <t>MAT,015</t>
  </si>
  <si>
    <t>MAT,016</t>
  </si>
  <si>
    <t>MAT,017</t>
  </si>
  <si>
    <t>MAT,018</t>
  </si>
  <si>
    <t>MAT,019</t>
  </si>
  <si>
    <t>MAT,020</t>
  </si>
  <si>
    <t>MAT,022</t>
  </si>
  <si>
    <t>MAT,021</t>
  </si>
  <si>
    <t>MAT,023</t>
  </si>
  <si>
    <t>MAT,024</t>
  </si>
  <si>
    <t>MAT,025</t>
  </si>
  <si>
    <t>MAT,026</t>
  </si>
  <si>
    <t>MAT,027</t>
  </si>
  <si>
    <t>MAT,028</t>
  </si>
  <si>
    <t>MAT,029</t>
  </si>
  <si>
    <t>MAT,030</t>
  </si>
  <si>
    <t>MAT,031</t>
  </si>
  <si>
    <t>MAT,032</t>
  </si>
  <si>
    <t>MAT,034</t>
  </si>
  <si>
    <t>MAT,035</t>
  </si>
  <si>
    <t>MAT,036</t>
  </si>
  <si>
    <t>MAT,037</t>
  </si>
  <si>
    <t>MAT,038</t>
  </si>
  <si>
    <t>MAT,039</t>
  </si>
  <si>
    <t>MAT,040</t>
  </si>
  <si>
    <t>MAT,041</t>
  </si>
  <si>
    <t>MAT,042</t>
  </si>
  <si>
    <t>MAT,043</t>
  </si>
  <si>
    <t>MAT,044</t>
  </si>
  <si>
    <t>MAT,045</t>
  </si>
  <si>
    <t>MAT,046</t>
  </si>
  <si>
    <t>MAT,047</t>
  </si>
  <si>
    <t>MAT,048</t>
  </si>
  <si>
    <t>MAT,049</t>
  </si>
  <si>
    <t>MAT,050</t>
  </si>
  <si>
    <t>MAT,051</t>
  </si>
  <si>
    <t>MAT,055</t>
  </si>
  <si>
    <t>MAT,053</t>
  </si>
  <si>
    <t>MAT,054</t>
  </si>
  <si>
    <t>MAT,052</t>
  </si>
  <si>
    <t>MAT,056</t>
  </si>
  <si>
    <t>MAT,057</t>
  </si>
  <si>
    <t>MAT,058</t>
  </si>
  <si>
    <t>MAT,059</t>
  </si>
  <si>
    <t>MAT,060</t>
  </si>
  <si>
    <t>MAT,061</t>
  </si>
  <si>
    <t>MAT,066</t>
  </si>
  <si>
    <t>MAT,062</t>
  </si>
  <si>
    <t>MAT,063</t>
  </si>
  <si>
    <t>MAT,064</t>
  </si>
  <si>
    <t>MAT,065</t>
  </si>
  <si>
    <t>MAT,067</t>
  </si>
  <si>
    <t>MAT,068</t>
  </si>
  <si>
    <t>MAT,069</t>
  </si>
  <si>
    <t>MAT,070</t>
  </si>
  <si>
    <t>MAT,071</t>
  </si>
  <si>
    <t>MAT,072</t>
  </si>
  <si>
    <t>MAT,073</t>
  </si>
  <si>
    <t>MAT,074</t>
  </si>
  <si>
    <t>MAT,075</t>
  </si>
  <si>
    <t>MAT,076</t>
  </si>
  <si>
    <t>MAT,077</t>
  </si>
  <si>
    <t>MAT,078</t>
  </si>
  <si>
    <t>MAT,079</t>
  </si>
  <si>
    <t>MAT,080</t>
  </si>
  <si>
    <t>MAT,081</t>
  </si>
  <si>
    <t>MAT,082</t>
  </si>
  <si>
    <t>MAT,083</t>
  </si>
  <si>
    <t>MAT,084</t>
  </si>
  <si>
    <t>MAT,085</t>
  </si>
  <si>
    <t>MAT,086</t>
  </si>
  <si>
    <t>MAT,087</t>
  </si>
  <si>
    <t>MAT,088</t>
  </si>
  <si>
    <t>MAT,089</t>
  </si>
  <si>
    <t>MAT,090</t>
  </si>
  <si>
    <t>MAT,091</t>
  </si>
  <si>
    <t>MAT,092</t>
  </si>
  <si>
    <t>MAT,093</t>
  </si>
  <si>
    <t>MAT,094</t>
  </si>
  <si>
    <t>MAT,095</t>
  </si>
  <si>
    <t>MAT,096</t>
  </si>
  <si>
    <t>MAT,097</t>
  </si>
  <si>
    <t>MAT,098</t>
  </si>
  <si>
    <t>MAT,099</t>
  </si>
  <si>
    <t>MAT,100</t>
  </si>
  <si>
    <t>MAT,101</t>
  </si>
  <si>
    <t>MAT,102</t>
  </si>
  <si>
    <t>MAT,103</t>
  </si>
  <si>
    <t>MAT,104</t>
  </si>
  <si>
    <t>MAT,105</t>
  </si>
  <si>
    <t>MAT,106</t>
  </si>
  <si>
    <t>MAT,107</t>
  </si>
  <si>
    <t>MAT,108</t>
  </si>
  <si>
    <t>MAT,109</t>
  </si>
  <si>
    <t>MAT,110</t>
  </si>
  <si>
    <t>MAT,111</t>
  </si>
  <si>
    <t>MAT,112</t>
  </si>
  <si>
    <t>MAT,113</t>
  </si>
  <si>
    <t>MAT,114</t>
  </si>
  <si>
    <t>MAT,115</t>
  </si>
  <si>
    <t>MAT,116</t>
  </si>
  <si>
    <t>MAT,117</t>
  </si>
  <si>
    <t>MAT,118</t>
  </si>
  <si>
    <t>MAT,119</t>
  </si>
  <si>
    <t>MAT,120</t>
  </si>
  <si>
    <t>MAT,121</t>
  </si>
  <si>
    <t>MAT,122</t>
  </si>
  <si>
    <t>MAT,123</t>
  </si>
  <si>
    <t>MAT,124</t>
  </si>
  <si>
    <t>MAT,125</t>
  </si>
  <si>
    <t>MAT,126</t>
  </si>
  <si>
    <t>MAT,127</t>
  </si>
  <si>
    <t>MAT,128</t>
  </si>
  <si>
    <t>MAT,129</t>
  </si>
  <si>
    <t>MAT,130</t>
  </si>
  <si>
    <t>MAT,131</t>
  </si>
  <si>
    <t>MAT,132</t>
  </si>
  <si>
    <t>MAT,133</t>
  </si>
  <si>
    <t>MAT,134</t>
  </si>
  <si>
    <t>MAT,135</t>
  </si>
  <si>
    <t>MAT,136</t>
  </si>
  <si>
    <t>MAT,137</t>
  </si>
  <si>
    <t>MAT,138</t>
  </si>
  <si>
    <t>MAT,139</t>
  </si>
  <si>
    <t>MAT,140</t>
  </si>
  <si>
    <t>MAT,141</t>
  </si>
  <si>
    <t>MAT,142</t>
  </si>
  <si>
    <t>MAT,143</t>
  </si>
  <si>
    <t>MAT,144</t>
  </si>
  <si>
    <t>MAT,145</t>
  </si>
  <si>
    <t>MAT,146</t>
  </si>
  <si>
    <t>MAT,147</t>
  </si>
  <si>
    <t>MAT,148</t>
  </si>
  <si>
    <t>MAT,150</t>
  </si>
  <si>
    <t>MAT,151</t>
  </si>
  <si>
    <t>MAT,152</t>
  </si>
  <si>
    <t>MAT,153</t>
  </si>
  <si>
    <t>MAT,154</t>
  </si>
  <si>
    <t>MAT,155</t>
  </si>
  <si>
    <t>MAT,156</t>
  </si>
  <si>
    <t>MAT,157</t>
  </si>
  <si>
    <t>MAT,158</t>
  </si>
  <si>
    <t>MAT,159</t>
  </si>
  <si>
    <t>MAT,160</t>
  </si>
  <si>
    <t>MAT,161</t>
  </si>
  <si>
    <t>MAT,170</t>
  </si>
  <si>
    <t>MAT,171</t>
  </si>
  <si>
    <t>MAT,172</t>
  </si>
  <si>
    <t>MAT,173</t>
  </si>
  <si>
    <t>MAT,174</t>
  </si>
  <si>
    <t>MAT,175</t>
  </si>
  <si>
    <t>MAT,176</t>
  </si>
  <si>
    <t>MAT,177</t>
  </si>
  <si>
    <t>MAT,178</t>
  </si>
  <si>
    <t>MAT,179</t>
  </si>
  <si>
    <t>MAT,180</t>
  </si>
  <si>
    <t>MAT,181</t>
  </si>
  <si>
    <t>MAT,182</t>
  </si>
  <si>
    <t>MAT,183</t>
  </si>
  <si>
    <t>MAT,184</t>
  </si>
  <si>
    <t>MAT,185</t>
  </si>
  <si>
    <t>MAT,186</t>
  </si>
  <si>
    <t>MAT,187</t>
  </si>
  <si>
    <t>MAT,188</t>
  </si>
  <si>
    <t>MAT,189</t>
  </si>
  <si>
    <t>MAT,190</t>
  </si>
  <si>
    <t>MAT,191</t>
  </si>
  <si>
    <t>MAT,192</t>
  </si>
  <si>
    <t>MAT,193</t>
  </si>
  <si>
    <t>MAT,195</t>
  </si>
  <si>
    <t>MAT,196</t>
  </si>
  <si>
    <t>MAT,197</t>
  </si>
  <si>
    <t>MAT,198</t>
  </si>
  <si>
    <t>MAT,199</t>
  </si>
  <si>
    <t>MAT,200</t>
  </si>
  <si>
    <t>MAT,201</t>
  </si>
  <si>
    <t>MAT,202</t>
  </si>
  <si>
    <t>MAT,203</t>
  </si>
  <si>
    <t>MAT,204</t>
  </si>
  <si>
    <t>MAT,205</t>
  </si>
  <si>
    <t>MAT,206</t>
  </si>
  <si>
    <t>MAT,207</t>
  </si>
  <si>
    <t>MAT,208</t>
  </si>
  <si>
    <t>MAT,209</t>
  </si>
  <si>
    <t>MAT,210</t>
  </si>
  <si>
    <t>MAT,211</t>
  </si>
  <si>
    <t>MAT,212</t>
  </si>
  <si>
    <t>MAT,213</t>
  </si>
  <si>
    <t>MAT,214</t>
  </si>
  <si>
    <t>MAT,215</t>
  </si>
  <si>
    <t>MAT,216</t>
  </si>
  <si>
    <t>MAT,217</t>
  </si>
  <si>
    <t>MAT,218</t>
  </si>
  <si>
    <t>MAT,219</t>
  </si>
  <si>
    <t>MAT,220</t>
  </si>
  <si>
    <t>MAT,221</t>
  </si>
  <si>
    <t>MAT,222</t>
  </si>
  <si>
    <t>MAT,223</t>
  </si>
  <si>
    <t>MAT,224</t>
  </si>
  <si>
    <t>MAT,225</t>
  </si>
  <si>
    <t>MAT,226</t>
  </si>
  <si>
    <t>MAT,227</t>
  </si>
  <si>
    <t>MAT,228</t>
  </si>
  <si>
    <t>MAT,229</t>
  </si>
  <si>
    <t>MAT,230</t>
  </si>
  <si>
    <t>MAT,231</t>
  </si>
  <si>
    <t>MAT,232</t>
  </si>
  <si>
    <t>MAT,233</t>
  </si>
  <si>
    <t>MAT,234</t>
  </si>
  <si>
    <t>MAT,235</t>
  </si>
  <si>
    <t>MAT,236</t>
  </si>
  <si>
    <t>MAT,237</t>
  </si>
  <si>
    <t>MAT,238</t>
  </si>
  <si>
    <t>MAT,239</t>
  </si>
  <si>
    <t>MAT,240</t>
  </si>
  <si>
    <t>MAT,241</t>
  </si>
  <si>
    <t>MAT,242</t>
  </si>
  <si>
    <t>MAT,243</t>
  </si>
  <si>
    <t>MAT,244</t>
  </si>
  <si>
    <t>MAT,245</t>
  </si>
  <si>
    <t>MAT,246</t>
  </si>
  <si>
    <t>MAT,247</t>
  </si>
  <si>
    <t>MAT,248</t>
  </si>
  <si>
    <t>MAT,249</t>
  </si>
  <si>
    <t>MAT,250</t>
  </si>
  <si>
    <t>MAT,251</t>
  </si>
  <si>
    <t>MAT,252</t>
  </si>
  <si>
    <t>MAT,253</t>
  </si>
  <si>
    <t>MAT,254</t>
  </si>
  <si>
    <t>MAT,255</t>
  </si>
  <si>
    <t>MAT,256</t>
  </si>
  <si>
    <t>MAT,257</t>
  </si>
  <si>
    <t>MAT,258</t>
  </si>
  <si>
    <t>MAT,259</t>
  </si>
  <si>
    <t>MAT,271</t>
  </si>
  <si>
    <t>MAT,272</t>
  </si>
  <si>
    <t>MAT,273</t>
  </si>
  <si>
    <t>MAT,274</t>
  </si>
  <si>
    <t>MAT,275</t>
  </si>
  <si>
    <t>MAT,276</t>
  </si>
  <si>
    <t>MAT,277</t>
  </si>
  <si>
    <t>MAT,278</t>
  </si>
  <si>
    <t>MAT,279</t>
  </si>
  <si>
    <t>MAT,285</t>
  </si>
  <si>
    <t>MAT,284</t>
  </si>
  <si>
    <t>MAT,286</t>
  </si>
  <si>
    <t>MAT,287</t>
  </si>
  <si>
    <t>MAT,288</t>
  </si>
  <si>
    <t>MAT,289</t>
  </si>
  <si>
    <t>MAT,290</t>
  </si>
  <si>
    <t>MAT,292</t>
  </si>
  <si>
    <t>MAT,293</t>
  </si>
  <si>
    <t>MAT,294</t>
  </si>
  <si>
    <t>MAT,295</t>
  </si>
  <si>
    <t>MAT,296</t>
  </si>
  <si>
    <t>MAT,297</t>
  </si>
  <si>
    <t>MAT,298</t>
  </si>
  <si>
    <t>MAT,299</t>
  </si>
  <si>
    <t>MAT,300</t>
  </si>
  <si>
    <t>MAT,301</t>
  </si>
  <si>
    <t>MAT,302</t>
  </si>
  <si>
    <t>MAT,303</t>
  </si>
  <si>
    <t>MAT,304</t>
  </si>
  <si>
    <t>MAT,305</t>
  </si>
  <si>
    <t>MAT,306</t>
  </si>
  <si>
    <t>MAT,307</t>
  </si>
  <si>
    <t>MAT,308</t>
  </si>
  <si>
    <t>MAT,309</t>
  </si>
  <si>
    <t>MAT,310</t>
  </si>
  <si>
    <t>MAT,311</t>
  </si>
  <si>
    <t>MAT,312</t>
  </si>
  <si>
    <t>MAT,313</t>
  </si>
  <si>
    <t>MAT,314</t>
  </si>
  <si>
    <t>MAT,315</t>
  </si>
  <si>
    <t>MAT,317</t>
  </si>
  <si>
    <t>MAT,316</t>
  </si>
  <si>
    <t>MAT,318</t>
  </si>
  <si>
    <t>MAT,319</t>
  </si>
  <si>
    <t>MAT,320</t>
  </si>
  <si>
    <t>MAT,321</t>
  </si>
  <si>
    <t>MAT,322</t>
  </si>
  <si>
    <t>MAT,323</t>
  </si>
  <si>
    <t>MAT,324</t>
  </si>
  <si>
    <t>MAT,325</t>
  </si>
  <si>
    <t>MAT,326</t>
  </si>
  <si>
    <t>MAT,327</t>
  </si>
  <si>
    <t>MAT,328</t>
  </si>
  <si>
    <t>MAT,329</t>
  </si>
  <si>
    <t>MAT,330</t>
  </si>
  <si>
    <t>MAT,331</t>
  </si>
  <si>
    <t>MAT,332</t>
  </si>
  <si>
    <t>MAT,333</t>
  </si>
  <si>
    <t>MAT,334</t>
  </si>
  <si>
    <t>MAT,335</t>
  </si>
  <si>
    <t>MAT,336</t>
  </si>
  <si>
    <t>MAT,337</t>
  </si>
  <si>
    <t>MAT,338</t>
  </si>
  <si>
    <t>MAT,339</t>
  </si>
  <si>
    <t>MAT,340</t>
  </si>
  <si>
    <t>MAT,341</t>
  </si>
  <si>
    <t>MAT,342</t>
  </si>
  <si>
    <t>MAT,343</t>
  </si>
  <si>
    <t>MAT,344</t>
  </si>
  <si>
    <t>MAT,345</t>
  </si>
  <si>
    <t>MAT,346</t>
  </si>
  <si>
    <t>MAT,371</t>
  </si>
  <si>
    <t>MAT,372</t>
  </si>
  <si>
    <t>MAT,373</t>
  </si>
  <si>
    <t>MAT,374</t>
  </si>
  <si>
    <t>MAT,375</t>
  </si>
  <si>
    <t>MAT,376</t>
  </si>
  <si>
    <t>MAT,377</t>
  </si>
  <si>
    <t>MAT,378</t>
  </si>
  <si>
    <t>MAT,379</t>
  </si>
  <si>
    <t>MAT,380</t>
  </si>
  <si>
    <t>MAT,381</t>
  </si>
  <si>
    <t>MAT,382</t>
  </si>
  <si>
    <t>MAT,383</t>
  </si>
  <si>
    <t>MAT,384</t>
  </si>
  <si>
    <t>MAT,385</t>
  </si>
  <si>
    <t>MAT,386</t>
  </si>
  <si>
    <t>MAT,387</t>
  </si>
  <si>
    <t>MAT,388</t>
  </si>
  <si>
    <t>MAT,389</t>
  </si>
  <si>
    <t>MAT,390</t>
  </si>
  <si>
    <t>MAT,391</t>
  </si>
  <si>
    <t>MAT,392</t>
  </si>
  <si>
    <t>MAT,393</t>
  </si>
  <si>
    <t>MAT,394</t>
  </si>
  <si>
    <t>MAT,395</t>
  </si>
  <si>
    <t>MAT,396</t>
  </si>
  <si>
    <t>MAT,397</t>
  </si>
  <si>
    <t>MAT,398</t>
  </si>
  <si>
    <t>MAT,399</t>
  </si>
  <si>
    <t>MAT,400</t>
  </si>
  <si>
    <t>MAT,401</t>
  </si>
  <si>
    <t>MAT,402</t>
  </si>
  <si>
    <t>MAT,403</t>
  </si>
  <si>
    <t>MAT,404</t>
  </si>
  <si>
    <t>MAT,405</t>
  </si>
  <si>
    <t>MAT,406</t>
  </si>
  <si>
    <t>MAT,407</t>
  </si>
  <si>
    <t>MAT,408</t>
  </si>
  <si>
    <t>MAT,409</t>
  </si>
  <si>
    <t>MAT,410</t>
  </si>
  <si>
    <t>MAT,411</t>
  </si>
  <si>
    <t>MAT,412</t>
  </si>
  <si>
    <t>MAT,413</t>
  </si>
  <si>
    <t>MAT,414</t>
  </si>
  <si>
    <t>MAT,415</t>
  </si>
  <si>
    <t>MAT,416</t>
  </si>
  <si>
    <t>MAT,417</t>
  </si>
  <si>
    <t>MAT,418</t>
  </si>
  <si>
    <t>MAT,419</t>
  </si>
  <si>
    <t>MAT,420</t>
  </si>
  <si>
    <t>MAT,421</t>
  </si>
  <si>
    <t>MAT,422</t>
  </si>
  <si>
    <t>MAT,423</t>
  </si>
  <si>
    <t>MAT,424</t>
  </si>
  <si>
    <t>MAT,425</t>
  </si>
  <si>
    <t>MAT,426</t>
  </si>
  <si>
    <t>MAT,427</t>
  </si>
  <si>
    <t>MAT,428</t>
  </si>
  <si>
    <t>MAT,429</t>
  </si>
  <si>
    <t>MAT,430</t>
  </si>
  <si>
    <t>MAT,431</t>
  </si>
  <si>
    <t>MAT,432</t>
  </si>
  <si>
    <t>MAT,433</t>
  </si>
  <si>
    <t>MAT,434</t>
  </si>
  <si>
    <t>MAT,435</t>
  </si>
  <si>
    <t>MAT,436</t>
  </si>
  <si>
    <t>MAT,437</t>
  </si>
  <si>
    <t>MAT,438</t>
  </si>
  <si>
    <t>MAT,439</t>
  </si>
  <si>
    <t>MAT,440</t>
  </si>
  <si>
    <t>MAT,441</t>
  </si>
  <si>
    <t>MAT,442</t>
  </si>
  <si>
    <t>MAT,443</t>
  </si>
  <si>
    <t>MAT,444</t>
  </si>
  <si>
    <t>MAT,445</t>
  </si>
  <si>
    <t>MAT,446</t>
  </si>
  <si>
    <t>MAT,448</t>
  </si>
  <si>
    <t>MAT,449</t>
  </si>
  <si>
    <t>MAT,450</t>
  </si>
  <si>
    <t>MAT,451</t>
  </si>
  <si>
    <t>MAT,452</t>
  </si>
  <si>
    <t>MAT,453</t>
  </si>
  <si>
    <t>MAT,454</t>
  </si>
  <si>
    <t>MAT,455</t>
  </si>
  <si>
    <t>MAT,456</t>
  </si>
  <si>
    <t>MAT,457</t>
  </si>
  <si>
    <t>MAT,458</t>
  </si>
  <si>
    <t>MAT,459</t>
  </si>
  <si>
    <t>MAT,460</t>
  </si>
  <si>
    <t>MAT,461</t>
  </si>
  <si>
    <t>MAT,462</t>
  </si>
  <si>
    <t>MAT,463</t>
  </si>
  <si>
    <t>MAT,464</t>
  </si>
  <si>
    <t>MAT,465</t>
  </si>
  <si>
    <t>MAT,466</t>
  </si>
  <si>
    <t>MAT,467</t>
  </si>
  <si>
    <t>MAT,468</t>
  </si>
  <si>
    <t>MAT,469</t>
  </si>
  <si>
    <t>MAT,281</t>
  </si>
  <si>
    <t>MAT,470</t>
  </si>
  <si>
    <t>MAT,471</t>
  </si>
  <si>
    <t>MAT,472</t>
  </si>
  <si>
    <t>MAT,473</t>
  </si>
  <si>
    <t>MAT,474</t>
  </si>
  <si>
    <t>MAT,475</t>
  </si>
  <si>
    <t>MAT,476</t>
  </si>
  <si>
    <t>MAT,477</t>
  </si>
  <si>
    <t>MAT,478</t>
  </si>
  <si>
    <t>MAT,479</t>
  </si>
  <si>
    <t>MAT,447</t>
  </si>
  <si>
    <t>MAT,657</t>
  </si>
  <si>
    <t>MAT,480</t>
  </si>
  <si>
    <t>MAT,481</t>
  </si>
  <si>
    <t>MAT,482</t>
  </si>
  <si>
    <t>MAT,483</t>
  </si>
  <si>
    <t>MAT,484</t>
  </si>
  <si>
    <t>MAT,485</t>
  </si>
  <si>
    <t>MAT,486</t>
  </si>
  <si>
    <t>MAT,487</t>
  </si>
  <si>
    <t>MAT,488</t>
  </si>
  <si>
    <t>MAT,489</t>
  </si>
  <si>
    <t>MAT,490</t>
  </si>
  <si>
    <t>MAT,491</t>
  </si>
  <si>
    <t>MAT,492</t>
  </si>
  <si>
    <t>MAT,493</t>
  </si>
  <si>
    <t>MAT,494</t>
  </si>
  <si>
    <t>MAT,495</t>
  </si>
  <si>
    <t>MAT,496</t>
  </si>
  <si>
    <t>MAT,498</t>
  </si>
  <si>
    <t>MAT,364</t>
  </si>
  <si>
    <t>MAT,162</t>
  </si>
  <si>
    <t>MAT,168</t>
  </si>
  <si>
    <t>MAT,169</t>
  </si>
  <si>
    <t>MAT,352</t>
  </si>
  <si>
    <t>MAT,260</t>
  </si>
  <si>
    <t>MAT,347</t>
  </si>
  <si>
    <t>MAT,167</t>
  </si>
  <si>
    <t>MAT,266</t>
  </si>
  <si>
    <t>MAT,264</t>
  </si>
  <si>
    <t>MAT,368</t>
  </si>
  <si>
    <t>MAT,165</t>
  </si>
  <si>
    <t>MAT,497</t>
  </si>
  <si>
    <t>MAT,265</t>
  </si>
  <si>
    <t>MAT,283</t>
  </si>
  <si>
    <t>MAT,267</t>
  </si>
  <si>
    <t>MAT,163</t>
  </si>
  <si>
    <t>MAT,350</t>
  </si>
  <si>
    <t>MAT,499</t>
  </si>
  <si>
    <t>MAT,500</t>
  </si>
  <si>
    <t>MAT,501</t>
  </si>
  <si>
    <t>MAT,280</t>
  </si>
  <si>
    <t>MAT,263</t>
  </si>
  <si>
    <t>MAT,502</t>
  </si>
  <si>
    <t>MAT,362</t>
  </si>
  <si>
    <t>MAT,355</t>
  </si>
  <si>
    <t>MAT,505</t>
  </si>
  <si>
    <t>MAT,361</t>
  </si>
  <si>
    <t>MAT,506</t>
  </si>
  <si>
    <t>MAT,261</t>
  </si>
  <si>
    <t>MAT,363</t>
  </si>
  <si>
    <t>MAT,507</t>
  </si>
  <si>
    <t>MAT,509</t>
  </si>
  <si>
    <t>MAT,510</t>
  </si>
  <si>
    <t>MAT,282</t>
  </si>
  <si>
    <t>MAT,268</t>
  </si>
  <si>
    <t>MAT,270</t>
  </si>
  <si>
    <t>MAT,269</t>
  </si>
  <si>
    <t>MAT,353</t>
  </si>
  <si>
    <t>MAT,354</t>
  </si>
  <si>
    <t>MAT,357</t>
  </si>
  <si>
    <t>MAT,358</t>
  </si>
  <si>
    <t>MAT,359</t>
  </si>
  <si>
    <t>MAT,360</t>
  </si>
  <si>
    <t>MAT,349</t>
  </si>
  <si>
    <t>MAT,348</t>
  </si>
  <si>
    <t>MAT,351</t>
  </si>
  <si>
    <t>MAT,164</t>
  </si>
  <si>
    <t>MAT,366</t>
  </si>
  <si>
    <t>MAT,356</t>
  </si>
  <si>
    <t>MAT,369</t>
  </si>
  <si>
    <t>MAT,262</t>
  </si>
  <si>
    <t>MAT,511</t>
  </si>
  <si>
    <t>MAT,512</t>
  </si>
  <si>
    <t>MAT,513</t>
  </si>
  <si>
    <t>MAT,515</t>
  </si>
  <si>
    <t>MAT,516</t>
  </si>
  <si>
    <t>MAT,517</t>
  </si>
  <si>
    <t>MAT,518</t>
  </si>
  <si>
    <t>MAT,519</t>
  </si>
  <si>
    <t>MAT,520</t>
  </si>
  <si>
    <t>MAT,521</t>
  </si>
  <si>
    <t>MAT,522</t>
  </si>
  <si>
    <t>MAT,523</t>
  </si>
  <si>
    <t>MAT,524</t>
  </si>
  <si>
    <t>MAT,525</t>
  </si>
  <si>
    <t>MAT,526</t>
  </si>
  <si>
    <t xml:space="preserve">Lámina galvanizada C 26 </t>
  </si>
  <si>
    <t>MAT,527</t>
  </si>
  <si>
    <t>MAT,528</t>
  </si>
  <si>
    <t>MAT,529</t>
  </si>
  <si>
    <t>MAT,530</t>
  </si>
  <si>
    <t>MAT,531</t>
  </si>
  <si>
    <t>MAT,532</t>
  </si>
  <si>
    <t>MAT,533</t>
  </si>
  <si>
    <t>MAT,534</t>
  </si>
  <si>
    <t>MAT,535</t>
  </si>
  <si>
    <t>MAT,536</t>
  </si>
  <si>
    <t>MAT,537</t>
  </si>
  <si>
    <t>MAT,538</t>
  </si>
  <si>
    <t>MAT,539</t>
  </si>
  <si>
    <t>Universal PVC 1"</t>
  </si>
  <si>
    <t>MAT,540</t>
  </si>
  <si>
    <t>MAT,541</t>
  </si>
  <si>
    <t>MAT,542</t>
  </si>
  <si>
    <t>Tubería PVC de alcantarillado de pared estructural d = 24", exterior corrugado</t>
  </si>
  <si>
    <t>MAT,166</t>
  </si>
  <si>
    <t>MAT,508</t>
  </si>
  <si>
    <t>MAT,543</t>
  </si>
  <si>
    <t>MAT,544</t>
  </si>
  <si>
    <t>MAT,545</t>
  </si>
  <si>
    <t>MAT,546</t>
  </si>
  <si>
    <t>MAT,547</t>
  </si>
  <si>
    <t>MAT,548</t>
  </si>
  <si>
    <t>MAT,549</t>
  </si>
  <si>
    <t>MAT,552</t>
  </si>
  <si>
    <t>Caballete teja ondulada fibrocemento fijo l = 0,873 m</t>
  </si>
  <si>
    <t>Caballete teja ondulada fibrocemento tipo español articulado 2 piezas</t>
  </si>
  <si>
    <t>MAT,553</t>
  </si>
  <si>
    <t>MAT,554</t>
  </si>
  <si>
    <t>MAT,555</t>
  </si>
  <si>
    <t>MAT,556</t>
  </si>
  <si>
    <t>MAT,558</t>
  </si>
  <si>
    <t>MAT,557</t>
  </si>
  <si>
    <t>MAT,559</t>
  </si>
  <si>
    <t>MAT,560</t>
  </si>
  <si>
    <t>MAT,561</t>
  </si>
  <si>
    <t>MAT,562</t>
  </si>
  <si>
    <t>MAT,563</t>
  </si>
  <si>
    <t>Tubería PVC de alcantarillado de pared estructural d = 45", exterior liso</t>
  </si>
  <si>
    <t>MAT,564</t>
  </si>
  <si>
    <t>MAT,565</t>
  </si>
  <si>
    <t>MAT,566</t>
  </si>
  <si>
    <t>MAT,567</t>
  </si>
  <si>
    <t>MAT,568</t>
  </si>
  <si>
    <t>MAT,569</t>
  </si>
  <si>
    <t>MAT,570</t>
  </si>
  <si>
    <t>MAT,571</t>
  </si>
  <si>
    <t>MAT,572</t>
  </si>
  <si>
    <t>MAT,573</t>
  </si>
  <si>
    <t>MAT,574</t>
  </si>
  <si>
    <t>MAT,575</t>
  </si>
  <si>
    <t>MAT,576</t>
  </si>
  <si>
    <t>MAT,577</t>
  </si>
  <si>
    <t>MAT,578</t>
  </si>
  <si>
    <t>MAT,579</t>
  </si>
  <si>
    <t>MAT,580</t>
  </si>
  <si>
    <t>MAT,581</t>
  </si>
  <si>
    <t>MAT,582</t>
  </si>
  <si>
    <t>MAT,583</t>
  </si>
  <si>
    <t>MAT,584</t>
  </si>
  <si>
    <t>MAT,585</t>
  </si>
  <si>
    <t>MAT,586</t>
  </si>
  <si>
    <t>MAT,587</t>
  </si>
  <si>
    <t>MAT,588</t>
  </si>
  <si>
    <t>MAT,589</t>
  </si>
  <si>
    <t>MAT,590</t>
  </si>
  <si>
    <t>MAT,591</t>
  </si>
  <si>
    <t>MAT,592</t>
  </si>
  <si>
    <t>MAT,593</t>
  </si>
  <si>
    <t>MAT,594</t>
  </si>
  <si>
    <t>MAT,595</t>
  </si>
  <si>
    <t>MAT,596</t>
  </si>
  <si>
    <t>MAT,597</t>
  </si>
  <si>
    <t>MAT,598</t>
  </si>
  <si>
    <t>MAT,599</t>
  </si>
  <si>
    <t>MAT,600</t>
  </si>
  <si>
    <t>MAT,601</t>
  </si>
  <si>
    <t>MAT,602</t>
  </si>
  <si>
    <t>MAT,605</t>
  </si>
  <si>
    <t>MAT,606</t>
  </si>
  <si>
    <t>MAT,607</t>
  </si>
  <si>
    <t>MAT,609</t>
  </si>
  <si>
    <t>MAT,610</t>
  </si>
  <si>
    <t>MAT,611</t>
  </si>
  <si>
    <t>MAT,612</t>
  </si>
  <si>
    <t>MAT,613</t>
  </si>
  <si>
    <t>MAT,614</t>
  </si>
  <si>
    <t>MAT,615</t>
  </si>
  <si>
    <t>MAT,616</t>
  </si>
  <si>
    <t>MAT,617</t>
  </si>
  <si>
    <t>MAT,618</t>
  </si>
  <si>
    <t>MAT,619</t>
  </si>
  <si>
    <t>MAT,620</t>
  </si>
  <si>
    <t>MAT,621</t>
  </si>
  <si>
    <t>MAT,622</t>
  </si>
  <si>
    <t>MAT,623</t>
  </si>
  <si>
    <t>MAT,624</t>
  </si>
  <si>
    <t>MAT,625</t>
  </si>
  <si>
    <t>MAT,626</t>
  </si>
  <si>
    <t>MAT,629</t>
  </si>
  <si>
    <t>MAT,630</t>
  </si>
  <si>
    <t>MAT,631</t>
  </si>
  <si>
    <t>MAT,632</t>
  </si>
  <si>
    <t>MAT,633</t>
  </si>
  <si>
    <t>MAT,635</t>
  </si>
  <si>
    <t>MAT,637</t>
  </si>
  <si>
    <t>MAT,638</t>
  </si>
  <si>
    <t>MAT,639</t>
  </si>
  <si>
    <t>MAT,640</t>
  </si>
  <si>
    <t>MAT,641</t>
  </si>
  <si>
    <t>MAT,642</t>
  </si>
  <si>
    <t>Mortero de nivelación e = 0,05 m para pisos</t>
  </si>
  <si>
    <t>Impermeabilizante integral para morteros, con polímeros sintéticos</t>
  </si>
  <si>
    <t>Cielo falso en laminas de PVC</t>
  </si>
  <si>
    <t>Acometida Domiciliaria de 1/2" tubería PF + UAD, L = 2 m</t>
  </si>
  <si>
    <t>Cheque de 1" en bronce fundido</t>
  </si>
  <si>
    <t>Cheque de 1 1/2"  en bronce fundido</t>
  </si>
  <si>
    <t>Pegante papel colgadura</t>
  </si>
  <si>
    <t>Afirmado para mantenimiento vial y elementos no estructurales</t>
  </si>
  <si>
    <t>MAT,643</t>
  </si>
  <si>
    <t>MAT,645</t>
  </si>
  <si>
    <t>Cheque de 1/2" en bronce fundido</t>
  </si>
  <si>
    <t>Cheque de 3/4" en bronce fundido</t>
  </si>
  <si>
    <t>MAT,644</t>
  </si>
  <si>
    <t>MAT,647</t>
  </si>
  <si>
    <t>MAT,648</t>
  </si>
  <si>
    <t>MAT,649</t>
  </si>
  <si>
    <t>MAT,650</t>
  </si>
  <si>
    <t>MAT,651</t>
  </si>
  <si>
    <t>MAT,652</t>
  </si>
  <si>
    <t>MAT,653</t>
  </si>
  <si>
    <t>MAT,654</t>
  </si>
  <si>
    <t>Concreto premezclado de 27,6 Mpa o MR 4,1 Mpa para pavimento</t>
  </si>
  <si>
    <t>EQU059</t>
  </si>
  <si>
    <t xml:space="preserve">Material de sub-base granular tipo Invías Clase A </t>
  </si>
  <si>
    <t>2-03-07</t>
  </si>
  <si>
    <t>EQU060</t>
  </si>
  <si>
    <t>Compresor (Barrido y soplado)</t>
  </si>
  <si>
    <t>EQU061</t>
  </si>
  <si>
    <t>Aspersor manual</t>
  </si>
  <si>
    <t>Fondo de junta de polietileno Φ = 3/8"</t>
  </si>
  <si>
    <t>CANT.</t>
  </si>
  <si>
    <t>EQU062</t>
  </si>
  <si>
    <t>EQU063</t>
  </si>
  <si>
    <t>Pala auxiliar de piloteadora</t>
  </si>
  <si>
    <t>EQU064</t>
  </si>
  <si>
    <t>Retroexcavadora A25C</t>
  </si>
  <si>
    <t>Bentonita</t>
  </si>
  <si>
    <r>
      <t>M</t>
    </r>
    <r>
      <rPr>
        <vertAlign val="superscript"/>
        <sz val="10"/>
        <rFont val="Arial"/>
        <family val="2"/>
        <scheme val="minor"/>
      </rPr>
      <t>3</t>
    </r>
  </si>
  <si>
    <t>PERSONAL TÉCNICO, OPERATIVO
Riesgo Clase II</t>
  </si>
  <si>
    <t>FACTOR PRESTACIONAL</t>
  </si>
  <si>
    <t>División metálica en lámina doble C 20 h = 1,60 m, incluye anticorrosivo</t>
  </si>
  <si>
    <t>EQU065</t>
  </si>
  <si>
    <t>G-03-06</t>
  </si>
  <si>
    <t>EQU066</t>
  </si>
  <si>
    <t>Camión dobletroque</t>
  </si>
  <si>
    <t>EQU067</t>
  </si>
  <si>
    <t>EQU068</t>
  </si>
  <si>
    <t>EQU069</t>
  </si>
  <si>
    <t>Aporte riesgos profesionales A.R.L.</t>
  </si>
  <si>
    <t>Aportes régimen general de pensiones (I.V.M.)</t>
  </si>
  <si>
    <t>SALARIO DÍA</t>
  </si>
  <si>
    <t>Adhesivo epóxico para pegar concreto fresco con endurecido de curado lento</t>
  </si>
  <si>
    <t>Adoquín vehicular gris de concreto e = 0,08 m</t>
  </si>
  <si>
    <t>Pintura verde óptico (tablero)</t>
  </si>
  <si>
    <t>Bloque de vidrio 20 x 20 cm</t>
  </si>
  <si>
    <t>Cuadrilla K (1Of eléctrico + 2Ay eléctricos) (jornal + prestaciones)</t>
  </si>
  <si>
    <t>Cuadrilla J (1 Of eléctrico + 1Ay eléctrico) (jornal + prestaciones)</t>
  </si>
  <si>
    <t>Defensa metálica de 4,13 m galvanizada</t>
  </si>
  <si>
    <t>Grifería para lavamanos tipo Artesa Grival</t>
  </si>
  <si>
    <t>Grifería para lavamanos tipo Dalia Grival</t>
  </si>
  <si>
    <t>Lavamanos tipo Acuacer de pedestal</t>
  </si>
  <si>
    <t>Pintura acrílica para tráfico</t>
  </si>
  <si>
    <t>Postes para defensa metálica (1.80 m) 6 mm, galvanizado (incluye tornillos)</t>
  </si>
  <si>
    <t>Señal (grupo 2). Tablero en lámina galvanizada de 1.2 m x 0.4 m, calibre16, reflectivo tipo III</t>
  </si>
  <si>
    <t>Señal (grupo 1). Tablero en lámina galvanizada de 75 cm x 75 cm, calibre 16 reflectivo tipo III</t>
  </si>
  <si>
    <t>Silla Yee PVC de pared estructural 450 x 160</t>
  </si>
  <si>
    <t>Teja ondulada de fibrocemento Nº 6</t>
  </si>
  <si>
    <t>Taco metálico de 2 - &gt; 3 m</t>
  </si>
  <si>
    <t>Compactador neumático con tractor</t>
  </si>
  <si>
    <t>Formaleta pavimento concreto 3 m</t>
  </si>
  <si>
    <t>Serv x 10 Km</t>
  </si>
  <si>
    <t>Compactador manual (canguro)</t>
  </si>
  <si>
    <t>Taco metálico de 2,6 - &gt; 4 m</t>
  </si>
  <si>
    <t>Tablero formaleta 90 x 135</t>
  </si>
  <si>
    <t>Compresor (barrido y soplado)</t>
  </si>
  <si>
    <t>Tn</t>
  </si>
  <si>
    <t>Bórax</t>
  </si>
  <si>
    <t>Grifería lavamanos de mesa tipo push</t>
  </si>
  <si>
    <t>Lavadero en resina de poliéster con tanque de 60 x 60 cm</t>
  </si>
  <si>
    <t>Manto impermeabilizante con base en asfalto</t>
  </si>
  <si>
    <t>Piedra media songa</t>
  </si>
  <si>
    <t>Equipo móvil pintura línea vías, incluye camioneta guía</t>
  </si>
  <si>
    <t>Motobomba de concreto</t>
  </si>
  <si>
    <t>Riego de liga con emulsión asfáltica CRR-1 o CCR-2</t>
  </si>
  <si>
    <t>Cercha metálica 3 m</t>
  </si>
  <si>
    <t>Lámina de fibrocemento e =  8 mm</t>
  </si>
  <si>
    <t>Lámina de mármol para piso o mesón</t>
  </si>
  <si>
    <t>Sanitario One Piece Solare blanco tipo Corona</t>
  </si>
  <si>
    <t>Silla Yee PVC de pared estructural 500 x 160</t>
  </si>
  <si>
    <t>Cerramiento provisional con guadua y tela de cerramiento h = 2 m</t>
  </si>
  <si>
    <t>Mantenimiento de postes y cerramiento en alambre de púas</t>
  </si>
  <si>
    <t>Buldócer D65-8</t>
  </si>
  <si>
    <t>Tornillos autoperforante 8/18" x 1/2" zinc hexágono metal tecks</t>
  </si>
  <si>
    <t>Canal en lámina galvanizada C 22, longitud de desarrollo 0,7 m</t>
  </si>
  <si>
    <t>Suministro y colocación de Frescasa</t>
  </si>
  <si>
    <t>Sanitario tipo Acua Plus blanco con grifería anti vandálica</t>
  </si>
  <si>
    <t>Grifería taza tipo push anti vandálica</t>
  </si>
  <si>
    <t>Ducha anti vandálica regadera tubular corta</t>
  </si>
  <si>
    <t>Ducha anti vandálica regadera tubular corta, incluye grifería tipo push</t>
  </si>
  <si>
    <t>Grifería pico empotrado línea anti vandálica, incluye válvula tipo push</t>
  </si>
  <si>
    <t>Grifería de empotrar corta línea anti vandálica, incluye push</t>
  </si>
  <si>
    <t>Grifería de empotrar corta línea anti vandálica, incluye válvula tipo push</t>
  </si>
  <si>
    <t>Geodrén circular de 4" l = 1,00 m</t>
  </si>
  <si>
    <t>Geodrén circular de 2 1/2" l = 1 m</t>
  </si>
  <si>
    <t>Geodrén circular de 6" l = 1,00 m</t>
  </si>
  <si>
    <t>Geodrén circular de 8" l = 1,00 m</t>
  </si>
  <si>
    <t>Geodrén planar l = 1,00 m</t>
  </si>
  <si>
    <t>Sistema séptico domiciliario 2000 lt</t>
  </si>
  <si>
    <t>Trampa de grasa 250 lt</t>
  </si>
  <si>
    <t>Kit de accesorios para sistema séptico de 2000 lt</t>
  </si>
  <si>
    <t>Tubería PVC sanitaría 4"</t>
  </si>
  <si>
    <t>Sistema séptico domiciliario prefabricado 4000 lt</t>
  </si>
  <si>
    <t>Kit de accesorios para sistema séptico de 4000 lt</t>
  </si>
  <si>
    <t>Tarro</t>
  </si>
  <si>
    <t>Clavija plástica 15 A - 125 V con PT</t>
  </si>
  <si>
    <t>Alambrón de Al 8 mm para apantallamiento, incluye accesorios de soporte y fijación</t>
  </si>
  <si>
    <t>Soporte para alambrón de 8 mm tipo Snap</t>
  </si>
  <si>
    <t xml:space="preserve">Medidor trifilar de 15/60 A neutro incorporado, demanda sencilla,  electrónico. Incluye canalización y caja metálica tipo intemperie </t>
  </si>
  <si>
    <t>Coraza metálica Liquid Tight 1"</t>
  </si>
  <si>
    <t>Canalización en tubería PVC 1"</t>
  </si>
  <si>
    <t>Canalización en tubería PVC 1/2"</t>
  </si>
  <si>
    <t>Taladro percutor, incluye broca</t>
  </si>
  <si>
    <t>Taladro tipo roto martillo, incluye broca</t>
  </si>
  <si>
    <t>Tablero de baloncesto acrílico, incluye armazón metálico, aro, malla e instalación</t>
  </si>
  <si>
    <t>Pago tarifa disposición final</t>
  </si>
  <si>
    <r>
      <t>M</t>
    </r>
    <r>
      <rPr>
        <vertAlign val="superscript"/>
        <sz val="10"/>
        <color indexed="8"/>
        <rFont val="Arial"/>
        <family val="2"/>
      </rPr>
      <t>2</t>
    </r>
  </si>
  <si>
    <t>Cuadrilla S (1 Soldador + 1 Ay práctico) (jornal + prestaciones)</t>
  </si>
  <si>
    <t>Filtro anaerobio de flujo ascendente en polietileno 100 % virgen, capacidad 2,000 lt</t>
  </si>
  <si>
    <t>Filtro anaerobio de flujo ascendente en polietileno 100 % virgen, capacidad 4,000 lt</t>
  </si>
  <si>
    <t>Geodrén circular de 2 1/2" l = 1,00 m</t>
  </si>
  <si>
    <t>Grúa montacarga (7 Tn)</t>
  </si>
  <si>
    <t>Tn-Km</t>
  </si>
  <si>
    <t>Transporte de materiales en mula (100 Kg/Km)</t>
  </si>
  <si>
    <t>Transporte material (corte, sub-base, base, afirmado, pétreos, arenas, etc.)</t>
  </si>
  <si>
    <t>Transporte materiales en mula (carga = 100 Kg/Km)</t>
  </si>
  <si>
    <t>Acero Fy = 60.000 PSI d &gt; 1/4"</t>
  </si>
  <si>
    <t>Malla electrosoldada M-188  Φ 6.00 mm c/0.15 m en ambos sentidos (incluye alambre negro, colocación y traslapo)</t>
  </si>
  <si>
    <t>Tubo galvanizado para cerramiento de 1 1/2" x 6 m incluye tapa</t>
  </si>
  <si>
    <t>Tubo galvanizado para cerramiento de 1 1/2" x 3 m incluye tapa</t>
  </si>
  <si>
    <t>Cerramiento en poste de concreto y malla eslabonada, incluye excavación y machones en concreto de 20,7 Mpa (3000 PSI)</t>
  </si>
  <si>
    <t>Puntilla (Promedio)</t>
  </si>
  <si>
    <t>Acero Fy = 60.000 PSI</t>
  </si>
  <si>
    <t>Zapatas en concreto de 24,5 Mpa (3500 PSI), no incluye refuerzo</t>
  </si>
  <si>
    <t>Columna de amarre en concreto de 20,7 Mpa (3000 PSI) de 0,10 x 0,20 m, incluye refuerzo</t>
  </si>
  <si>
    <t>Columna circular en concreto visto de 20,7 Mpa (3000 PSI) d =  0,45 m, no incluye acero</t>
  </si>
  <si>
    <t>Columna circular en concreto visto de 20,7 Mpa (3000 PSI) d = 0,65 m, no incluye acero</t>
  </si>
  <si>
    <t>Formaleta placa (Básico)</t>
  </si>
  <si>
    <t>Placa maciza en concreto de 20,7 Mpa (3000 PSI) e = 0,20 m, no incluye refuerzo</t>
  </si>
  <si>
    <t>Placa steeldeck en concreto de 20,7 Mpa (3000 PSI) de e = 0,10 m, incluye malla electrosoldada</t>
  </si>
  <si>
    <t>Viga aérea en concreto de 20,7 Mpa (3000 PSI), no incluye acero</t>
  </si>
  <si>
    <t>Viga de amarre en concreto de 20,7 Mpa (3000 PSI) de 0,10 x 0,20 m, incluye refuerzo</t>
  </si>
  <si>
    <t>Anden en concreto de 20,7 Mpa (3000 PSI) e = 0,10 m</t>
  </si>
  <si>
    <t>Protector de raíz en concreto de 17,2 Mpa (2500 PSI), e = 0,15 m, d = 1,20 m, h = 1,00 m, incluye refuerzo</t>
  </si>
  <si>
    <t>Pedestal (plataforma) en concreto de 20,7 Mpa (3000 PSI) e = 0,10 m</t>
  </si>
  <si>
    <t>Pedestal trapezoidal para soportar estructura metálica o de madera en concreto de 20,7 Mpa (3000 PSI) h = 0,30 m, base de 0,40 x 0,40 m, corona de 0,25 x 0,25 m, incluye refuerzo</t>
  </si>
  <si>
    <t>Pedestal rectangular para soportar estructura metálica o de madera en concreto de 20,7 Mpa (3000 PSI)  h = 1,00 m, base de 0,40 x 0,40 m, incluye refuerzo</t>
  </si>
  <si>
    <t>Gradería sobre terreno e = 0,10 m en concreto de 20,7 Mpa (3000 PSI), incluye malla electrosoldada h = 0,64 ch = 0,60 m</t>
  </si>
  <si>
    <t>Muerto en concreto de 17,2 Mpa (2500 PSI) profundidad = 1,25 m para torre metálica de 0,60 x 0,60 m, incluye excavación circular de 0,85 m</t>
  </si>
  <si>
    <t>Muerto en concreto de 17,2 Mpa (2500 PSI) profundidad = 2,15 m para torre metálica de 0,80 x 0,80 m, incluye excavación circular de 0,85 m</t>
  </si>
  <si>
    <t>Realce de cajas de inspección de 0.80 x 0.80 x 0.80 m en concreto de 20,7 Mpa (3000 PSI)</t>
  </si>
  <si>
    <t>Muro de contención en concreto 20,7 Mpa (3000 PSI), no incluye refuerzo</t>
  </si>
  <si>
    <t>ÍTEM</t>
  </si>
  <si>
    <t>Muro en bloque de cemento de 0,14 x 0,19 x 0,39 m</t>
  </si>
  <si>
    <t>Muro estructural en bloque de cemento de 0,14 x 0,19 x 0,39 m, no incluye refuerzo</t>
  </si>
  <si>
    <t>Concreto fluido 17,2 Mpa (2500 PSI)</t>
  </si>
  <si>
    <t>Cerámica tipo Antique 30,5 x 30,5 cm</t>
  </si>
  <si>
    <r>
      <t>Cerámica de 1</t>
    </r>
    <r>
      <rPr>
        <vertAlign val="superscript"/>
        <sz val="10"/>
        <rFont val="Arial"/>
        <family val="2"/>
      </rPr>
      <t>a</t>
    </r>
    <r>
      <rPr>
        <sz val="10"/>
        <rFont val="Arial"/>
        <family val="2"/>
      </rPr>
      <t xml:space="preserve"> de 20 x 20 cm tipo Ecocerámica</t>
    </r>
  </si>
  <si>
    <r>
      <t>Cerámica blanca de 1</t>
    </r>
    <r>
      <rPr>
        <vertAlign val="superscript"/>
        <sz val="10"/>
        <rFont val="Arial"/>
        <family val="2"/>
      </rPr>
      <t>a</t>
    </r>
    <r>
      <rPr>
        <sz val="10"/>
        <rFont val="Arial"/>
        <family val="2"/>
      </rPr>
      <t xml:space="preserve"> de 20,5 x 20,5 cm tipo Egeo</t>
    </r>
  </si>
  <si>
    <t>Granito pulido para paso de escalera h = 0,30 ch = 0,175 m, incluye pirlán de bronce</t>
  </si>
  <si>
    <t>Adoquín vehicular de concreto, incluye cemento en seco</t>
  </si>
  <si>
    <t>Adoquín peatonal de concreto, incluye cemento en seco</t>
  </si>
  <si>
    <t>Adoquín peatonal de gres, incluye cemento en seco</t>
  </si>
  <si>
    <t>Recorrido de techos de fibrocemento, incluye reacomodación de tejas, limpieza, reparación de amarras y/o ganchos</t>
  </si>
  <si>
    <t>Perfil aluminio blanco TL = 6 m</t>
  </si>
  <si>
    <t>Cielo falso en panel de yeso, incluye pintura</t>
  </si>
  <si>
    <t>Flanshing (flanche) en lámina galvanizada C 26, incluye mortero 1:3 impermeabilizado</t>
  </si>
  <si>
    <t>1 - 09 CARPINTERÍA METÁLICA</t>
  </si>
  <si>
    <t>Cuadrilla S (1 Soldador + 1 Ay Práctico) (jornal + prestaciones)</t>
  </si>
  <si>
    <t>Puerta para división en lámina doble C 20 h = 1,60 m, incluye anticorrosivo</t>
  </si>
  <si>
    <t>Pasamanos con casita, escalera: casita y pasamanos en tubo de 1 1/2", escalera en 1", la casita de 1.20 x 1.20 m, con piso en lámina y techo en fibra de vidrio anclado en concreto. Incluye anticorrosivo y pintura en esmalte para exteriores</t>
  </si>
  <si>
    <t>Reinstalación puerta y marco en lámina, incluye resane y pintura</t>
  </si>
  <si>
    <t>Puerta de madera, marco en lámina C 20 de 0,90 x 2,05 m, incluye anticorrosivo, pintura, barniz, chapa de bola de madera, manija y tope</t>
  </si>
  <si>
    <t>Sanitario tipo Acua Plus blanco</t>
  </si>
  <si>
    <t>Sanitario tipo Avanti Plus</t>
  </si>
  <si>
    <t>Lavamanos tipo Happy de colgar con grifería</t>
  </si>
  <si>
    <t>Orinal corrido en concreto de 20,7 Mpa (3000 PSI), incluye mampostería y enchape, longitud de desarrollo 0,65 m</t>
  </si>
  <si>
    <t>Regadera corriente (tipo Grival)</t>
  </si>
  <si>
    <t>Tubería PVC presión de 1/2" RDE 9</t>
  </si>
  <si>
    <t>Soldadura PVC líquida 1/4</t>
  </si>
  <si>
    <t>Tubería PVC presión de 3/4" RDE 21</t>
  </si>
  <si>
    <t>Tubería PVC presión de 1 1/4" RDE 21</t>
  </si>
  <si>
    <t>Tubería PVC presión de 1 1/2" RDE 21</t>
  </si>
  <si>
    <t>Tubería PVC presión de 2" RDE 21</t>
  </si>
  <si>
    <t>Tubería PVC presión de 1" RDE 21</t>
  </si>
  <si>
    <t>Tubería PVC acueducto unión platino de 8" RDE 21</t>
  </si>
  <si>
    <t>Tubería PVC acueducto unión platino de 6" RDE 21</t>
  </si>
  <si>
    <t>Tubería PVC acueducto unión platino de 4" RDE 21</t>
  </si>
  <si>
    <t>Tubería PVC acueducto unión platino de 3" RDE 21</t>
  </si>
  <si>
    <t>Tubería PVC acueducto unión platino de 2" RDE 21</t>
  </si>
  <si>
    <t xml:space="preserve">Concreto de 10,3 Mpa (1500 PSI) (Producción) </t>
  </si>
  <si>
    <t xml:space="preserve">Concreto de 13,8 Mpa (2000 PSI) (Producción) </t>
  </si>
  <si>
    <t xml:space="preserve">Concreto de 17,2 Mpa (2500 PSI) (Producción) </t>
  </si>
  <si>
    <t xml:space="preserve">Concreto de 20,7 Mpa (3000 PSI) (Producción) </t>
  </si>
  <si>
    <t xml:space="preserve">Concreto de 24,5 Mpa (3500 PSI) (Producción) </t>
  </si>
  <si>
    <t xml:space="preserve">Concreto de 27,6 Mpa (4000 PSI) (Producción) </t>
  </si>
  <si>
    <t xml:space="preserve">Concreto de 20,7 Mpa (3000 PSI) impermeabilizado (Producción) </t>
  </si>
  <si>
    <t xml:space="preserve">Concreto de 20,7 Mpa (Producción) </t>
  </si>
  <si>
    <t xml:space="preserve">Concreto de 27,6 Mpa (Producción) </t>
  </si>
  <si>
    <t xml:space="preserve">Concreto ciclópeo (Producción) </t>
  </si>
  <si>
    <t xml:space="preserve">Concreto de 20,7  Mpa (Producción) </t>
  </si>
  <si>
    <t xml:space="preserve">Concreto de 13,8 Mpa (Producción) </t>
  </si>
  <si>
    <t xml:space="preserve">Concreto fluido 17,2 Mpa (2500 PSI) (Producción) </t>
  </si>
  <si>
    <t xml:space="preserve">Concreto de 17,2 Mpa (Producción) </t>
  </si>
  <si>
    <t xml:space="preserve">Mortero 1:2 (Producción) </t>
  </si>
  <si>
    <t xml:space="preserve">Mortero 1:3 (Producción) </t>
  </si>
  <si>
    <t xml:space="preserve">Mortero 1:4 (Producción) </t>
  </si>
  <si>
    <t xml:space="preserve">Mortero 1:5 (Producción) </t>
  </si>
  <si>
    <t xml:space="preserve">Mortero 1:3 impermeabilizado (Producción) </t>
  </si>
  <si>
    <t xml:space="preserve">Concreto de 10,3 Mpa (Producción) </t>
  </si>
  <si>
    <t xml:space="preserve">Concreto de 24,5 Mpa (Producción) </t>
  </si>
  <si>
    <t xml:space="preserve">Concreto de 20,7 Mpa impermeabilizado (Producción) </t>
  </si>
  <si>
    <t xml:space="preserve">Concreto de 20,7. Mpa impermeabilizado (Producción) </t>
  </si>
  <si>
    <t>Tubería CPVC de 1/2" 100 PSI</t>
  </si>
  <si>
    <t>Soldadura PVC líquida para agua caliente 1/4</t>
  </si>
  <si>
    <t>Tubería PVC presión de 3" RDE 21</t>
  </si>
  <si>
    <t>Acero Fy = 37.000 PSI d ≤ 1/4"</t>
  </si>
  <si>
    <t>Acero  Fy = 60,000 PSI d &gt; 1/4"</t>
  </si>
  <si>
    <t>Cheque de 1 1/2" 200 PSI en bronce</t>
  </si>
  <si>
    <t>Cheque de 3/4" 200 PSI</t>
  </si>
  <si>
    <t>Silla Yee PVC de pared estructural 400 X 160</t>
  </si>
  <si>
    <t>Interruptor enchufable 1 x 20 A 10 KA marca Luminex o similar</t>
  </si>
  <si>
    <t>Accesorios de fijación</t>
  </si>
  <si>
    <t>Tablero monofásico 6 circuitos con barraje de 75 A, barrajes de neutro y tierra. Incluye una protección de 1 x 20 A 10 KA. Empotrado</t>
  </si>
  <si>
    <t>Tablero bifásico 4 circuitos con barraje de 75 A, barras de neutro y tierra.  Ref VTQ-4M-SQ marca Schneider Electric o similar</t>
  </si>
  <si>
    <t>Tablero bifásico 8 circuitos con barrajes de 125 A, barrajes de neutro y tierra, chapa. Incluye una protección de 2 x 20 A 10 KA y una protección de 1 x 20 A 10 KA. Empotrado</t>
  </si>
  <si>
    <t>Tablero bifásico 4 circuitos con barraje de 75 A, barrajes de neutro y tierra. Incluye una protección de 1 x 20 A 10 KA. Empotrado</t>
  </si>
  <si>
    <t>Interruptor enchufable 2 x 20 A 10 KA marca Luminex o similar</t>
  </si>
  <si>
    <t>Interruptor enchufable 1 x 20 A 10 KA Marca Luminex o similar</t>
  </si>
  <si>
    <t>Tablero trifásico 12  circuitos con barraje de 200 A, barrajes de neutro y tierra, puerta y chapa. Incluye una protección de 3 x 20 A 10 KA, una protección de 2 x 20 A 10 KA y una protección de 1 x 20 A 10 KA. Empotrado</t>
  </si>
  <si>
    <t>Tablero trifásico 12 circuitos con barraje de 200 A, barras de neutro y tierra. Puerta y chapa. Ref NTQ-412-SQ marca Schneider Electric o similar</t>
  </si>
  <si>
    <t>Interruptor enchufable 3 x 20 A 10 KA marca Luminex o similar</t>
  </si>
  <si>
    <t>Tablero trifásico 18 circuitos con barraje de 200 A, barrajes de neutro y tierra, puerta y chapa. Incluye una protección de 3 x 20 A 10 KA, una protección de 2 x 20 A 10 KA y una protección de 1 x 20 A 10 KA. Empotrado</t>
  </si>
  <si>
    <t>Tablero trifásico 18 circuitos NTQ-418-SQ, con barraje de 200 A, barra de neutro, barra de tierra, puerta y chapa. Marca Schneider Electric o similar</t>
  </si>
  <si>
    <t>Tablero trifásico 24 circuitos con barraje de 200 A, barras de neutro y tierra, puerta y chapa. Ref NTQ-424-SQ marca Schneider Electric o similar</t>
  </si>
  <si>
    <t>Curva conduit PVC 1/2"</t>
  </si>
  <si>
    <t>Limpiador PVC 760 gr</t>
  </si>
  <si>
    <t>Caja 2 x 4 metálica galvanizada</t>
  </si>
  <si>
    <t>Conector tipo resorte para cable Nº 14/12</t>
  </si>
  <si>
    <t>Cinta aislante SCOTCH o similar 33 19 mm x 20 m</t>
  </si>
  <si>
    <t>Interruptor sencillo sin luz piloto, marca Luminex o similar</t>
  </si>
  <si>
    <t>Interruptor doble sin luz piloto, marca Luminex similar</t>
  </si>
  <si>
    <t>Interruptor triple sin luz piloto, marca Luminex  o similar</t>
  </si>
  <si>
    <t>Curva conduit EMT 3/4"</t>
  </si>
  <si>
    <t>Toma corriente doble con polo a tierra, marca Luminex o similar</t>
  </si>
  <si>
    <t>Toma corriente doble tipo GFCI, marca Luminex o similar</t>
  </si>
  <si>
    <t>Adaptador terminal EMT 3/4"</t>
  </si>
  <si>
    <t>Curva conduit PVC 3/4"</t>
  </si>
  <si>
    <t>Cable Cu aislado #12 HFFR LS</t>
  </si>
  <si>
    <t xml:space="preserve">Concreto de 20,7 Mpa (3000 PSI) acelerado (Producción) </t>
  </si>
  <si>
    <t xml:space="preserve">Concreto de 27,6 Mpa (4000 PSI) impermeabilizado (Producción) </t>
  </si>
  <si>
    <t xml:space="preserve">Concreto de 27,6 Mpa (4000 PSI) acelerado (Producción) </t>
  </si>
  <si>
    <t>Caja de transición sistema de apantallamiento</t>
  </si>
  <si>
    <t>Concreto ciclópeo (Producción)</t>
  </si>
  <si>
    <t>Mortero 1:3 (Producción)</t>
  </si>
  <si>
    <t>Mortero 1:4 (Producción)</t>
  </si>
  <si>
    <t>Concreto de 17,2 Mpa (2500 PSI) (Producción)</t>
  </si>
  <si>
    <t>Acero Fy = 60.000 PSI d&gt;1/4"</t>
  </si>
  <si>
    <t>Análisis Unitarios de Referencia Gobernación de Risaralda</t>
  </si>
  <si>
    <t>Cable Cu desnudo 1/0 anillo inferior sistema de apantallamiento, brecha 0,3 m ancho por 0,7 m profundidad</t>
  </si>
  <si>
    <t>Tablero de mortero 1:3, incluye estuco y pintura verde óptico</t>
  </si>
  <si>
    <t>Transporte materiales a obra (no incluye descargue)</t>
  </si>
  <si>
    <t>Concreto de 20,7  Mpa impermeabilizado (Producción)</t>
  </si>
  <si>
    <t>Filtro francés (0,60 x 0,90 m), sin tubería, incluye piedra y geotextil NT 1.600</t>
  </si>
  <si>
    <t>Filtro francés (0,60 x 0,90 m), incluye tubería, piedra y geotextil NT 1.600</t>
  </si>
  <si>
    <t>Pavimento en concreto 27,6 Mpa (4000 PSI) en obra, e = 0.175 m, incluye refuerzo, corte con disco y sello de juntas</t>
  </si>
  <si>
    <t>Pavimento en concreto 27,6 Mpa (4000 PSI) en obra, e = 0.2 m, incluye refuerzo, corte con disco y sello de juntas</t>
  </si>
  <si>
    <t>Pavimento en concreto 20,7 Mpa (3000 PSI) premezclado, e = 0.175 m, incluye refuerzo, corte con disco y sello de juntas</t>
  </si>
  <si>
    <t>Pavimento en concreto 27,6 Mpa (4000 PSI) premezclado, e = 0.175 m, incluye refuerzo, corte con disco y sello de juntas</t>
  </si>
  <si>
    <t>Acequia de corona, a = 0.30, h = 0.25 e = 0.08 m, en concreto de 10,3 Mpa (1500 PSI)</t>
  </si>
  <si>
    <t>Pasamanos en tubería de H. G. de 2" C 14, incluye accesorios</t>
  </si>
  <si>
    <t>Tubería de HG de 2" C 14</t>
  </si>
  <si>
    <t>Defensa vial, incluye terminales y capta faros</t>
  </si>
  <si>
    <t>Alquiler de campero o camioneta Mod. &gt; 2016 de 2.600 o más C. C., con conductor</t>
  </si>
  <si>
    <t>Señal vertical de transito tipo SP, SR de 75 x 75 con lámina retroreflectiva tipo diamante</t>
  </si>
  <si>
    <t>Líneas de demarcación vial pintura en frío</t>
  </si>
  <si>
    <t>Disolvente Pintráfico Ref 121004</t>
  </si>
  <si>
    <t>Tachón en resina l = 0,4 m, a = 0,15 m, h = 0,08 m incluye instalación</t>
  </si>
  <si>
    <t>Poste en guadua pintado, base en concreto de 2500 PSI para cinta seguridad</t>
  </si>
  <si>
    <t>Cinta de señalización C 6</t>
  </si>
  <si>
    <t>Protector de raíz en concreto de 17,2 Mpa (2500 PSI), e = 0,15 m, d Int. = 1,20 m, h = 1,00 m, incluye refuerzo</t>
  </si>
  <si>
    <t>CANT</t>
  </si>
  <si>
    <t>Rocería manual para cooperativas, incluye limpieza de obras de arte, retiro de sobrantes</t>
  </si>
  <si>
    <r>
      <t>Buggy liviano antipinchazo 6 pies</t>
    </r>
    <r>
      <rPr>
        <vertAlign val="superscript"/>
        <sz val="10"/>
        <rFont val="Arial"/>
        <family val="2"/>
      </rPr>
      <t>3</t>
    </r>
  </si>
  <si>
    <t>Señal (grupo1). Tablero en lámina galvanizada de 75 cm x 75 cm  C 16 reflectivo tipo III</t>
  </si>
  <si>
    <r>
      <t>Cargador 930 1,5 yd</t>
    </r>
    <r>
      <rPr>
        <vertAlign val="superscript"/>
        <sz val="10"/>
        <rFont val="Arial"/>
        <family val="2"/>
      </rPr>
      <t>3</t>
    </r>
  </si>
  <si>
    <r>
      <t>Motosierra, 93.6 cm</t>
    </r>
    <r>
      <rPr>
        <vertAlign val="superscript"/>
        <sz val="10"/>
        <rFont val="Arial"/>
        <family val="2"/>
      </rPr>
      <t>3</t>
    </r>
    <r>
      <rPr>
        <sz val="10"/>
        <rFont val="Arial"/>
        <family val="2"/>
      </rPr>
      <t xml:space="preserve"> - 7.1 HP, 45-90 cm - 7.9 kg</t>
    </r>
  </si>
  <si>
    <t>Desmonte y limpieza en zonas no boscosas</t>
  </si>
  <si>
    <t>Desmonte y limpieza en bosque</t>
  </si>
  <si>
    <r>
      <t>Compresor 185 pies</t>
    </r>
    <r>
      <rPr>
        <vertAlign val="superscript"/>
        <sz val="10"/>
        <rFont val="Arial"/>
        <family val="2"/>
      </rPr>
      <t>3</t>
    </r>
    <r>
      <rPr>
        <sz val="10"/>
        <rFont val="Arial"/>
        <family val="2"/>
      </rPr>
      <t xml:space="preserve"> CFM de 2 martillos, incluye 2 operarios y combustible</t>
    </r>
  </si>
  <si>
    <t>Remoción de alcantarillas</t>
  </si>
  <si>
    <t>Carrotanque de agua (1000 galones)</t>
  </si>
  <si>
    <t>Motoniveladora  potencia 215 HP, ancho de cuchilla 4,27 m, peso 18 Tn</t>
  </si>
  <si>
    <t>Motoniveladora  potencia 215 HP, ancho de cuchilla 4,27 m, peso 18 Ton</t>
  </si>
  <si>
    <t>Protección de taludes con tierra orgánica</t>
  </si>
  <si>
    <t>Recubrimiento de taludes con malla y mortero 1:4 de e = 10 cm</t>
  </si>
  <si>
    <t>Formaleta pavimento concreto l = 3 m</t>
  </si>
  <si>
    <t>Ayudante  práctico (jornal + prestaciones)</t>
  </si>
  <si>
    <t>Cuadrilla A 1 Of + 4 Ay (jornal + prestaciones) (excavación)</t>
  </si>
  <si>
    <t>Rocería de taludes a = 3 m, incluye conformación de cunetas en tierra o limpieza de cunetas en contrato  y retiro manual de sobrantes</t>
  </si>
  <si>
    <t xml:space="preserve">Día </t>
  </si>
  <si>
    <t xml:space="preserve">Sikarod 6 -10 mm de diámetro </t>
  </si>
  <si>
    <t>Bordillo de concreto vaciado in situ, incluye la preparación de la superficie de apoyo</t>
  </si>
  <si>
    <t>Bordillo de piezas prefabricadas de concreto, incluye la preparación de la superficie de apoyo</t>
  </si>
  <si>
    <t xml:space="preserve">Gaviones de malla de alambre de acero entrelazado clase 1, recubrimiento de zinc (galvanizado) </t>
  </si>
  <si>
    <t>Liniero categoría 1</t>
  </si>
  <si>
    <t>Liniero categoría 2</t>
  </si>
  <si>
    <t xml:space="preserve"> %MO</t>
  </si>
  <si>
    <t>Circuito en cable 3 x 12 HFFR LS</t>
  </si>
  <si>
    <t>Conector de perforación de aislamiento JZ2- 95 para cable Nº 4</t>
  </si>
  <si>
    <t>Cable cobre trenzado o concéntrico 2 x 8 + 8</t>
  </si>
  <si>
    <t>Cable cobre concéntrico 2 x 8 + 8</t>
  </si>
  <si>
    <t>Tornillo de carriaje de 5/8" x 2", incluye tuerca, arandela plana y de presión</t>
  </si>
  <si>
    <t>Tomacorriente doble con polo a tierra. Marca Luminex o similar</t>
  </si>
  <si>
    <t xml:space="preserve">Alambrón de aluminio 8 mm </t>
  </si>
  <si>
    <t>Tapa ciega metálica 4x4" para caja Rawelt</t>
  </si>
  <si>
    <t>G- ÍTEMS GENERALES</t>
  </si>
  <si>
    <t>Desmonte de flanshing</t>
  </si>
  <si>
    <t>2 - 03 BASES, SUB BASES Y AFIRMADO</t>
  </si>
  <si>
    <t>2 - 04 PAVIMENTOS ASFÁLTICOS</t>
  </si>
  <si>
    <t>2 - 01 PRELIMINARES</t>
  </si>
  <si>
    <t>2 - 05 PAVIMENTOS DE CONCRETO HIDRÁULICO</t>
  </si>
  <si>
    <t>02 - 07SEÑALIZACIÓN Y SEGURIDAD</t>
  </si>
  <si>
    <t>2 - 06 OBRAS DE DRENAJE, CONTENCIÓN Y CIMENTACIÓN</t>
  </si>
  <si>
    <t>02 - 08 OBRAS VARIAS</t>
  </si>
  <si>
    <t>02 - 09 TRANSPORTE</t>
  </si>
  <si>
    <t>G - 01  CONCRETOS Y MORTEROS</t>
  </si>
  <si>
    <t>G - 02  ACEROS</t>
  </si>
  <si>
    <t>G - 03 TRANSPORTE</t>
  </si>
  <si>
    <t>1 - CONSTRUCCIÓN, MANTENIMIENTO Y ADECUACIÓN DE EDIFICACIONES DE INFRAESTRUCTURA SOCIAL Y COMUNITARIA</t>
  </si>
  <si>
    <t>1 - 03 EXCAVACIONES Y LLENOS</t>
  </si>
  <si>
    <t>1 - 10  CARPINTERÍA EN MADERA</t>
  </si>
  <si>
    <t>2.- CONSTRUCCIÓN, MANTENIMIENTO Y MEJORAMIENTO DE VÍAS</t>
  </si>
  <si>
    <t>3 - 01 RED DE MEDIA TENSIÓN</t>
  </si>
  <si>
    <t>03.01.01</t>
  </si>
  <si>
    <t>03.01.03</t>
  </si>
  <si>
    <t>03.01.04</t>
  </si>
  <si>
    <t>03.01.05</t>
  </si>
  <si>
    <t>Cable ACSR semiaislado (ecológico), 13.2 Kv Nº 2 AWG (puentes de red de MT a transformadores de medida y potencia)</t>
  </si>
  <si>
    <t>03.01.07</t>
  </si>
  <si>
    <t>03.01.06</t>
  </si>
  <si>
    <t>Transformador de corriente 15 Kv - 7.5/5 A - 5A, uso exterior</t>
  </si>
  <si>
    <t>03.01.08</t>
  </si>
  <si>
    <t>Transformador de potencial 1.73 x15 Kv - 1.73 x 120 V uso exterior</t>
  </si>
  <si>
    <t>3 - 02 ACOMETIDAS ELÉCTRICAS</t>
  </si>
  <si>
    <t>03.02.01</t>
  </si>
  <si>
    <t>03.02.02</t>
  </si>
  <si>
    <t>03.02.03</t>
  </si>
  <si>
    <t>03.02.04</t>
  </si>
  <si>
    <t>Bajante galvanizado 4" x 6 m</t>
  </si>
  <si>
    <t>03.02.05</t>
  </si>
  <si>
    <t>03.02.06</t>
  </si>
  <si>
    <t>03.02.07</t>
  </si>
  <si>
    <t>03.02.08</t>
  </si>
  <si>
    <t>03.02.09</t>
  </si>
  <si>
    <t>03.02.10</t>
  </si>
  <si>
    <t>03.02.11</t>
  </si>
  <si>
    <t>Acometida planta de emergencia 2 x Nº 4/0 (F) + 2 x 4/0 (N), sin ducto, alimenta a TGBT</t>
  </si>
  <si>
    <t>03.02.12</t>
  </si>
  <si>
    <t>03.02.13</t>
  </si>
  <si>
    <t>Cámara 80 x 80 x 100 cm, según Norma CHEC para baja tensión</t>
  </si>
  <si>
    <t>03.02.14</t>
  </si>
  <si>
    <r>
      <t>M</t>
    </r>
    <r>
      <rPr>
        <vertAlign val="superscript"/>
        <sz val="10"/>
        <color indexed="8"/>
        <rFont val="Arial"/>
        <family val="2"/>
        <scheme val="minor"/>
      </rPr>
      <t>3</t>
    </r>
  </si>
  <si>
    <t>03.02.15</t>
  </si>
  <si>
    <t>03.02.16</t>
  </si>
  <si>
    <t>03.02.17</t>
  </si>
  <si>
    <t>03.02.18</t>
  </si>
  <si>
    <t>Acometida 3 x Nº 6 (F) + 1 x Nº 6 (N) + 1 x Nº 8 (T), sin ducto. Cables de bajo contenido halógenos, baja emisión humo</t>
  </si>
  <si>
    <t>Acometida 3 # 2 (F) + 1 # 8 (T) THHN, ducto IMC 2". Va desde tablero general de equipos de A. A. a unidad VRF 1</t>
  </si>
  <si>
    <t>03.02.19</t>
  </si>
  <si>
    <t>Canalización ducto conduit PVC 2 ø 4" DB en andén</t>
  </si>
  <si>
    <t>03.02.20</t>
  </si>
  <si>
    <t>Acometida 3 # 2 + 1 # 8 (T) THHN, ducto IMC 2" desde tablero general de equipos AA hasta unidad VRF</t>
  </si>
  <si>
    <t>Acometida 2 x Nº 8 (F) + 1 x Nº 6 (N) + 1 x Nº 8 (T), ducto PVC 1" hasta gabinete de medidores</t>
  </si>
  <si>
    <t>Acometida 3 x Nº 4 (F) + 1 x Nº 4 (N) + 1 x Nº 8 (T), sin ducto. Cables de bajo contenido halógenos, baja emisión humo. Tablero ascensor</t>
  </si>
  <si>
    <t>Acometida 3 x Nº 4 (F) + 1 x Nº 4 (N) + 1 x Nº 8 (T), sin ducto. Cables de bajo contenido halógenos, baja emisión humo a tablero</t>
  </si>
  <si>
    <t>Acometida 3 x Nº 6 (F) + 1 x Nº 6 (N) + 1 x Nº 8 (T), sin ducto. Cables de bajo contenido halógenos, baja emisión humo. Tablero subestación</t>
  </si>
  <si>
    <t>Acometida 2 x Nº 6 (F) + 1 x Nº 6 (N) + 1 x Nº 8 (T), sin ducto. Cables de bajo contenido de halógenos y baja emisión de humo</t>
  </si>
  <si>
    <t>Acometida 3 x Nº 2 (F) + 1 x Nº 2 (N) + 1 x Nº 6 (T), sin ducto. Cables bajo contenido halógenos, baja emisión de humo. Tablero de cargas especiales</t>
  </si>
  <si>
    <t>Acometida 3 x Nº 4 (F) + 1 x Nº 4 (N) + 1 x Nº 8 (T), sin ducto. Cables de bajo contenido halógenos, baja emisión humo. Tablero ensayos</t>
  </si>
  <si>
    <t>03.02.21</t>
  </si>
  <si>
    <t>Acometida 3 x Nº 4 (F) + 1 x Nº (N) + 1 x Nº 8 (T), sin ducto. Cables de bajo contenido halógenos, baja emisión humo</t>
  </si>
  <si>
    <t>Acometida 3 # 2 (F) + 1 # 8 (T) THHN, ducto IMC 2". Va desde tablero general de equipos de A.A. a unidad VRF</t>
  </si>
  <si>
    <t>03.02.22</t>
  </si>
  <si>
    <t>Cable encauchetado 4 x 14 sin ducto</t>
  </si>
  <si>
    <t>03.02.23</t>
  </si>
  <si>
    <t>Acometida 2 x (3 # 350 KCM (F) ) + 1 x Nº 350 KCM (N)), sin ducto, acometida desde transformador hasta TGBT</t>
  </si>
  <si>
    <t>03.02.24</t>
  </si>
  <si>
    <t>Acometida 3 # 2 (F) + 1 # 8 (T) THHN, ducto IMC 2". Va desde tablero general de equipos de A.A. a unidad PKT ROOF</t>
  </si>
  <si>
    <t>03.02.25</t>
  </si>
  <si>
    <t>Cable encauchetado 4 x 16 sin ducto</t>
  </si>
  <si>
    <t>03.02.26</t>
  </si>
  <si>
    <t>03.02.27</t>
  </si>
  <si>
    <t>Acometida 3 # 6 (F) + 1 # 8 (T) THHN, ducto IMC 1.1/2". Va desde tablero general de equipos de A.A. a unidad VRF</t>
  </si>
  <si>
    <t>03.02.28</t>
  </si>
  <si>
    <t>03.02.29</t>
  </si>
  <si>
    <t>03.02.30</t>
  </si>
  <si>
    <t>03.02.31</t>
  </si>
  <si>
    <t>Acometida 2 # 12 (F) + 1 # 1 (T) THHN, ducto IMC 3/4". Va desde tablero general de equipos de A.A. a unidad de MS de 24000 BTU</t>
  </si>
  <si>
    <t>Acometida cable de control apantallado 3 x 16, ducto EMT 3/4". Interconecta las unidades de expansión en los diferentes espacios con las unidades en la terraza de equipos</t>
  </si>
  <si>
    <t>3 - 03 TABLEROS Y PROTECCIONES</t>
  </si>
  <si>
    <t>03.03.01</t>
  </si>
  <si>
    <t>03.03.02</t>
  </si>
  <si>
    <t>03.03.03</t>
  </si>
  <si>
    <t>03.03.04</t>
  </si>
  <si>
    <t>03.03.05</t>
  </si>
  <si>
    <t>03.03.06</t>
  </si>
  <si>
    <t>03.03.07</t>
  </si>
  <si>
    <t>03.03.08</t>
  </si>
  <si>
    <t>03.03.09</t>
  </si>
  <si>
    <t>03.03.10</t>
  </si>
  <si>
    <t>03.03.11</t>
  </si>
  <si>
    <t>03.03.12</t>
  </si>
  <si>
    <t>Breaker tripolar enchufable de 3 x 50 A. Incluye formado de cable, peinada en el tablero y marcación de circuitos</t>
  </si>
  <si>
    <t>03.03.13</t>
  </si>
  <si>
    <t>Caja para instalación totalizador acometida ascensor en cuarto de ascensor en terraza</t>
  </si>
  <si>
    <t>03.03.14</t>
  </si>
  <si>
    <t>03.03.15</t>
  </si>
  <si>
    <t>03.03.16</t>
  </si>
  <si>
    <t>Consola de operación (vinculado a tablero de protecciones)</t>
  </si>
  <si>
    <t>Valor contrato para suministro de consola de operación (vinculado a tablero de protecciones), según diagrama unifilar del proyecto</t>
  </si>
  <si>
    <t>03.03.17</t>
  </si>
  <si>
    <t>03.03.18</t>
  </si>
  <si>
    <t>Valor contrato para suministro de tablero general de baja tensión, incluye transferencia automática motorizada de 450A, según diseños del proyecto. No se incluyen protecciones</t>
  </si>
  <si>
    <t>03.03.19</t>
  </si>
  <si>
    <t>3 - 04 SALIDAS DE ILUMINACIÓN</t>
  </si>
  <si>
    <t>03.04.01</t>
  </si>
  <si>
    <t>03.04.02</t>
  </si>
  <si>
    <t>03.04.03</t>
  </si>
  <si>
    <t>Salida iluminación en aplique exterior, tubería IMC ø 3/4", incluye accesorios de fijación a estructura, longitud promedio 4.5 m</t>
  </si>
  <si>
    <t>03.04.04</t>
  </si>
  <si>
    <t>Salida iluminación sistemas de emergencia, tubería EMT ø 3/4" (avisos de salida, lámparas de emergencia)</t>
  </si>
  <si>
    <t>03.04.05</t>
  </si>
  <si>
    <t>03.04.06</t>
  </si>
  <si>
    <t>Salida Interruptor triple, tubería EMT ø 3/4"</t>
  </si>
  <si>
    <t>03.04.07</t>
  </si>
  <si>
    <t>03.04.08</t>
  </si>
  <si>
    <t>03.04.09</t>
  </si>
  <si>
    <t>Salida iluminación Step Light, ducto PVC 1/2" (Lámparas de Piso en contra huellas)</t>
  </si>
  <si>
    <t>Salida interruptor doble, tubería EMT ø 3/4"</t>
  </si>
  <si>
    <t>03.04.10</t>
  </si>
  <si>
    <t>Salida iluminación proyectores, tubería EMT ø 3/4", incluye accesorios de fijación a estructura</t>
  </si>
  <si>
    <t>03.04.11</t>
  </si>
  <si>
    <t>03.04.12</t>
  </si>
  <si>
    <t>3 - 05 LÁMPARAS DE USO INTERIOR</t>
  </si>
  <si>
    <t>Acometida cable de control apantallado 3 x 16, ducto EMT 3/4". Control sistema de dimerización</t>
  </si>
  <si>
    <t>03.05.01</t>
  </si>
  <si>
    <t>03.05.02</t>
  </si>
  <si>
    <t>03.05.03</t>
  </si>
  <si>
    <t>03.05.04</t>
  </si>
  <si>
    <t>03.05.05</t>
  </si>
  <si>
    <t>03.05.08</t>
  </si>
  <si>
    <t>03.05.09</t>
  </si>
  <si>
    <t>03.05.10</t>
  </si>
  <si>
    <t>03.05.11</t>
  </si>
  <si>
    <t>03.05.12</t>
  </si>
  <si>
    <t>03.05.13</t>
  </si>
  <si>
    <t>03.05.14</t>
  </si>
  <si>
    <t>03.05.15</t>
  </si>
  <si>
    <t>03.05.16</t>
  </si>
  <si>
    <t>03.05.17</t>
  </si>
  <si>
    <t>3 - 06 SALIDAS DE TOMA CORRIENTES</t>
  </si>
  <si>
    <t>Salida toma doble polo a tierra  EMT ø 3/4", longitud promedio 6 m</t>
  </si>
  <si>
    <t>03.06.01</t>
  </si>
  <si>
    <t>Salida toma doble polo a tierra aislada, tubería EMT ø 3/4"</t>
  </si>
  <si>
    <t>03.06.02</t>
  </si>
  <si>
    <t>03.06.03</t>
  </si>
  <si>
    <t>Salida toma doble polo a tierra  GFCI, tubería EMT ø 3/4", longitud promedio 6 m</t>
  </si>
  <si>
    <t>03.06.04</t>
  </si>
  <si>
    <t>Salida toma doble polo a tierra  aislada, tubería EMT ø 3/4", longitud promedio 6 m</t>
  </si>
  <si>
    <t>03.06.05</t>
  </si>
  <si>
    <t>03.06.06</t>
  </si>
  <si>
    <t>Salida toma 20 A, polo a tierra  EMT ø 3/4", longitud promedio 15 m</t>
  </si>
  <si>
    <t>Salida alimentación equipos tipo cassette, tubería EMT ø 3/4", longitud promedio 9 m</t>
  </si>
  <si>
    <t>03.06.07</t>
  </si>
  <si>
    <t>03.06.08</t>
  </si>
  <si>
    <t>Salida toma tipo industrial de 63 A,  EMT ø 1", longitud promedio 2 m. Incluye elementos de soporte y toma industrial de sobre poner</t>
  </si>
  <si>
    <t>03.06.09</t>
  </si>
  <si>
    <t>Clavija de seguridad tipo industrial,  63 Amp. 3 fases + neutro + tierra</t>
  </si>
  <si>
    <t>03.06.10</t>
  </si>
  <si>
    <t>3 - 07 RED DE TELEVISIÓN</t>
  </si>
  <si>
    <t>Salida toma de TV, ducto EMT ø 3/4", longitud promedio 15 m, incluye cable coaxial RG-6</t>
  </si>
  <si>
    <t>03.07.01</t>
  </si>
  <si>
    <t>03.08.01</t>
  </si>
  <si>
    <t>Salida doble voz/ datos Cat 6A (canalización y aparato), tubería EMT, no incluye cable</t>
  </si>
  <si>
    <t>03.08.02</t>
  </si>
  <si>
    <t>Rack de piso, cerrado con puerta de vidrio, 6´ x 22.5" x 24" (36 UR)</t>
  </si>
  <si>
    <t>03.08.03</t>
  </si>
  <si>
    <t>03.08.04</t>
  </si>
  <si>
    <t>03.08.05</t>
  </si>
  <si>
    <t>03.08.06</t>
  </si>
  <si>
    <t>03.08.07</t>
  </si>
  <si>
    <t>Certificación salidas lógicas 6A, 7</t>
  </si>
  <si>
    <t>3 - 09 SISTEMA DE SONIDO</t>
  </si>
  <si>
    <t>Canalización para salida de sonido frontal, tubería EMT</t>
  </si>
  <si>
    <t>03.09.01</t>
  </si>
  <si>
    <t>03.09.02</t>
  </si>
  <si>
    <t>3 - 10 GABINETES MEDIDORES</t>
  </si>
  <si>
    <t>03.10.01</t>
  </si>
  <si>
    <t>03.10.02</t>
  </si>
  <si>
    <t>Medidor electrónico multi tarifa/ multi modo, Elster clase 0.5, lectura indirecta</t>
  </si>
  <si>
    <t>03.10.03</t>
  </si>
  <si>
    <t>Medidor de energía trifilar, 3H, 240/120 V - 15/80 A, lectura directa. Incluye protocolo de pruebas</t>
  </si>
  <si>
    <t>03.10.04</t>
  </si>
  <si>
    <t>3 - 11 CONDUCTORES Y CANALIZACIONES</t>
  </si>
  <si>
    <t>03.11.01</t>
  </si>
  <si>
    <t>3 - 12 SISTEMA DE PUESTA A TIERRA</t>
  </si>
  <si>
    <t>Bandeja portacable tipo canasta CABLOFIL 54 x 400 mm, colgada</t>
  </si>
  <si>
    <t>Malla de puesta a tierra rectangular, 5 x 10 m, cable 2/0 AWG, varillas de cobre ø 5/8" x 2.4 m</t>
  </si>
  <si>
    <t>03.12.01</t>
  </si>
  <si>
    <t>Bt</t>
  </si>
  <si>
    <t>03.13.01</t>
  </si>
  <si>
    <t>3 - 14 ALUMBRADO PÚBLICO</t>
  </si>
  <si>
    <t>03.14.01</t>
  </si>
  <si>
    <t>Poste metálico de 4 m galvanizado en caliente (por inmersión) con brazo curvo, sencillo de 1 m</t>
  </si>
  <si>
    <t>03.14.02</t>
  </si>
  <si>
    <t>Luminaria ornamental LED de reparto simétrico para instalación a 4 m de altura. Incluye base para fotocelda</t>
  </si>
  <si>
    <t>03.14.03</t>
  </si>
  <si>
    <t>3 - 15 PROTECCIÓN EXTERIOR CONTRA RAYOS</t>
  </si>
  <si>
    <t>03.15.01</t>
  </si>
  <si>
    <r>
      <t>Alambrón de aluminio sólido, a = 50 mm</t>
    </r>
    <r>
      <rPr>
        <b/>
        <vertAlign val="superscript"/>
        <sz val="11"/>
        <color indexed="8"/>
        <rFont val="Arial"/>
        <family val="2"/>
        <scheme val="minor"/>
      </rPr>
      <t>2</t>
    </r>
    <r>
      <rPr>
        <b/>
        <sz val="11"/>
        <color indexed="8"/>
        <rFont val="Arial"/>
        <family val="2"/>
        <scheme val="minor"/>
      </rPr>
      <t xml:space="preserve"> (1/0 AWG Aprox.)</t>
    </r>
  </si>
  <si>
    <t>03.15.02</t>
  </si>
  <si>
    <t>Punta captadora en aluminio ø 5/8" x 600 mm. Incluye base de fijación en acero inoxidable, cable de conexión y conectores</t>
  </si>
  <si>
    <t>03.15.03</t>
  </si>
  <si>
    <t>Bajante de apantallamiento a puesta a tierra</t>
  </si>
  <si>
    <t>03.15.04</t>
  </si>
  <si>
    <t>Conector en cruz, galvanizado, RD 810 o similar</t>
  </si>
  <si>
    <t>03.15.05</t>
  </si>
  <si>
    <t>Puesta a tierra 1 varilla de cobre 5/8" x 2.4 m y cable de cobre Nº 2 (longitud promedio: 19 m) para apantallamiento</t>
  </si>
  <si>
    <t>03.15.06</t>
  </si>
  <si>
    <t>Suministro, Instalación, configuración y puesta en servicio de UPS 3 ø 10 KVA, 208/120 V, usada como  respaldo de las salidas reguladas para V/D</t>
  </si>
  <si>
    <t>03.16.01</t>
  </si>
  <si>
    <t>3 - 17 LEGALIZACIÓN INFRAESTRUCTURA ELÉCTRICA</t>
  </si>
  <si>
    <t>Sf</t>
  </si>
  <si>
    <t>03.17.01</t>
  </si>
  <si>
    <t>Derechos para certificación de conformidad con RETIE</t>
  </si>
  <si>
    <t>03.17.02</t>
  </si>
  <si>
    <t>Valor inspección con fines de certificación de cumplimiento con RETIE vigente. Incluye personal necesario para apoyo en la revisión de las instalaciones eléctricas, diferente al del organismo de certificación</t>
  </si>
  <si>
    <t>Estructura para instalación de transformadores de corriente red de 13.2 Kv. Se apoyan en estructura en H</t>
  </si>
  <si>
    <t>Estructura para instalación de transformadores de potencial o de tensión red de 13.2 Kv. Se apoyan en estructura en H</t>
  </si>
  <si>
    <t>Transformador 3ø 150 Kva, 13.2 Kv - 214/123 V, inmerso en aceite, tipo distribución, instalación en camilla</t>
  </si>
  <si>
    <t>Tablero de protecciones y operación motores</t>
  </si>
  <si>
    <t>Valor contrato para suministro de tablero de protecciones y operación motores, según diagrama unifilar del proyecto</t>
  </si>
  <si>
    <t>Tablero general de baja tensión, incluye transferencia automática motorizada de 450A, según diseños del proyecto. No se incluyen protecciones</t>
  </si>
  <si>
    <t>Salida iluminación en aplique interior, tubería EMT ø 3/4", incluye accesorios de fijación a estructura, longitud promedio 6.0 m</t>
  </si>
  <si>
    <t>Salida iluminación rieles a pared para exhibición, tubería EMT ø 3/4", incluye accesorios de fijación a estructura</t>
  </si>
  <si>
    <t>Salida interruptor conmutable doble, tubería EMT ø 3/4". Conductores libres de halógenos y baja emisión de humos</t>
  </si>
  <si>
    <t>Salida interruptor conmutable sencillo, tubería EMT ø 3/4". Conductores libres de halógenos y baja emisión de humos</t>
  </si>
  <si>
    <t>Luminaria tipo Atenea 2.5 Lens, 3 LED LINE de 26 W, ILTEC. Incluye 1.5 m de cable encauchetado y clavija</t>
  </si>
  <si>
    <t>Luminaria Block Lens 30 x 120 cm, 4400 Lúmenes, LED, ILTEC. Incluye 1.5 m de cable encauchetado y Clavija</t>
  </si>
  <si>
    <t>Luminaria tipo Atenea 2.5 Lens, 4 LED LINE de 26 W, ILTEC. Incluye 1.5 m de Cable Encauchetado y Clavija</t>
  </si>
  <si>
    <t>Luminaria, tipo Tria Lens sobreponer, 2 tubos LED de 18 W, ILTEC. Incluye 1.5 m de cable encauchetado y clavija</t>
  </si>
  <si>
    <t>Luminaria Bala 13 W, tipo 1850 Lúmenes, LED, ILTEC. Incluye 1.5 m de cable encauchetado y clavija</t>
  </si>
  <si>
    <t>Lámpara aviso salida, multivoltaje. autonomía 90 minutos tipo ILTEC</t>
  </si>
  <si>
    <t>Lámpara de emergencia, 2 Led 2 W, multivoltaje. autonomía 90 minutos</t>
  </si>
  <si>
    <t>Luminaria tipo Atenea 2.5 Lens, 5 LED LINE de 26 W, ILTEC. Incluye 1.5 m de cable encauchetado y clavija</t>
  </si>
  <si>
    <t>Luminaria tipo Atenea 2.5 Lens, 6 LED LINE de 26 W, ILTEC. Incluye 1.5 m de cable encauchetado y clavija</t>
  </si>
  <si>
    <t>Luminaria de aplique tipo Begonia, 2 LED 7 W,  ILTEC. Incluye 0.7 m de cable encauchetado y clavija</t>
  </si>
  <si>
    <t>Luminaria tipo Atenea 2.5 Lens, 7 LED LINE de 26 W, ILTEC. Incluye 1.5 m de cable encauchetado y clavija</t>
  </si>
  <si>
    <t>Luminaria tipo Coral, 6600 Lúmenes, LED,  ILTEC. Incluye 1.5 m de cable encauchetado y clavija</t>
  </si>
  <si>
    <t>Luminaria tipo block Lens 60 x 60 cm, 8000 Lúmenes LED, ILTEC. Incluye 1.5 m de cable encauchetado y clavija</t>
  </si>
  <si>
    <t>Proyector LED, tipo RGB, ILTEC. Incluye 1.5 m de cable encauchetado y clavija. Compatible DALI</t>
  </si>
  <si>
    <t>Salida toma doble polo a tierra  EMT ø 3/4", longitud promedio 4.5 m para alimentación de equipos de A A tipo cassette</t>
  </si>
  <si>
    <t>Cable UTP Categoría 6A, Leviton o similar</t>
  </si>
  <si>
    <t>Gabinete instalación de medidor de energía lectura indirecta, fijación en poste</t>
  </si>
  <si>
    <t>Salida iluminación exterior, ducto PVC de 3/4"</t>
  </si>
  <si>
    <t>Soporte de vástago largo para cable de aluminio ø 8 mm, Incluye elementos de fijación a superficie</t>
  </si>
  <si>
    <t>Suministro UPS 3ø 10 kava, 208/120 v</t>
  </si>
  <si>
    <t>Pago derechos ante CHEC por cortes, revisión y conexión y parametrización de medidores de energía</t>
  </si>
  <si>
    <t>Punto transformador 3 ø instalación en camilla - 13.2 kv. Incluye poste auxiliar de 14 x 750 m x Kg</t>
  </si>
  <si>
    <t>Tablero de baloncesto y arquería de microfútbol, incluye armazón metálico, tablero, aro, mallas e instalación (norte y sur)</t>
  </si>
  <si>
    <t>Granito N° 1, 2, 3 por 25 Kg</t>
  </si>
  <si>
    <r>
      <t>Compuesto sellante Sika Boom o similar x 250 cm</t>
    </r>
    <r>
      <rPr>
        <vertAlign val="superscript"/>
        <sz val="10"/>
        <rFont val="Arial"/>
        <family val="2"/>
        <scheme val="minor"/>
      </rPr>
      <t>3</t>
    </r>
  </si>
  <si>
    <r>
      <t>Soldadura PVC 250 cm</t>
    </r>
    <r>
      <rPr>
        <vertAlign val="superscript"/>
        <sz val="10"/>
        <rFont val="Arial"/>
        <family val="2"/>
        <scheme val="minor"/>
      </rPr>
      <t>3</t>
    </r>
  </si>
  <si>
    <r>
      <t>M</t>
    </r>
    <r>
      <rPr>
        <vertAlign val="superscript"/>
        <sz val="10"/>
        <rFont val="Arial"/>
        <family val="2"/>
        <scheme val="minor"/>
      </rPr>
      <t>2</t>
    </r>
  </si>
  <si>
    <t>Teja termoacústica UPVC 2,5 mm, azul, roja, verde o blanca</t>
  </si>
  <si>
    <t>Sanitario tipo Acua Plus Blanco</t>
  </si>
  <si>
    <t>Sanitario tipo Avanti Plus de bajo consumo</t>
  </si>
  <si>
    <t>Placa maciza en concreto de 20,7 Mpa (3000 PSI) e = 0,15 m, no incluye refuerzo</t>
  </si>
  <si>
    <t>Placa maciza en concreto de 20,7 Mpa (3000 PSI) e = 0,10 m, no incluye refuerzo</t>
  </si>
  <si>
    <t>Viga apoyada concreto 20,7 Mpa (3000 PSI), no incluye refuerzo</t>
  </si>
  <si>
    <t>Corte de piso en concreto con cortadora autopropulsada</t>
  </si>
  <si>
    <t>Columna de amarre en concreto de 20,7 Mpa (3000 PSI) de 0,10 x 0,15 m, incluye refuerzo</t>
  </si>
  <si>
    <t>Columna de amarre en concreto de 20,7 Mpa (3000 PSI) de 0,15 x 0,15 m, incluye refuerzo</t>
  </si>
  <si>
    <t>Columna de amarre en concreto de 20,7 Mpa (3000 PSI) de 0,15 x 0,20 m, incluye refuerzo</t>
  </si>
  <si>
    <t>Muro en ladrillo tolete pandereta, mortero impermeabilizado y revocado ambas caras</t>
  </si>
  <si>
    <t>1-06-01</t>
  </si>
  <si>
    <t>1-06-03</t>
  </si>
  <si>
    <t>1-06-05</t>
  </si>
  <si>
    <t>1-06-48</t>
  </si>
  <si>
    <t>1-06-47</t>
  </si>
  <si>
    <t>1-06-46</t>
  </si>
  <si>
    <t>1-06-45</t>
  </si>
  <si>
    <t>1-06-44</t>
  </si>
  <si>
    <t>1-06-43</t>
  </si>
  <si>
    <t>1-06-42</t>
  </si>
  <si>
    <t>1-06-41</t>
  </si>
  <si>
    <t>1-06-06</t>
  </si>
  <si>
    <t>1-06-07</t>
  </si>
  <si>
    <t>1-06-08</t>
  </si>
  <si>
    <t>1-06-09</t>
  </si>
  <si>
    <t>1-06-10</t>
  </si>
  <si>
    <t>1-06-11</t>
  </si>
  <si>
    <t>1-06-12</t>
  </si>
  <si>
    <t>1-06-13</t>
  </si>
  <si>
    <t>1-06-14</t>
  </si>
  <si>
    <t>1-06-15</t>
  </si>
  <si>
    <t>1-06-16</t>
  </si>
  <si>
    <t>1-06-17</t>
  </si>
  <si>
    <t>1-06-18</t>
  </si>
  <si>
    <t>1-06-19</t>
  </si>
  <si>
    <t>1-06-21</t>
  </si>
  <si>
    <t>1-06-22</t>
  </si>
  <si>
    <t>1-06-23</t>
  </si>
  <si>
    <t>1-06-24</t>
  </si>
  <si>
    <t>1-06-25</t>
  </si>
  <si>
    <t>1-06-27</t>
  </si>
  <si>
    <t>1-06-28</t>
  </si>
  <si>
    <t>1-06-29</t>
  </si>
  <si>
    <t>1-06-30</t>
  </si>
  <si>
    <t>1-06-31</t>
  </si>
  <si>
    <t>1-06-32</t>
  </si>
  <si>
    <t>1-06-33</t>
  </si>
  <si>
    <t>1-06-34</t>
  </si>
  <si>
    <t>1-06-35</t>
  </si>
  <si>
    <t>1-06-36</t>
  </si>
  <si>
    <t>1-06-37</t>
  </si>
  <si>
    <t>1-06-38</t>
  </si>
  <si>
    <t>1-06-40</t>
  </si>
  <si>
    <t>1-08-10</t>
  </si>
  <si>
    <t>1-08-11</t>
  </si>
  <si>
    <t>1-08-12</t>
  </si>
  <si>
    <t>1-08-13</t>
  </si>
  <si>
    <t>1-08-14</t>
  </si>
  <si>
    <t>1-08-15</t>
  </si>
  <si>
    <t>1-08-16</t>
  </si>
  <si>
    <t>1-08-17</t>
  </si>
  <si>
    <t>1-08-18</t>
  </si>
  <si>
    <t>1-08-19</t>
  </si>
  <si>
    <t>1-08-20</t>
  </si>
  <si>
    <t>1-08-21</t>
  </si>
  <si>
    <t>1-08-22</t>
  </si>
  <si>
    <t>1-08-23</t>
  </si>
  <si>
    <t>1-08-24</t>
  </si>
  <si>
    <t>1-08-25</t>
  </si>
  <si>
    <t>1-08-26</t>
  </si>
  <si>
    <t>1-08-01</t>
  </si>
  <si>
    <t>1-08-02</t>
  </si>
  <si>
    <t>1-08-03</t>
  </si>
  <si>
    <t>1-08-04</t>
  </si>
  <si>
    <t>1-08-05</t>
  </si>
  <si>
    <t>1-08-06</t>
  </si>
  <si>
    <t>1-08-07</t>
  </si>
  <si>
    <t>1-08-08</t>
  </si>
  <si>
    <t>1-08-09</t>
  </si>
  <si>
    <t>MAT,800</t>
  </si>
  <si>
    <t>MAT,801</t>
  </si>
  <si>
    <t>Granito N°1,2,3 por 25 Kg</t>
  </si>
  <si>
    <t>MAT,802</t>
  </si>
  <si>
    <t>MAT,636</t>
  </si>
  <si>
    <t>Caja Rawelt 4 x 4" 2 salidas 3/4"</t>
  </si>
  <si>
    <t>MAT,816</t>
  </si>
  <si>
    <t>MAT,803</t>
  </si>
  <si>
    <t>M. O.</t>
  </si>
  <si>
    <t>Carrotanque de agua (1000 Galones)</t>
  </si>
  <si>
    <t>MAT,804</t>
  </si>
  <si>
    <t>MAT,805</t>
  </si>
  <si>
    <t>MAT,806</t>
  </si>
  <si>
    <t>Alambre Nº 6 de aluminio para amarre</t>
  </si>
  <si>
    <t>Percha pesada de un puesto incluye aislador tipo carrete</t>
  </si>
  <si>
    <t>RESOLUCIÓN POR TABLA</t>
  </si>
  <si>
    <t>ANALIZAR EL PORCENTAJE</t>
  </si>
  <si>
    <t>1-06-02</t>
  </si>
  <si>
    <t>1-06-04</t>
  </si>
  <si>
    <t>1-06-20</t>
  </si>
  <si>
    <t>1-07-02</t>
  </si>
  <si>
    <t>El presente listado es una simple guía para el Evaluador, no se constituye en camisa de fuerza, ni es obligatoria su aplicación, quien los utilice, deberá estudiarlos y estar consiente de sus bondades y limitaciones, y será su buen juicio el que prime al final, en cada caso. Dadas las variaciones del precio del dólar que influye principalmente en los insumos derivados del petróleo, el cobre, el cemento e insumos derivados, el PVC, etc., es importante que el Evaluador verifique el costo básico de estos insumos cada vez que pretenda hacer una evaluación o cotización.</t>
  </si>
  <si>
    <t>Cemento gris saco por 50 kilos</t>
  </si>
  <si>
    <t>MAT,817</t>
  </si>
  <si>
    <t>Terraplén con material transportado</t>
  </si>
  <si>
    <t>Abrazadera UNISTRUT para tubo ø 2" zincada</t>
  </si>
  <si>
    <t>Abrazadera UNISTRUT para tubo ø 3" zincada</t>
  </si>
  <si>
    <t>Abrazadera UNISTRUT para tubo ø 3/4" zincada</t>
  </si>
  <si>
    <t>Abrazadera UNISTRUT para tubo ø 4" zincada</t>
  </si>
  <si>
    <t>Adaptador terminal conduit PVC 1/2"</t>
  </si>
  <si>
    <t>Arandela cuadrada 2" x 2" x ¼", ø 5/8"</t>
  </si>
  <si>
    <t>Arandela presión ø 3/4"</t>
  </si>
  <si>
    <t>Arandela presión ø 5/8"</t>
  </si>
  <si>
    <t>Cable cobre # 4 AWG HF FR LS - (EXZHELLENT BW)</t>
  </si>
  <si>
    <t>Cinta bandit 5/8"</t>
  </si>
  <si>
    <t>Collarín doble 7" - 8"</t>
  </si>
  <si>
    <t>Collarín sencillo 7" - 8"</t>
  </si>
  <si>
    <t>Cortacircuitos 15 KV - 100 A</t>
  </si>
  <si>
    <t>Cruceta metálica 2 ½" x 2 ½" x 3/16" x 2  m</t>
  </si>
  <si>
    <t>Dado galvanizado 3" x 3" x ¼"</t>
  </si>
  <si>
    <t>Fusible primario tipo H de 5 A - 13.2 KV</t>
  </si>
  <si>
    <t>Grapa bandit 5/8"</t>
  </si>
  <si>
    <t>Pararrayos polimérico 12 KV - 10 KA</t>
  </si>
  <si>
    <t>Poste de ferroconcreto 14 m x 750 kg</t>
  </si>
  <si>
    <t>Tornillo espaciador 5/8" x 14"</t>
  </si>
  <si>
    <t>Tornillo máquina ½" x 1 ½"</t>
  </si>
  <si>
    <t>03.01.02</t>
  </si>
  <si>
    <t>Collarín doble 8" - 9"</t>
  </si>
  <si>
    <t>Cruceta metálica 3" x 3" x ¼" x 6 m</t>
  </si>
  <si>
    <t>Platina acanalada de armazón doble en U de 60 cm</t>
  </si>
  <si>
    <t>Tornillo máquina 3/4" x 2"</t>
  </si>
  <si>
    <t>Cuadrilla CE (1 Of E + 7 Ay E) (jornal + prestaciones)</t>
  </si>
  <si>
    <t>Cuadrilla CE 1 Of E + 7 Ay E (jornal + prestaciones)</t>
  </si>
  <si>
    <t>Cuadrilla EE 1 Of E + 1 Ay E (jornal + prestaciones)</t>
  </si>
  <si>
    <t>Luminaria tipo Tria lens de sobre poner, 2 tubos led de 18 W ILTEC. Incluye 1,5 m de cable encauchetado</t>
  </si>
  <si>
    <t>Cuadrilla GE 1 Of E + 2 Ay E (jornal + prestaciones)</t>
  </si>
  <si>
    <t>Cuadrilla AE 1E Of + 4 Ay E (jornal + prestaciones)</t>
  </si>
  <si>
    <t>Cuadrilla AE 1 Of E + 4 Ay E (jornal + prestaciones)</t>
  </si>
  <si>
    <t>Alambre negro C 18</t>
  </si>
  <si>
    <t>Alambre galvanizado C 12</t>
  </si>
  <si>
    <t xml:space="preserve">Alambre negro C 18 </t>
  </si>
  <si>
    <t>Binda boquilla (para enchape)</t>
  </si>
  <si>
    <t>Gravilla # 2 saco x 20 Kg</t>
  </si>
  <si>
    <t>Kit séptico 2000 litros + aeróbico 1000 litros</t>
  </si>
  <si>
    <t>Lámina de fibrocemento e = 10 mm</t>
  </si>
  <si>
    <t>Acometida 2 x Nº 2/0 (F) + 1 x 4 (N) + 1 x Nº 2 (T), sin ducto. Alimenta tablero equipos de aire acondicionado</t>
  </si>
  <si>
    <t>MAT,655</t>
  </si>
  <si>
    <t>EQU046</t>
  </si>
  <si>
    <t>Descargue manual de materiales</t>
  </si>
  <si>
    <t>MAT,782</t>
  </si>
  <si>
    <t>Limpiador final de obra</t>
  </si>
  <si>
    <t>Aseo de obra de construcción (aulas, oficinas, hospitales, etc.)</t>
  </si>
  <si>
    <t>Aseo de obra viales (incluye cunetas, sardineles, transversales, cabezotes, canales, pavimentos, etc.)</t>
  </si>
  <si>
    <t>Aseo de obra de infraestructura (parques, canchas, juegos infantiles, obras exteriores, etc.)</t>
  </si>
  <si>
    <t>Cepillera en polímero de alta ingeniería cromada y plástica, incluye vaso tipo Nilo</t>
  </si>
  <si>
    <t>Cepillera en polímero cromada y plástica, incluye vaso tipo Nilo</t>
  </si>
  <si>
    <t>MAT,665</t>
  </si>
  <si>
    <t>Dispensador de papel higiénico en acero inoxidable 304 con sistema antivandálico y llave, satinado Ø ≥ 26,5 cm, fijado a pared</t>
  </si>
  <si>
    <t>Dispensador de papel higiénico en acero inoxidable con sistema antivandálico y llave, satinado Ø ≥ 26,5 cm, fijado a pared</t>
  </si>
  <si>
    <t>Jabonera ducha cromada tipo Torino</t>
  </si>
  <si>
    <t>MAT,662</t>
  </si>
  <si>
    <t>Jabonera en polímero de alta ingeniería cromada, sistema de fijación oculto tipo Nogal</t>
  </si>
  <si>
    <t>Jabonera en polímero cromada, sistema de fijación oculto tipo Nogal</t>
  </si>
  <si>
    <t>MAT,661</t>
  </si>
  <si>
    <t>Percha en polímero de alta ingeniería tipo Nogal, cromada</t>
  </si>
  <si>
    <t>MAT,667</t>
  </si>
  <si>
    <t>MAT,666</t>
  </si>
  <si>
    <t>Toallero de barra cromado a ≥ 47 cm</t>
  </si>
  <si>
    <t>Toallero de barra cromado a ≥ 47 cm, fácil click</t>
  </si>
  <si>
    <t>MAT,664</t>
  </si>
  <si>
    <t>Toallero en polímero de alta ingeniería cromado, de argolla tipo Valencia, fácil click</t>
  </si>
  <si>
    <t>MAT,663</t>
  </si>
  <si>
    <t>Toallero en polímero de alta ingeniería cromado, de argolla tipo Valencia</t>
  </si>
  <si>
    <t>MAT,669</t>
  </si>
  <si>
    <t>Barrera plásticas Jersey (maletín), en polietileno de alta densidad de l = 2, h = 1 b = 0,5 m, con sistema de acople al siguiente, naranja con cinta reflectivas  cintas reflectivas para visibilidad (grado ingeniería comercial y/o alta intensidad), llena de arena</t>
  </si>
  <si>
    <t>MAT,775</t>
  </si>
  <si>
    <t>Escarificado y restitución de base manual</t>
  </si>
  <si>
    <t>Concreto asfáltico para bacheo,  no incluye transporte</t>
  </si>
  <si>
    <t>Parcheo en pavimento flexible e = 0,1 m,  no incluye transporte</t>
  </si>
  <si>
    <t>Lloraderos en tubería PVC de 3" para puente o muro</t>
  </si>
  <si>
    <t>Grifería para lavamanos de pared tipo push, línea anti vandálica</t>
  </si>
  <si>
    <t>%Tab</t>
  </si>
  <si>
    <t>Aro y tapa en plástico cámara de inspección d = 0,67 m</t>
  </si>
  <si>
    <t>Tapa para cámara, incluye aro de 70 cm, fabricada en polietileno de alta densidad. Medidas aro: diámetro 93 cm, alto 20 cm, peso Aprox. 26.4 kg, medidas tapa: diámetro 70 cm, alto 20 cm, peso aprox 33 kg. Resistencia por prueba de laboratorio de ruptura y flexión: 18 toneladas por decímetro cuadrado</t>
  </si>
  <si>
    <t>Tapa de polietileno para cámara de inspección sin cuello</t>
  </si>
  <si>
    <t>Soldadura PVC (¼ galón)</t>
  </si>
  <si>
    <t>MAT,765</t>
  </si>
  <si>
    <t>MAT,758</t>
  </si>
  <si>
    <t>MAT,711</t>
  </si>
  <si>
    <t>MAT,608</t>
  </si>
  <si>
    <t>MAT,656</t>
  </si>
  <si>
    <t>MAT,660</t>
  </si>
  <si>
    <t>MAT,703</t>
  </si>
  <si>
    <t>MAT,708</t>
  </si>
  <si>
    <t>MAT,718</t>
  </si>
  <si>
    <t>MAT,742</t>
  </si>
  <si>
    <t>MAT,743</t>
  </si>
  <si>
    <t>MAT,751</t>
  </si>
  <si>
    <t>Varilla Cu 5/8" x 2.4 m</t>
  </si>
  <si>
    <t>MOB001</t>
  </si>
  <si>
    <t>MOB009</t>
  </si>
  <si>
    <t>Equipo y elementos auxiliares para soldadura eléctrica</t>
  </si>
  <si>
    <t>Alquiler diario de cesta elevadora de brazo articulado, motor diésel, de 16 m de altura máxima de trabajo, incluso mantenimiento y seguro de responsabilidad civil</t>
  </si>
  <si>
    <t>Grúa autopropulsada de brazo telescópico con una capacidad de elevación de 12 t y 20 m de altura máxima de trabajo</t>
  </si>
  <si>
    <t>Puerta en lámina C 20 0,80 x 2,05 m, incluye anticorrosivo, pintura, chapa, manija y tope</t>
  </si>
  <si>
    <t>Puerta en lámina C 20 0,90 x 2,05 m, incluye anticorrosivo, pintura, chapa, manija y tope</t>
  </si>
  <si>
    <t>Grapa plástica para cerramiento</t>
  </si>
  <si>
    <t>Guarda escobas en madera a = 0,08 m cedro blanco</t>
  </si>
  <si>
    <t>Insecticida agrícola (extracto de neem)</t>
  </si>
  <si>
    <t>MAT,672</t>
  </si>
  <si>
    <t>MAT,694</t>
  </si>
  <si>
    <t>Marquilla acrílica 15 x 30 mm</t>
  </si>
  <si>
    <t>MAT,698</t>
  </si>
  <si>
    <t>Medidor de energía electrónico bifásico trifilar, conexión directa, 15 a 60 A, 2 x 120/208 V neutro incorporado</t>
  </si>
  <si>
    <t>Piso grano tradicional blanco Huila BH5 de 30 x 30 cm, tipo Alfa o similar</t>
  </si>
  <si>
    <t>Piso tipo Payande Nº 5 de 30 x 30 cm, fondo gris, tipo Alfa o similar</t>
  </si>
  <si>
    <t>Piso porcelanato de 60 x 60 cm súper blanco brillante tránsito medio</t>
  </si>
  <si>
    <t>Piso Porto Muicolor ± de 45,8 x 45,8 cm o similar, tráfico semi-comercial</t>
  </si>
  <si>
    <t>Piso estilo cemento Habitat Zen de ± 46 x 46 cm gris o similar, tráfico medio</t>
  </si>
  <si>
    <t>MAT,715</t>
  </si>
  <si>
    <t>Adaptador terminal conduit PVC 3/4"</t>
  </si>
  <si>
    <t>Adoquín en gres peatonal (5 x 10 x 20 cm)</t>
  </si>
  <si>
    <t>Adoquín peatonal gris de concreto e = 0,06 m (5 Mpa)</t>
  </si>
  <si>
    <t>Gramoquín en concreto de 5 Mpa de 60 x 40 x 8 cm</t>
  </si>
  <si>
    <t>Accesorios para fijación de canal metálico (tapa (2), boquilla (2) y soporte (4) en 8 m</t>
  </si>
  <si>
    <t>Accesorios PVC sanitaria 2" promedio (U + codo 90º)</t>
  </si>
  <si>
    <t>Accesorios PVC sanitaria 3" promedio (U + codo 90º)</t>
  </si>
  <si>
    <t>Accesorios PVC sanitaria 4" promedio (U + codo 90º)</t>
  </si>
  <si>
    <t>Alas para cerámica (wings o piraguas) en Al x 2,5 m</t>
  </si>
  <si>
    <t>Amarra con tapa plástica para techos</t>
  </si>
  <si>
    <t>Antisol blanco o similar</t>
  </si>
  <si>
    <t>Azadón con cabo</t>
  </si>
  <si>
    <t>Barrera plásticas Jersey (maletín), en polietileno de alta densidad de l = 2, h = 1 b = 0,5 m, con sistema de acople al siguiente, naranja con cinta reflectivas  cintas reflectivas para visibilidad (grado ingeniería comercial y/o alta intensidad), que pueda llenarse de agua o arena</t>
  </si>
  <si>
    <t>Cable encauchetado de cobre ST-C 3 x 12 AWG</t>
  </si>
  <si>
    <t>Caja para medidor de energía de ± 60 x 40 x 25 cm, en lámina CR calibre 18 o 20, con dispositivo de corte,  de acuerdo a norma del OR</t>
  </si>
  <si>
    <t>Calados de ± 19 x 19 x 10 cm en gres</t>
  </si>
  <si>
    <t>Calfos (fertilizante uso agrícola)</t>
  </si>
  <si>
    <t>Canal en lámina galvanizada calibre 24</t>
  </si>
  <si>
    <t>Capacete metálico 1" EMT</t>
  </si>
  <si>
    <t>Casco construcción cremallera colores blanco, rojo, amarillo, azul, dieléctrico</t>
  </si>
  <si>
    <t>Cera para pisos emulsionada, biodegradable y antideslizante</t>
  </si>
  <si>
    <t>Cerámica tipo Antique 45 x 45 cm</t>
  </si>
  <si>
    <t>Columpio de 2 puestos pórtico en tubo de ± 1 ½" por 2.50 m, columpios en cadena y sillines en lona. Incluye anticorrosivo y pintura de esmalte. Altura = 1.8 m</t>
  </si>
  <si>
    <t>Columpio de 3 puestos pórtico en tubo de ± 1 ½" por 2.50 m, columpios en cadena y sillines en lona, incluye anticorrosivo y pintura de esmalte para exteriores. Altura = 1.8 m</t>
  </si>
  <si>
    <t>Conos viales de 70 cm Norma Invías Cap IV Cinta reflectiva</t>
  </si>
  <si>
    <t>Cubierta en acero inoxidable para mesón cocineta liso, incluye poceta, grifería, escurridor, canastilla y sifón de 1.50 m x 52 cm</t>
  </si>
  <si>
    <t>Curva conduit PVC ½"</t>
  </si>
  <si>
    <t>MAT,367</t>
  </si>
  <si>
    <t>MAT,668</t>
  </si>
  <si>
    <t>Esterilla (0,35 m x 4,00 m sin inmunizar)</t>
  </si>
  <si>
    <t>Estructura metálica (perlines, platinas y pernos), incluye anticorrosivo y pintura, para la estructura de cubierta, trabajos en alturas, andamios certificados</t>
  </si>
  <si>
    <t>Fluxómetro para orinal de manija plateada</t>
  </si>
  <si>
    <t>Fluxómetro de palanca de 3,5 lts para tasa</t>
  </si>
  <si>
    <t>Grifería (llave, canastilla y sifón), para lavaplatos</t>
  </si>
  <si>
    <t>Grifería de empotrar corta línea anti vandálica, incluye válvula tipo push para lavamanos</t>
  </si>
  <si>
    <t>Gramoquín en concreto de 5 Mpa de 30 x 30 x 8 cm</t>
  </si>
  <si>
    <t>Grifería para lavamanos de pared tipo push, línea antivandálica</t>
  </si>
  <si>
    <t>Ladrillo farol rayado de 0,10 x 0,20 x 0,30 m (Nº 6)</t>
  </si>
  <si>
    <t xml:space="preserve">Lámpara hermética led 2 x 20 W tira led Lb 20,000H </t>
  </si>
  <si>
    <t>Lámpara panel led sobre poner 60 x 60 48 W, blanca Halux o similar. Incluye accesorios de fijación</t>
  </si>
  <si>
    <t>Lavamanos tipo Acuacer beige de pedestal</t>
  </si>
  <si>
    <t>Lavamanos tipo Avanti de pedestal blanco para grifería de 4"</t>
  </si>
  <si>
    <t>Malla con vena de 0,50 x 2,00 m C 24</t>
  </si>
  <si>
    <t>Mezclador para lavaplatos 8"</t>
  </si>
  <si>
    <t>Orinal gota antibacterial con grifería push</t>
  </si>
  <si>
    <t>Orinal mediano con grifería push anti vandálica</t>
  </si>
  <si>
    <t>Orinal tipo Institucional Arrecife o similar con válvula tipo push</t>
  </si>
  <si>
    <t>Pala redonda con cabo</t>
  </si>
  <si>
    <t>Percha para unidad sanitaria en polímero de alta ingeniería tipo Nogal, cromada</t>
  </si>
  <si>
    <t xml:space="preserve">Piso tipo Payande Nº 5 de 30 x 30 cm, fondo gris, tipo Alfa o similar </t>
  </si>
  <si>
    <t>Piso Porto Muicolor de 45.8 x 45.8 cm o similar, tráfico semi-comercial</t>
  </si>
  <si>
    <t>Piso estilo cemento Habitat Zen de 46 x 46 cm gris o similar, tráfico medio</t>
  </si>
  <si>
    <t>MAT,783</t>
  </si>
  <si>
    <t>MAT,702</t>
  </si>
  <si>
    <t>Registro de corte de ½" antifraude</t>
  </si>
  <si>
    <t>Sanitario infantil bicolor incluye grifería</t>
  </si>
  <si>
    <t>Sardinel prefabricado A80 (800 x 200 x 350 mm)</t>
  </si>
  <si>
    <t>Semilla de grama clima templado</t>
  </si>
  <si>
    <t>Silicona antihongos sello vidrio transparente (Masilla para vidrios)</t>
  </si>
  <si>
    <t>Tablero bifásico 8 circuitos con barraje de 125 A, barras de neutro y tierra, puerta y chapa. Ref TQ-CP-8-SQ marca Schneider Electric o similar</t>
  </si>
  <si>
    <t>Teja metálica aluzinc pintada 4 C 28 roja (tipo Techolum Plus RAL 9002)</t>
  </si>
  <si>
    <t>Tubería conduit PVC 1"</t>
  </si>
  <si>
    <t>Varillón de sajo 3 x 3 cm</t>
  </si>
  <si>
    <t>Vidrio de 4 mm de seguridad transparente</t>
  </si>
  <si>
    <r>
      <t>Bolsacreto capacidad 2 m</t>
    </r>
    <r>
      <rPr>
        <vertAlign val="superscript"/>
        <sz val="10"/>
        <rFont val="Arial"/>
        <family val="2"/>
      </rPr>
      <t>3</t>
    </r>
  </si>
  <si>
    <r>
      <t>Bolsacreto capacidad 1 m</t>
    </r>
    <r>
      <rPr>
        <vertAlign val="superscript"/>
        <sz val="10"/>
        <rFont val="Arial"/>
        <family val="2"/>
      </rPr>
      <t>3</t>
    </r>
  </si>
  <si>
    <r>
      <t>Motosierra 93.6 cm</t>
    </r>
    <r>
      <rPr>
        <vertAlign val="superscript"/>
        <sz val="10"/>
        <rFont val="Arial"/>
        <family val="2"/>
      </rPr>
      <t>3</t>
    </r>
    <r>
      <rPr>
        <sz val="10"/>
        <rFont val="Arial"/>
        <family val="2"/>
      </rPr>
      <t xml:space="preserve"> - 7.1 HP, 45-90 cm - 7.9 Kg</t>
    </r>
  </si>
  <si>
    <t>Entibado (% de mano de obra)</t>
  </si>
  <si>
    <t>Equipo de Oxicorte (Oxigeno - Acetileno)</t>
  </si>
  <si>
    <t>Equipo de oxicorte (Oxigeno - Acetileno)</t>
  </si>
  <si>
    <t>Abrazadera UNISTRUT para tubo ø 1 ½" zincada</t>
  </si>
  <si>
    <t>Accesorios de fijación de tableros, cajas y bajantes</t>
  </si>
  <si>
    <t>EQUIPO Y ENSAYOS</t>
  </si>
  <si>
    <t>MAT,705</t>
  </si>
  <si>
    <t>MAT,717</t>
  </si>
  <si>
    <t>MAT,741</t>
  </si>
  <si>
    <t>MAT,773</t>
  </si>
  <si>
    <t>MAT,779</t>
  </si>
  <si>
    <t>MAT,785</t>
  </si>
  <si>
    <t>MAT,786</t>
  </si>
  <si>
    <t>MAT,787</t>
  </si>
  <si>
    <t>MAT,788</t>
  </si>
  <si>
    <t>MAT,789</t>
  </si>
  <si>
    <t>MAT,790</t>
  </si>
  <si>
    <t>MAT,791</t>
  </si>
  <si>
    <t>MAT,792</t>
  </si>
  <si>
    <t>MAT,793</t>
  </si>
  <si>
    <t>MAT,794</t>
  </si>
  <si>
    <t>MAT,795</t>
  </si>
  <si>
    <t>MAT,796</t>
  </si>
  <si>
    <t>MAT,797</t>
  </si>
  <si>
    <t>MAT,798</t>
  </si>
  <si>
    <t>MAT,799</t>
  </si>
  <si>
    <t>MAT,807</t>
  </si>
  <si>
    <t>MAT,808</t>
  </si>
  <si>
    <t>MAT,809</t>
  </si>
  <si>
    <t>MAT,810</t>
  </si>
  <si>
    <t>MAT,811</t>
  </si>
  <si>
    <t>MAT,812</t>
  </si>
  <si>
    <t>MAT,813</t>
  </si>
  <si>
    <t>MAT,814</t>
  </si>
  <si>
    <t>MAT,815</t>
  </si>
  <si>
    <t>Adaptador macho PF + UAD ½"</t>
  </si>
  <si>
    <t>Adaptador PVC macho de ½" presión</t>
  </si>
  <si>
    <t>Adaptador PVC macho de 1 ½" presión</t>
  </si>
  <si>
    <t>MAT,778</t>
  </si>
  <si>
    <t>Adaptador terminal conduit PVC ½"</t>
  </si>
  <si>
    <t>Adhesivo epóxico tipo IV grado 3 (ASTM C-881-02) para anclar barras de acero al concreto x 600 m (Sikadur® AnchorFix®-4 tubo x 600 m) o similar</t>
  </si>
  <si>
    <t>Aditivo curador (antisol o similar)</t>
  </si>
  <si>
    <t>Alas para cerámica (wings o piraguas) en PVC x 2,4 m</t>
  </si>
  <si>
    <t>Anclaje multipropósito de ø 3/8" (tipo hembra)</t>
  </si>
  <si>
    <t>Anclaje tipo cuña 3/8" x 2 ¼"</t>
  </si>
  <si>
    <t>Ángulo de 1 ½" x 1/8"</t>
  </si>
  <si>
    <t>Ángulo de 2" x 3/16" (puente)</t>
  </si>
  <si>
    <t>Bandeja tipo canasta CF 54 x 400 mm - EZ</t>
  </si>
  <si>
    <t>Base para fotocelda</t>
  </si>
  <si>
    <t>Bisagra Armillar hierro 3"</t>
  </si>
  <si>
    <t>Bisagra de cobre 3 ½"</t>
  </si>
  <si>
    <t>Bisagra de hierro de soldar para rejilla cañuela</t>
  </si>
  <si>
    <t>Botonera ANTUMBRA T.P. PATPA-BC-X+DYNET o similar</t>
  </si>
  <si>
    <t>Breaker monopolar LUMINEX o similar 15 A hasta 60 A</t>
  </si>
  <si>
    <t>MAT,149</t>
  </si>
  <si>
    <t>Cabina insonorizada para planta emergencia de 150 KW</t>
  </si>
  <si>
    <t>Cable Al ACSR # 2 AWG ecológico 15 Kv</t>
  </si>
  <si>
    <t>Cable Al aislado PVC 75o # 1/0 AWG /S 8000</t>
  </si>
  <si>
    <t>Cable Al aislado PVC 75o # 2/0 AWG /S 8000</t>
  </si>
  <si>
    <t>Cable apantallado de control 3 x 16 AWG</t>
  </si>
  <si>
    <t>Cable coaxial RG-6 pantalla 90 %</t>
  </si>
  <si>
    <t>Cable Cu # 1/0 AWG HF FR LS - (EXZHELLENT BW)</t>
  </si>
  <si>
    <t>Cable Cu # 12 AWG HF FR LS - (EXZHELLENT BW)</t>
  </si>
  <si>
    <t>Cable Cu # 12 AWG THHN</t>
  </si>
  <si>
    <t>Cable Cu # 14 AWG HF FR LS - (EXZHELLENT BW)</t>
  </si>
  <si>
    <t>Cable Cu # 2 AWG HF FR LS - (EXZHELLENT BW)</t>
  </si>
  <si>
    <t>Cable Cu # 2 AWG THHN</t>
  </si>
  <si>
    <t>Cable Cu # 2/0 AWG  HF FR LS - (EXZHELLENT BW)</t>
  </si>
  <si>
    <t>Cable Cu # 350 KCM THHN</t>
  </si>
  <si>
    <t>Cable Cu # 4 AWG HF FR LS - (EXZHELLENT BW)</t>
  </si>
  <si>
    <t>Cable Cu # 4/0 AWG HF FR LS - (EXZHELLENT BW)</t>
  </si>
  <si>
    <t>Cable Cu # 6 AWG HF FR LS - (EXZHELLENT BW)</t>
  </si>
  <si>
    <t>Cable Cu # 6 AWG THHN</t>
  </si>
  <si>
    <t>Cable Cu # 8 AWG HF FR LS - (EXZHELLENT BW)</t>
  </si>
  <si>
    <t>Cable Cu # 8 AWG THHN</t>
  </si>
  <si>
    <t>Cable Cu # 8 HF FR LS</t>
  </si>
  <si>
    <t>Cable Cu aislado # 12 AWG THHN/THWN</t>
  </si>
  <si>
    <t>Cable Cu concéntrico 2 x 8 + 8</t>
  </si>
  <si>
    <t>Cable Cu desnudo # 2 AWG</t>
  </si>
  <si>
    <t>Cable Cu desnudo # 2/0 AWG</t>
  </si>
  <si>
    <t>Cable Cu desnudo # 8 AWG</t>
  </si>
  <si>
    <t>Cable Cu desnudo 1/0</t>
  </si>
  <si>
    <t>Cable encauchetado 4 x 14 AWG</t>
  </si>
  <si>
    <t>Cable encauchetado 4 x 16 AWG</t>
  </si>
  <si>
    <t>Cable tera 2PR/MC5S 3 m azul (patch cord)</t>
  </si>
  <si>
    <t>Cable UTP categoría 6A, LEVITON o similar</t>
  </si>
  <si>
    <t>Caja de paso de 30 x 30 x 20 cm C 16</t>
  </si>
  <si>
    <t>MAT,365</t>
  </si>
  <si>
    <t>Caja galvanizada de 2" x 4" certificada RETIE</t>
  </si>
  <si>
    <t>Caja para interruptor industrial</t>
  </si>
  <si>
    <t>Caja PVC 2" x 4"</t>
  </si>
  <si>
    <t>Caja rawelt 2 x 4" 1 salida 3/4"</t>
  </si>
  <si>
    <t>MAT,370</t>
  </si>
  <si>
    <t>Caja rawelt 280 aluminio 4" x 4" 3 salidas 3/4"</t>
  </si>
  <si>
    <t>Caja rawelt 282 aluminio 2" x 4" 3 salidas 3/4"</t>
  </si>
  <si>
    <t>Caja rawelt 4 x 4" 2 salidas 3/4"</t>
  </si>
  <si>
    <t>Canal PVC (tipo Amazonas)</t>
  </si>
  <si>
    <t>MAT,780</t>
  </si>
  <si>
    <t>Certificación categoría 6A salida voz y datos por punto</t>
  </si>
  <si>
    <t>Cheque de ½" en bronce fundido</t>
  </si>
  <si>
    <t>Cheque de 1 ½" en bronce fundido</t>
  </si>
  <si>
    <t>Cinta de papel para pared de yeso</t>
  </si>
  <si>
    <t>Cinta de teflón de 3/4" 10 m</t>
  </si>
  <si>
    <t>Clavija industrial 3 F + N + T 63A</t>
  </si>
  <si>
    <t>Clip empalme FASTLOCK XL - GS galvanizado CONTINU o similar</t>
  </si>
  <si>
    <t>Collar de derivación unión platino de 2 ½" x ½"</t>
  </si>
  <si>
    <t>Collar de derivación unión platino de 2" x ½"</t>
  </si>
  <si>
    <t>Collar de derivación unión platino de 3" x ½"</t>
  </si>
  <si>
    <t>Collar de derivación unión platino de 4" x ½"</t>
  </si>
  <si>
    <t>Conduleta LB 1 ½"</t>
  </si>
  <si>
    <t>Conduleta LB 2"</t>
  </si>
  <si>
    <t>Conduleta rawelt LR 1"</t>
  </si>
  <si>
    <t>Conduleta rawelt LR 3/4"</t>
  </si>
  <si>
    <t>MAT,504</t>
  </si>
  <si>
    <t>Conector 3M de resorte rojo (2 - 5  # 12)</t>
  </si>
  <si>
    <t>MAT,514</t>
  </si>
  <si>
    <t>Conector en cruz acero galvanizado RD 8 - 10</t>
  </si>
  <si>
    <t>Conjunto desagüe flexible para lavadero de 1 ½" con canastillas</t>
  </si>
  <si>
    <t>MAT,781</t>
  </si>
  <si>
    <t>Coraza metálica 3/4"</t>
  </si>
  <si>
    <t>Cruceta metálica 3" x 3" x ¼" x 2.4 m</t>
  </si>
  <si>
    <t>MAT,550</t>
  </si>
  <si>
    <t>MAT,784</t>
  </si>
  <si>
    <t>Cruceta plástica juntas 2 mm</t>
  </si>
  <si>
    <t>MAT,551</t>
  </si>
  <si>
    <t>Curva conduit EMT 1"</t>
  </si>
  <si>
    <t>MAT,603</t>
  </si>
  <si>
    <t>Curva conduit IMC 1"</t>
  </si>
  <si>
    <t>MAT,604</t>
  </si>
  <si>
    <t>Curva conduit PVC 4" - 90º</t>
  </si>
  <si>
    <t>Dilatación de bronce para pisos</t>
  </si>
  <si>
    <t>Disolvente Pintutráfico Ref 121004 o similar</t>
  </si>
  <si>
    <t>MAT,634</t>
  </si>
  <si>
    <t>Ducto 4" planta emergencia</t>
  </si>
  <si>
    <t>Ducto conduit PVC 4" DB / 6 m</t>
  </si>
  <si>
    <t>Estaca de guadua</t>
  </si>
  <si>
    <t>MAT,646</t>
  </si>
  <si>
    <t>Favigel o similar x 25 Kg (hodrosolta para puesta a tierra)</t>
  </si>
  <si>
    <t>Fijador de cerámica (Pegacor o similar)</t>
  </si>
  <si>
    <t>Fotocelda 1000 W</t>
  </si>
  <si>
    <t>Frescasa sin papel 2 ½" x 15,24 x 1,22 m</t>
  </si>
  <si>
    <t>MAT,658</t>
  </si>
  <si>
    <t>Gabinete 4 medidores de energía trifilar</t>
  </si>
  <si>
    <t>MAT,659</t>
  </si>
  <si>
    <t>Gabinete medidor indirecta instalación poste</t>
  </si>
  <si>
    <t>Geodrén circular de 2 ½" l = 1 m</t>
  </si>
  <si>
    <t>Grapa bimetálica DEHN unión alambrón - Cu 8 - 10 mm Ref 459129</t>
  </si>
  <si>
    <t>Guadua sobrebasa longitud promedio = 4 m</t>
  </si>
  <si>
    <t>MAT,776</t>
  </si>
  <si>
    <t>Herraje patch panel tera 24 Pta. adicionar 24 T7F-01</t>
  </si>
  <si>
    <t>Impermeabilizante bituminoso para cubierta</t>
  </si>
  <si>
    <t>MAT,670</t>
  </si>
  <si>
    <t>Interruptor conmutable doble LUMINEX AMBIA REFRESH o similar</t>
  </si>
  <si>
    <t>MAT,671</t>
  </si>
  <si>
    <t>Interruptor doble LUMINEX AMBIA REFRESH o similar</t>
  </si>
  <si>
    <t>MAT,673</t>
  </si>
  <si>
    <t>Interruptor MERLIN GERIN EZC100N 100 A- 25 KA/240 o similar</t>
  </si>
  <si>
    <t>MAT,674</t>
  </si>
  <si>
    <t>Interruptor MERLIN GERIN EZC100N 60 A - 25 KA/240 o similar</t>
  </si>
  <si>
    <t>MAT,675</t>
  </si>
  <si>
    <t>Interruptor MERLIN GERIN EZC100N 80 A - 25 KA/240 o similar</t>
  </si>
  <si>
    <t>MAT,676</t>
  </si>
  <si>
    <t>Interruptor sencillo LUMINEX AMBIA REFRESH o similar</t>
  </si>
  <si>
    <t>MAT,677</t>
  </si>
  <si>
    <t>Interruptor triple LUMINEX AMBIA REFRESH o similar</t>
  </si>
  <si>
    <t>MAT,678</t>
  </si>
  <si>
    <t>Jack tera outlet categoría 6A 23 AWG, marca SIEMON o similar</t>
  </si>
  <si>
    <t>Juegos infantiles metálicos incluyen instalación wash primer y pintura, pasamanos sencillo</t>
  </si>
  <si>
    <t>Lámina de fibrocemento e = 8 mm</t>
  </si>
  <si>
    <t>MAT,679</t>
  </si>
  <si>
    <t>Lámpara aplique pared tipo BEGONIA 3 x 7 W o similar</t>
  </si>
  <si>
    <t>MAT,680</t>
  </si>
  <si>
    <t>Lámpara aplique tortuga CFL 23 W</t>
  </si>
  <si>
    <t>MAT,681</t>
  </si>
  <si>
    <t>Lámpara ATENEA 2.5 10800 lúmenes o similar</t>
  </si>
  <si>
    <t>MAT,682</t>
  </si>
  <si>
    <t>Lámpara aviso de salida autonomía 90 Min</t>
  </si>
  <si>
    <t>MAT,683</t>
  </si>
  <si>
    <t>Lámpara bala led 13 W tipo 1050 lúmenes</t>
  </si>
  <si>
    <t>MAT,684</t>
  </si>
  <si>
    <t>Lámpara bala led 23 W 1850 lúmenes</t>
  </si>
  <si>
    <t>MAT,685</t>
  </si>
  <si>
    <t>Lámpara de emergencia 2 led 2 W</t>
  </si>
  <si>
    <t>MAT,686</t>
  </si>
  <si>
    <t>Lámpara IT100 4400 lúmenes 2 tubos 16 W led</t>
  </si>
  <si>
    <t>MAT,687</t>
  </si>
  <si>
    <t>Lámpara tipo ATENEA 2.5 14400 lúmenes o similar</t>
  </si>
  <si>
    <t>MAT,688</t>
  </si>
  <si>
    <t>Lámpara tipo ATENEA 2.5 17600 lúmenes o similar</t>
  </si>
  <si>
    <t>MAT,689</t>
  </si>
  <si>
    <t>Lámpara tipo ATENEA 2.5 18000 lúmenes o similar</t>
  </si>
  <si>
    <t>MAT,690</t>
  </si>
  <si>
    <t>Lámpara tipo ATENEA 2.5 21600 lúmenes o similar</t>
  </si>
  <si>
    <t>MAT,691</t>
  </si>
  <si>
    <t>Lámpara tipo BLOCK LENS 4400 lúmenes o similar</t>
  </si>
  <si>
    <t>MAT,692</t>
  </si>
  <si>
    <t>Lámpara tipo BLOCK LENS 8000 lúmenes o similar</t>
  </si>
  <si>
    <t>MAT,693</t>
  </si>
  <si>
    <t>Lámpara tipo CORAL LENS 6600 lúmenes o similar</t>
  </si>
  <si>
    <t>Limpiador removedor PVC ¼</t>
  </si>
  <si>
    <t>Llave de paso tipo Red White de 1 ½"</t>
  </si>
  <si>
    <t>Llave terminal cromada de ½"</t>
  </si>
  <si>
    <t>Llave terminal roscada de ½" pesada</t>
  </si>
  <si>
    <t>MAT,695</t>
  </si>
  <si>
    <t>Luminaria led, micro plus de REARTO simétrico 85 W</t>
  </si>
  <si>
    <t>MAT,696</t>
  </si>
  <si>
    <t>Luminaria tipo TRIA LENS de sobre poner, 2 tubos led de 18 W ILTEC. Incluye 1,5 m de cable encauchetado</t>
  </si>
  <si>
    <t>Machete mínimo de 22"</t>
  </si>
  <si>
    <t>MAT,697</t>
  </si>
  <si>
    <t>Medidor de ½" volumétrico tipo "C"</t>
  </si>
  <si>
    <t>MAT,699</t>
  </si>
  <si>
    <t>Medidor de energía trifilar 3 H, 240/120 V - 15/80 A</t>
  </si>
  <si>
    <t>MAT,777</t>
  </si>
  <si>
    <t>Medidor ELSTER electrónico ACT + REACT clase 0.5 o similar</t>
  </si>
  <si>
    <t>MAT,700</t>
  </si>
  <si>
    <t>Multi-toma horizontal 12 salidas para gabinete</t>
  </si>
  <si>
    <t>Nave metálica en lámina C 20 de 0,60 x 2,05 m, incluye anticorrosivo</t>
  </si>
  <si>
    <t>MAT,701</t>
  </si>
  <si>
    <t>Pago derechos ante la empresa de energía por cortes, revisión, conexión y parametrización de medidores de energía</t>
  </si>
  <si>
    <t>Paral 59 en 2,4 m C 26</t>
  </si>
  <si>
    <t>Pasamanos con casita, escalera: casita y pasamanos en tubo de 1 ½", escalera en 1", la casita de 1.20 x 1.20 m, con piso en lámina y techo en fibra de vidrio anclado en concreto. Incluye anticorrosivo y pintura en esmalte para exteriores</t>
  </si>
  <si>
    <t>MAT,704</t>
  </si>
  <si>
    <t>Patch cord categoría 6A 5´ rojo</t>
  </si>
  <si>
    <t>Perlín promedio (0,12 x 0,6) C 16</t>
  </si>
  <si>
    <t>Piso tipo Duropiso de 33,8 x 33,8 cm</t>
  </si>
  <si>
    <t>MAT,706</t>
  </si>
  <si>
    <t>Planta de emergencia 100 KW-125 KVA PERKINS o similar</t>
  </si>
  <si>
    <t>MAT,707</t>
  </si>
  <si>
    <t>MAT,709</t>
  </si>
  <si>
    <t>Poste metálico de 6 m alumbrado público tipo MEGABUS</t>
  </si>
  <si>
    <t>MAT,710</t>
  </si>
  <si>
    <t>Proyector led tipo RGB 10800 lúmenes</t>
  </si>
  <si>
    <t>MAT,712</t>
  </si>
  <si>
    <t>Punta de captación de aluminio ø 5/8" x 60 cm</t>
  </si>
  <si>
    <t>MAT,713</t>
  </si>
  <si>
    <t>Registro de incorporación de ½"</t>
  </si>
  <si>
    <t>MAT,714</t>
  </si>
  <si>
    <t>Regleta SIEMON S-66 25 pares con soportes o similar</t>
  </si>
  <si>
    <t>Reja para sumidero de 50 x 70 cm y ángulo de 2 x 2 x ¼" incluye anticorrosivo y pintura</t>
  </si>
  <si>
    <t>MAT,716</t>
  </si>
  <si>
    <t>Router WIFI 300 MBPS - 183 M</t>
  </si>
  <si>
    <t>Sanitario tipo Acuaplus blanco</t>
  </si>
  <si>
    <t>Soldadura CADWELD promedio</t>
  </si>
  <si>
    <t>Soldadura CPVC líquida para agua caliente ¼</t>
  </si>
  <si>
    <t>MAT,719</t>
  </si>
  <si>
    <t>Soporte colgante bandeja porta cable tipo canasta CABLOFIL  de 200 mm</t>
  </si>
  <si>
    <t>MAT,720</t>
  </si>
  <si>
    <t>Soporte metálico de sujeción de cable a alambrón OBB</t>
  </si>
  <si>
    <t>MAT,721</t>
  </si>
  <si>
    <t>Suministro UPS 3ø 10 kava, 208/120 V</t>
  </si>
  <si>
    <t>MAT,722</t>
  </si>
  <si>
    <t>Tablero 2 ø 12 Ctos con puerta TQ-CP-12-SQ</t>
  </si>
  <si>
    <t>MAT,723</t>
  </si>
  <si>
    <t>Tablero 3 ø 12 Ctos con espacio totalizador y puerta</t>
  </si>
  <si>
    <t>MAT,724</t>
  </si>
  <si>
    <t>Tablero 3 ø 18 Ctos con espacio totalizador y puerta</t>
  </si>
  <si>
    <t>MAT,725</t>
  </si>
  <si>
    <t>Tablero 3 ø 30 Ctos con espacio totalizador y puerta</t>
  </si>
  <si>
    <t>MAT,726</t>
  </si>
  <si>
    <t>Tablero 3 ø 36 Ctos con espacio totalizador y puerta</t>
  </si>
  <si>
    <t>MAT,727</t>
  </si>
  <si>
    <t>Tablero 3 ø 42 Ctos con espacio totalizador y puerta</t>
  </si>
  <si>
    <t>Tablero monofásico 6 circuitos con barraje de 75 A, barras de neutro y tierra. Ref VTQ-6-SQ marca Schneider Electric o similar</t>
  </si>
  <si>
    <t>MAT,728</t>
  </si>
  <si>
    <t>Tablero PHILIPS DYNALITE y controlador 2 RELES-DALI o similar</t>
  </si>
  <si>
    <t>MAT,729</t>
  </si>
  <si>
    <t>Tablet 7" 16 GB</t>
  </si>
  <si>
    <t>Tacha reflectiva uni o bidireccional</t>
  </si>
  <si>
    <t>Tanque para agua plástico de 1000 lt completo</t>
  </si>
  <si>
    <t>Tapa ciega metálica 4 x 4" para caja rawelt</t>
  </si>
  <si>
    <t>Tapaporos referencia 7203 o similar</t>
  </si>
  <si>
    <t>MAT,730</t>
  </si>
  <si>
    <t>MAT,731</t>
  </si>
  <si>
    <t>MAT,732</t>
  </si>
  <si>
    <t>Terminal conduit EMT 1 ½"</t>
  </si>
  <si>
    <t>MAT,733</t>
  </si>
  <si>
    <t>Terminal conduit EMT 1"</t>
  </si>
  <si>
    <t>MAT,734</t>
  </si>
  <si>
    <t>Terminal conduit EMT 3/4"</t>
  </si>
  <si>
    <t>MAT,735</t>
  </si>
  <si>
    <t>MAT,736</t>
  </si>
  <si>
    <t>Toma doble polo a tierra aislada LEVITON NEMA 5 - 15 o similar</t>
  </si>
  <si>
    <t>MAT,737</t>
  </si>
  <si>
    <t>MAT,738</t>
  </si>
  <si>
    <t>Toma doble polo a tierra LEVITON 20 A o similar</t>
  </si>
  <si>
    <t>MAT,739</t>
  </si>
  <si>
    <t>MAT,740</t>
  </si>
  <si>
    <t>Toma industrial de sobre poner 3 F, N, T 63A</t>
  </si>
  <si>
    <t>Toma sencilla de incrustar 20 A 250 V 2F Turnlock</t>
  </si>
  <si>
    <t>Tornillo autoperforante 8/18" x ½" zinc hexágono metal tecks</t>
  </si>
  <si>
    <t>MAT,744</t>
  </si>
  <si>
    <t>MAT,745</t>
  </si>
  <si>
    <t>Tornillo máquina 5/8" x 2"</t>
  </si>
  <si>
    <t>MAT,746</t>
  </si>
  <si>
    <t>Transformador 3ø 150 KVA, 13.2 Kv, 214/123 V</t>
  </si>
  <si>
    <t>MAT,747</t>
  </si>
  <si>
    <t>Transformador de corriente 15 Kv, 5A uso exterior</t>
  </si>
  <si>
    <t>MAT,748</t>
  </si>
  <si>
    <t>Transformador de potencia 15 Kv/120v uso exterior</t>
  </si>
  <si>
    <t>Tubería conduit EMT ½"</t>
  </si>
  <si>
    <t>MAT,749</t>
  </si>
  <si>
    <t>Tubería conduit EMT 1 ½"</t>
  </si>
  <si>
    <t>MAT,750</t>
  </si>
  <si>
    <t>Tubería conduit EMT 1"</t>
  </si>
  <si>
    <t>MAT,752</t>
  </si>
  <si>
    <t>Tubería conduit EMT 2"</t>
  </si>
  <si>
    <t>MAT,753</t>
  </si>
  <si>
    <t>Tubería conduit EMT 3"</t>
  </si>
  <si>
    <t>Tubería conduit EMT 3/4"</t>
  </si>
  <si>
    <t>MAT,754</t>
  </si>
  <si>
    <t>Tubería conduit EMT 4"</t>
  </si>
  <si>
    <t>Tubería conduit IMC ½"</t>
  </si>
  <si>
    <t>MAT,755</t>
  </si>
  <si>
    <t>Tubería conduit IMC 1 ½"</t>
  </si>
  <si>
    <t>Tubería conduit IMC 1"</t>
  </si>
  <si>
    <t>MAT,756</t>
  </si>
  <si>
    <t>Tubería conduit IMC 2"</t>
  </si>
  <si>
    <t>MAT,757</t>
  </si>
  <si>
    <t>Tubería conduit IMC 4"</t>
  </si>
  <si>
    <t>Tubería conduit PVC ½"</t>
  </si>
  <si>
    <t>Tubería conduit PVC ½" SCH 40</t>
  </si>
  <si>
    <t>Tubería conduit PVC 3/4"</t>
  </si>
  <si>
    <t>Tubería CPVC de ½" 100 PSI</t>
  </si>
  <si>
    <t>Tubería galvanizada para cerramiento de 1 ½" x 6 m</t>
  </si>
  <si>
    <t>Tubería PF + UAD ½" (manguera)</t>
  </si>
  <si>
    <t>Tubería PVC de alcantarillado de pared estructural d = 51", con unión</t>
  </si>
  <si>
    <t>Tubería PVC de alcantarillado de pared estructural d = 54", con unión</t>
  </si>
  <si>
    <t>Tubería PVC de alcantarillado de pared estructural d = 57", con unión</t>
  </si>
  <si>
    <t>Tubería PVC de alcantarillado de pared estructural d = 60", con unión</t>
  </si>
  <si>
    <t>Tubería PVC presión de ½" RDE 9</t>
  </si>
  <si>
    <t>Tubería PVC presión de 1 ¼" RDE 21</t>
  </si>
  <si>
    <t>Tubería PVC presión de 1 ½" RDE 21</t>
  </si>
  <si>
    <t>MAT,759</t>
  </si>
  <si>
    <t>Unión conduit EMT 1 ½"</t>
  </si>
  <si>
    <t>MAT,760</t>
  </si>
  <si>
    <t>Unión conduit EMT 1"</t>
  </si>
  <si>
    <t>MAT,761</t>
  </si>
  <si>
    <t>Unión conduit EMT 2"</t>
  </si>
  <si>
    <t>MAT,762</t>
  </si>
  <si>
    <t>Unión conduit EMT 3"</t>
  </si>
  <si>
    <t>MAT,763</t>
  </si>
  <si>
    <t>Unión conduit EMT 3/4"</t>
  </si>
  <si>
    <t>MAT,764</t>
  </si>
  <si>
    <t>Unión conduit EMT 4"</t>
  </si>
  <si>
    <t>MAT,766</t>
  </si>
  <si>
    <t>Unión conduit IMC 1 ½"</t>
  </si>
  <si>
    <t>MAT,767</t>
  </si>
  <si>
    <t>Unión conduit IMC 2"</t>
  </si>
  <si>
    <t>MAT,768</t>
  </si>
  <si>
    <t>Unión conduit IMC 3/4"</t>
  </si>
  <si>
    <t>Unión de reparación de 2 ½"</t>
  </si>
  <si>
    <t>MAT,769</t>
  </si>
  <si>
    <t>Unión rápida EDRN  - EZ</t>
  </si>
  <si>
    <t>Universal PVC 1 ½"</t>
  </si>
  <si>
    <t>Universal PVC de ½"</t>
  </si>
  <si>
    <t>Valla en tela vinílica con malla de poliéster (banner)</t>
  </si>
  <si>
    <t>MAT,770</t>
  </si>
  <si>
    <t>MAT,771</t>
  </si>
  <si>
    <t>MAT,772</t>
  </si>
  <si>
    <t>Valor contrato para suministro de tablero general de baja tensión, incluye transferencia automática motorizada de 450 A, según diseños del proyecto. No se incluyen protecciones</t>
  </si>
  <si>
    <t>MAT,774</t>
  </si>
  <si>
    <t>Varilla cuadrada de ½" para reja</t>
  </si>
  <si>
    <t>Taladro tipo roto-percutor martillo, incluye broca</t>
  </si>
  <si>
    <t>Amarras con tapa plástica para techos</t>
  </si>
  <si>
    <t>Bandeja tipo canasta cablofil CF 54 x 400 mm - EZ</t>
  </si>
  <si>
    <t>Barrera plásticas Jersey (maletín), en polietileno de alta densidad de l = 2, h = 1 b = 0,5 m, con sistema de acople al siguiente, naranja con cinta reflectivas  cintas reflectivas para visibilidad (grado ingeniería comercial y/o alta intensidad), llena de agua</t>
  </si>
  <si>
    <t>Cable Cu # 2/0 AWG HF FR LS - (EXZHELLENT BW)</t>
  </si>
  <si>
    <t>Cable Cu # 8 HF FR LS - (EXZHELLENT BW)</t>
  </si>
  <si>
    <t>Cable encauchetado de Cu ST-C 3 x 12 AWG</t>
  </si>
  <si>
    <t>Luminaria de sobreponer tipo tortuga, CF 23 W,  ILTEC o similar. Incluye 0.7 m de cable encauchetado y clavija</t>
  </si>
  <si>
    <t>Concertina d = 18" 31 espirales por rollo con C 24</t>
  </si>
  <si>
    <t>Conector a tierra bandeja tipo canasta cablofit</t>
  </si>
  <si>
    <t>Conector curvo coraza liquid tight 1"</t>
  </si>
  <si>
    <t>Conector recto coraza liquid tight 3/4"</t>
  </si>
  <si>
    <t>Conos viales de 70 cm Norma Invías Cap IV cinta reflectiva</t>
  </si>
  <si>
    <t>Coraza metálica liquid tight 3/4"</t>
  </si>
  <si>
    <t>Curva conduit galvanizada IMC 1"</t>
  </si>
  <si>
    <t>Estucor listo o similar</t>
  </si>
  <si>
    <t>Interruptor conmutable sencillo LUMINEX AMBIA REFRESH o similar</t>
  </si>
  <si>
    <t>Interruptor enchufable 2 x 30 A 10 KA marca Luminex o similar</t>
  </si>
  <si>
    <t>Juego de estructura múltiple movible, (micro - baloncesto), elaborada en tubería agua negra de primera calidad, de diámetro interior de 2½" la portería, el resto de la estructura de 1½", tablero en acrílico de 10 mm color cristal de medidas 1.20 x 1.80 m. debidamente demarcado con aro, incluye mallas para aro y portería. Movible: con ruedas y sobrepeso (norte y sur)</t>
  </si>
  <si>
    <t>Juego de estructura múltiple movible, (micro - baloncesto), elaborada en tubería agua negra de primera calidad, de diámetro interior de 2 ½" la portería, el resto de la estructura de 1 ½", tablero en acrílico de 10 mm color cristal de medidas 1.20 x 1.80 m. debidamente demarcado con aro, incluye mallas para aro y portería. Movible: con ruedas y sobrepeso (norte y sur)</t>
  </si>
  <si>
    <r>
      <t>Lámina en PVC, de 3,48 m</t>
    </r>
    <r>
      <rPr>
        <vertAlign val="superscript"/>
        <sz val="10"/>
        <rFont val="Arial"/>
        <family val="2"/>
      </rPr>
      <t>2</t>
    </r>
    <r>
      <rPr>
        <sz val="10"/>
        <rFont val="Arial"/>
        <family val="2"/>
      </rPr>
      <t>, blanca (2,9 m x ,30 m y e = 7 mm)</t>
    </r>
  </si>
  <si>
    <t>Luminaria bala led 23 W, 1850 lúmenes, ILTEC. Incluye 1.5 m de cable encauchetado y clavija</t>
  </si>
  <si>
    <t>Lámpara sellada IT100, 2 tubos LED 16 W, ILTEC. Incluye 1.5 m de cable encauchetado y clavija</t>
  </si>
  <si>
    <t>Lavadero prefabricado en granito pulido de 80 x 60 x 25 cm, incluye poceta con desagüe, tapón y rejilla</t>
  </si>
  <si>
    <t>Lavamanos tipo Avanti de colgar blanco, para grifería 4"</t>
  </si>
  <si>
    <t>Claraboya de fibrocemento Nº 6 l = 1,690 a = 0,873 m</t>
  </si>
  <si>
    <t>Teja española de fibrocemento</t>
  </si>
  <si>
    <t>Sikaflex 401 pavenent SL o similar (autonivelante)</t>
  </si>
  <si>
    <t>Cinta de enmascarar 3/4"</t>
  </si>
  <si>
    <t>Sello de junta autonivelante para pavimento</t>
  </si>
  <si>
    <t>Sello de junta autonivelante para pavimento a &gt; 6 mm, incluye rollo de espuma</t>
  </si>
  <si>
    <t>Mueble inferior en fórmica para mesón cocineta h ± 0,90 m</t>
  </si>
  <si>
    <t>Pasador metálico de ± 3"</t>
  </si>
  <si>
    <t>Piso en lámina de vinilo de 3 mm tráfico pesado</t>
  </si>
  <si>
    <t>Listón en lámina de vinilo click ± h = 8 cm</t>
  </si>
  <si>
    <t>Planta de Emergencia 100 Kw, Perkins - Stamford o similar 214-123 V insonorizada o similar</t>
  </si>
  <si>
    <t>Poste en ángulo de ± 2 x 2 x 1/8" de 3,5 m (completo)</t>
  </si>
  <si>
    <t>Puerta para división en lámina doble C 20 h = 1,60 m, incluye anticorrosivo y pintura</t>
  </si>
  <si>
    <t>Sanitario tipo Acua Plus blanco de bajo consumo con acople</t>
  </si>
  <si>
    <t>Sardinel prefabricado A80</t>
  </si>
  <si>
    <t>Sistema séptico Integrado horizontal 4000 litros subterráneo</t>
  </si>
  <si>
    <t>Soporte colgante bandeja porta cable tipo canasta CABLOFIL de 200 mm</t>
  </si>
  <si>
    <t>Tablero melamínico de ± 2,40 x 1,80 m, base en MDF de ± 15 mm, para marcador seco, incluye ticero en madera, instalado</t>
  </si>
  <si>
    <t>Teja zinc ondulada ± 2,13 x 0,80 m C 24</t>
  </si>
  <si>
    <t>Tubería conduit IMC 3/4"</t>
  </si>
  <si>
    <t xml:space="preserve">Tubería conduit PVC 1/2" SCH 40 </t>
  </si>
  <si>
    <t>Tubería galvanizada para cerramiento de 1 ½" x 6 m incluye tapa</t>
  </si>
  <si>
    <t>Herrajería y accesorios de conexión para instalación de 3 transformadores de medición de energía a 13.2 Kv exterior</t>
  </si>
  <si>
    <t>VR. PARCIAL</t>
  </si>
  <si>
    <t>VR. UN.</t>
  </si>
  <si>
    <t>MOB023</t>
  </si>
  <si>
    <t>Canal estructural liso 1 5/8", calibre 14</t>
  </si>
  <si>
    <t>Amarra de nylon de 10 cm</t>
  </si>
  <si>
    <t>3 - 13 SISTEMA DE GENERACIÓN DE ENERGÍA ELÉCTRICA</t>
  </si>
  <si>
    <t>03.11.02</t>
  </si>
  <si>
    <t>Arandela galvanizada de 3/8"</t>
  </si>
  <si>
    <t>Perfil de fijación RCSN (galvanizado continuo) GS</t>
  </si>
  <si>
    <t>Pz</t>
  </si>
  <si>
    <t>Soporte colgante bandeja portacable tipo canasta CABLOFIL de 200 mm</t>
  </si>
  <si>
    <t>Tuerca galvanizada 3/8", incluye arandela</t>
  </si>
  <si>
    <t>Varilla roscada 3/8" galvanizada</t>
  </si>
  <si>
    <t>Tablero de protecciones equipos de aire acondicionado</t>
  </si>
  <si>
    <t>03,05.06</t>
  </si>
  <si>
    <t>03.05.07</t>
  </si>
  <si>
    <t>3-18-01</t>
  </si>
  <si>
    <t>3-18-02</t>
  </si>
  <si>
    <t>3-18-03</t>
  </si>
  <si>
    <t>3-18-04</t>
  </si>
  <si>
    <t>Tablero trifásico 24 circuitos con barraje de 200 A, barrajes de neutro y tierra, puerta y chapa. Incluye una protección de 3 x 30 A 10 KA, una de 3 x 20 A 10 KA, una protección de 2 x 20 A 10 KA y una protección de 1 x 20 A 10 KA. Empotrado</t>
  </si>
  <si>
    <t>3-18-05</t>
  </si>
  <si>
    <t>3-18-06</t>
  </si>
  <si>
    <t>3-18-07</t>
  </si>
  <si>
    <t>3-18-08</t>
  </si>
  <si>
    <t>3-18-09</t>
  </si>
  <si>
    <t>3-18-10</t>
  </si>
  <si>
    <t>3-18-11</t>
  </si>
  <si>
    <t>3-18-12</t>
  </si>
  <si>
    <t>3-18-13</t>
  </si>
  <si>
    <t>3-18-14</t>
  </si>
  <si>
    <t>3-18-15</t>
  </si>
  <si>
    <t>3-18-16</t>
  </si>
  <si>
    <t>3-18-17</t>
  </si>
  <si>
    <t>3-18-18</t>
  </si>
  <si>
    <t>3-18-19</t>
  </si>
  <si>
    <t>Accesorios de fijación alambrón de Al</t>
  </si>
  <si>
    <t>%Ala</t>
  </si>
  <si>
    <t>Accesorios de fijación tubería IMC</t>
  </si>
  <si>
    <t>3-18-20</t>
  </si>
  <si>
    <t>Accesorios de fijación caja</t>
  </si>
  <si>
    <t>%Caj</t>
  </si>
  <si>
    <t>3-18-21</t>
  </si>
  <si>
    <t>3-18-22</t>
  </si>
  <si>
    <t>3-18-23</t>
  </si>
  <si>
    <t>3-18-24</t>
  </si>
  <si>
    <t>3-18-25</t>
  </si>
  <si>
    <t>3-18-26</t>
  </si>
  <si>
    <t>3-18-27</t>
  </si>
  <si>
    <t>3-18-28</t>
  </si>
  <si>
    <t>3-18-29</t>
  </si>
  <si>
    <t>3-18-30</t>
  </si>
  <si>
    <t>3-18-31</t>
  </si>
  <si>
    <t>3-18-32</t>
  </si>
  <si>
    <t>3-18-33</t>
  </si>
  <si>
    <t>3-18-34</t>
  </si>
  <si>
    <t>Acometida 3 # 8 (F) + 1 # 8 (T) THHN, ducto IMC 1 1/2". Va desde tablero general de equipos de A.A. a unidad de ventilación</t>
  </si>
  <si>
    <t>Derechos ante CHEC por cortes de energía, revisión y de conexión del sistema eléctrico</t>
  </si>
  <si>
    <t>3 - 18 ÍTEMS ELÉCTRICOS USO EDIFICACIONES</t>
  </si>
  <si>
    <t>3 - INSTALACIONES ELÉCTRICAS: MEDIA TENSIÓN E INTERIOR EDIFICACIONES</t>
  </si>
  <si>
    <t>2-01-02</t>
  </si>
  <si>
    <r>
      <t>M</t>
    </r>
    <r>
      <rPr>
        <b/>
        <vertAlign val="superscript"/>
        <sz val="11"/>
        <rFont val="Arial"/>
        <family val="2"/>
      </rPr>
      <t>3</t>
    </r>
  </si>
  <si>
    <t>Tubería conduit EMT 1 1/2", soporte en riel Unistrut. No incluye curvas ni accesorios de conexión</t>
  </si>
  <si>
    <t>Tubería conduit EMT 2", soporte en riel Unistrut. No incluye curvas ni accesorios de conexión</t>
  </si>
  <si>
    <t>Tubería conduit EMT 4", soporte en riel Unistrut. No incluye curvas ni accesorios de conexión</t>
  </si>
  <si>
    <t>3 - 08 RED VOZ Y DATOS</t>
  </si>
  <si>
    <t>Interruptor doble sin luz piloto, marca Luminex o similar</t>
  </si>
  <si>
    <t>Canalización en cielo tubería PVC 1/2" SCH 40</t>
  </si>
  <si>
    <t>Toma corriente doble con polo a tierra. Marca Luminex o similar</t>
  </si>
  <si>
    <t>Tubería conduit EMT 3", soporte en riel Unistrut. No incluye curvas ni accesorios de conexión</t>
  </si>
  <si>
    <t>Ayudante Eléctrico (jornal + prestaciones)</t>
  </si>
  <si>
    <t>Canalización para salidas de sonido laterales, tubería EMT</t>
  </si>
  <si>
    <t>Oficial Eléctrico (jornal + prestaciones)</t>
  </si>
  <si>
    <t>Tablero monofásico 6 circuitos con barraje de 75 A , barras de neutro y  tierra. Ref. VTQ-6-SQ marca Schneider Electric o similar</t>
  </si>
  <si>
    <t>Tablero bifásico 4 circuitos con barraje de 75 A, barras de neutro y tierra.  Ref. VTQ-4M-SQ marca Schneider Electric o similar</t>
  </si>
  <si>
    <t>Tablero bifásico 8 circuitos con barraje de 125 A, Barras de Neutro y tierra, Puerta y Chapa. Ref. TQ-CP-8-SQ Marca Schneider Electric o similar.</t>
  </si>
  <si>
    <t>Tablero trifásico 12 circuitos con barraje de 200 A, barras de neutro y tierra. Puerta y chapa. Ref. NTQ-412-SQ marca Schneider Electric o similar</t>
  </si>
  <si>
    <t>Tablero trifásico 24 circuitos con barraje de 200 A, barras de neutro y tierra, puerta y chapa. Ref. NTQ-424-SQ marca Schneider Electric o similar</t>
  </si>
  <si>
    <t>Grapa bimetálica DEHN unión alambrón - Cu 8-10 mm Ref. 459129</t>
  </si>
  <si>
    <t>Camilla de transformador ¼" x 2.5 m</t>
  </si>
  <si>
    <t>Poste de ferro concreto 14 m x 750 kg</t>
  </si>
  <si>
    <t>2-05-22</t>
  </si>
  <si>
    <t>Aditivo acelerante para concreto tipo Sikaset L o similar</t>
  </si>
  <si>
    <t>Cuadrilla E 1 Of + 7 Ay (jornal + prestaciones)</t>
  </si>
  <si>
    <t>Limpieza de alcantarillas (circular o de cajón),  incluye descole y retiro manual</t>
  </si>
  <si>
    <t>Repavimentación en concreto asfáltico e = 0,07 m</t>
  </si>
  <si>
    <t>Concreto ciclópeo para placa huella de 20,7 Mpa (3000 PSI, piedra de mano Ø &lt; 12 cm 40 %, concreto 60 %), e = 0,15 m (tipo INVÍAS para placa huella)</t>
  </si>
  <si>
    <r>
      <t>M</t>
    </r>
    <r>
      <rPr>
        <b/>
        <vertAlign val="superscript"/>
        <sz val="11"/>
        <rFont val="Arial"/>
        <family val="2"/>
      </rPr>
      <t>2</t>
    </r>
  </si>
  <si>
    <t>ÍTEMS</t>
  </si>
  <si>
    <t>Viga riostra para placa huella de 20,7 Mpa (3000 PSI), de fraguado rápido (fast track), a = 0,20 cm y h = 0,30 cm (tipo INVÍAS), incluye refuerzo y solado e = 0,05 cm</t>
  </si>
  <si>
    <t>Concreto de 10,3 Mpa (1500 PSI) (Producción)</t>
  </si>
  <si>
    <r>
      <t>Sardinel en concreto de 20,7 Mpa 0,03 m</t>
    </r>
    <r>
      <rPr>
        <b/>
        <vertAlign val="superscript"/>
        <sz val="11"/>
        <rFont val="Arial"/>
        <family val="2"/>
      </rPr>
      <t>3</t>
    </r>
    <r>
      <rPr>
        <b/>
        <sz val="11"/>
        <rFont val="Arial"/>
        <family val="2"/>
      </rPr>
      <t>/ml, incluye refuerzo, sobre placa</t>
    </r>
  </si>
  <si>
    <r>
      <t>Sardinel de gravedad en concreto de 20,7 Mpa (3000 PSI) de b = 0,20 m, corona 0,15 m, h = 0,38 m, v = 0,07 m</t>
    </r>
    <r>
      <rPr>
        <b/>
        <vertAlign val="superscript"/>
        <sz val="11"/>
        <rFont val="Arial"/>
        <family val="2"/>
      </rPr>
      <t>3</t>
    </r>
    <r>
      <rPr>
        <b/>
        <sz val="11"/>
        <rFont val="Arial"/>
        <family val="2"/>
      </rPr>
      <t>/ml, incluye afirmado e = 0,10 m</t>
    </r>
  </si>
  <si>
    <t>2-05-23</t>
  </si>
  <si>
    <t>2-02-13</t>
  </si>
  <si>
    <r>
      <t>M</t>
    </r>
    <r>
      <rPr>
        <b/>
        <vertAlign val="superscript"/>
        <sz val="11"/>
        <color indexed="8"/>
        <rFont val="Arial"/>
        <family val="2"/>
      </rPr>
      <t>3</t>
    </r>
  </si>
  <si>
    <r>
      <t>Lleno semi-compactado manual con material del sitio tras bordillos para placa huella, a promedio de corona = 0,45 m, h promedio = 0,40 m, área promedio por metro 0,26 m</t>
    </r>
    <r>
      <rPr>
        <b/>
        <vertAlign val="superscript"/>
        <sz val="11"/>
        <color indexed="8"/>
        <rFont val="Arial"/>
        <family val="2"/>
      </rPr>
      <t>3</t>
    </r>
  </si>
  <si>
    <r>
      <t>M</t>
    </r>
    <r>
      <rPr>
        <b/>
        <vertAlign val="superscript"/>
        <sz val="11"/>
        <color indexed="8"/>
        <rFont val="Arial"/>
        <family val="2"/>
      </rPr>
      <t>2</t>
    </r>
  </si>
  <si>
    <t>Reja para sumidero de 50 x 70 cm y ángulo de 2 x 2 x ¼" incluye anticorrosivo</t>
  </si>
  <si>
    <t>Almohadillas de neopreno para puente</t>
  </si>
  <si>
    <r>
      <t>M</t>
    </r>
    <r>
      <rPr>
        <b/>
        <vertAlign val="superscript"/>
        <sz val="11"/>
        <rFont val="Arial"/>
        <family val="2"/>
      </rPr>
      <t>3</t>
    </r>
    <r>
      <rPr>
        <b/>
        <sz val="11"/>
        <rFont val="Arial"/>
        <family val="2"/>
      </rPr>
      <t>-Km</t>
    </r>
  </si>
  <si>
    <t>Un-Día</t>
  </si>
  <si>
    <r>
      <t xml:space="preserve">Barrera plásticas Jersey (maletín), en polietileno de alta densidad de l = 2, h = 1 b = 0,5 m, con sistema de acople al siguiente, naranja con cinta reflectivas, llena de arena, para uso </t>
    </r>
    <r>
      <rPr>
        <b/>
        <sz val="11"/>
        <rFont val="Calibri"/>
        <family val="2"/>
      </rPr>
      <t>≤ a 30 días, para usos mayores la barrera quedará de la entidad</t>
    </r>
  </si>
  <si>
    <t>Barrera plásticas Jersey (maletín), en polietileno de alta densidad de l = 2, h = 1 b = 0,5 m, con sistema de acople al siguiente, naranja con cinta reflectivas, llena de agua, para uso ≤ a 80 días, para usos mayores la barrera quedará de la entidad</t>
  </si>
  <si>
    <t>2-08-09</t>
  </si>
  <si>
    <t>1 - 15 VARIOS</t>
  </si>
  <si>
    <t>Recorrido de canales, incluye limpieza y reacomodación de ellas y sus soportes</t>
  </si>
  <si>
    <t>Guarda escobas en listón de lámina de vinilo click ± h = 8 cm</t>
  </si>
  <si>
    <t>Resane con malla para incrustar redes a muros</t>
  </si>
  <si>
    <r>
      <t>Columna en concreto de 20,7 (3000 PSI) Mpa sección &lt; 1600 cm</t>
    </r>
    <r>
      <rPr>
        <b/>
        <vertAlign val="superscript"/>
        <sz val="11"/>
        <rFont val="Arial"/>
        <family val="2"/>
      </rPr>
      <t>2</t>
    </r>
    <r>
      <rPr>
        <b/>
        <sz val="11"/>
        <rFont val="Arial"/>
        <family val="2"/>
      </rPr>
      <t>, no incluye refuerzo</t>
    </r>
  </si>
  <si>
    <r>
      <t>Valla de identificación de obra área mayor a 4 m</t>
    </r>
    <r>
      <rPr>
        <b/>
        <vertAlign val="superscript"/>
        <sz val="11"/>
        <rFont val="Arial"/>
        <family val="2"/>
      </rPr>
      <t>2</t>
    </r>
    <r>
      <rPr>
        <b/>
        <sz val="11"/>
        <rFont val="Arial"/>
        <family val="2"/>
      </rPr>
      <t>, colocada en cerchas metálica, incluye mantenimiento durante la construcción</t>
    </r>
  </si>
  <si>
    <t>Concreto de 13,8 Mpa (2000 PSI) (Producción)</t>
  </si>
  <si>
    <t>Concreto de 20,7 Mpa (3000 PSI) (Producción)</t>
  </si>
  <si>
    <t>Concreto de 24,5 Mpa (3500 PSI) (Producción)</t>
  </si>
  <si>
    <t>Campamento, incluye teja de zinc, piso en concreto de 17,2 Mpa</t>
  </si>
  <si>
    <t>1 - 01 PRELIMINARES Y OBRAS FINALES</t>
  </si>
  <si>
    <t>1 - 02 CORTES, DEMOLICIONES Y DESMONTES</t>
  </si>
  <si>
    <t>Descapote y nivelación manual</t>
  </si>
  <si>
    <t>Descapote y limpieza manual</t>
  </si>
  <si>
    <r>
      <t>Campamento arrendado mínimo de 18 m</t>
    </r>
    <r>
      <rPr>
        <b/>
        <vertAlign val="superscript"/>
        <sz val="11"/>
        <rFont val="Arial"/>
        <family val="2"/>
      </rPr>
      <t>2</t>
    </r>
  </si>
  <si>
    <t>Muro en panel de yeso 1/2" 1 cara, incluye pintura</t>
  </si>
  <si>
    <t>Muro en panel de yeso 1/2" 2 caras, incluye pintura</t>
  </si>
  <si>
    <r>
      <t>Calados en concreto ± 20 x 20 x 10 (25 un/m</t>
    </r>
    <r>
      <rPr>
        <vertAlign val="superscript"/>
        <sz val="10"/>
        <rFont val="Arial"/>
        <family val="2"/>
      </rPr>
      <t>2</t>
    </r>
    <r>
      <rPr>
        <sz val="10"/>
        <rFont val="Arial"/>
        <family val="2"/>
      </rPr>
      <t>)</t>
    </r>
  </si>
  <si>
    <t>Muro en placa de fibrocemento e = 10 mm o similar 1 cara, incluye pintura</t>
  </si>
  <si>
    <t>Muro en placa de fibrocemento e = 10 mm o similar 2 caras, incluye pintura</t>
  </si>
  <si>
    <t>1-05-28</t>
  </si>
  <si>
    <t>1-05-29</t>
  </si>
  <si>
    <t>1-05-30</t>
  </si>
  <si>
    <t>1-05-31</t>
  </si>
  <si>
    <t>Piso en concreto estampado de e = 6 cm, resistencia máxima 13,8 Mpa, tráfico peatonal semi-pesado</t>
  </si>
  <si>
    <t>Color endurecedor para espolvorear todos los tonos</t>
  </si>
  <si>
    <t>Sellador acrílico base solvente transparente, semimate</t>
  </si>
  <si>
    <t>Piso en granito pulido, incluye dilatación de bronce, no incluye mortero</t>
  </si>
  <si>
    <t>Guarda escoba cerámico Duropiso o similar ± h = 0,10 m</t>
  </si>
  <si>
    <t>Guarda escoba cerámico Mangle o similar ± h = 0,10 m</t>
  </si>
  <si>
    <t>Guarda escoba cerámico Porcelanato o similar ± h = 0,10 m, súper blanco brillante</t>
  </si>
  <si>
    <t>Guarda escoba cerámico Porto Muicolor o similar ± h = 0,10 m</t>
  </si>
  <si>
    <t>Todos los pisos, guarda escoba y enchapes son de primera calidad</t>
  </si>
  <si>
    <t>Cerámica de 1a de 50 x 50 cm tipo Mangle Euro-cerámica o similar</t>
  </si>
  <si>
    <t>Guarda escoba en pizarra Terranova o similar ± h = 0,10 m</t>
  </si>
  <si>
    <r>
      <t xml:space="preserve">Guarda escoba en granito pulido media caña, incluye dilatación flexible ancho total </t>
    </r>
    <r>
      <rPr>
        <b/>
        <sz val="11"/>
        <rFont val="Calibri"/>
        <family val="2"/>
      </rPr>
      <t>±</t>
    </r>
    <r>
      <rPr>
        <b/>
        <sz val="9.9"/>
        <rFont val="Arial"/>
        <family val="2"/>
      </rPr>
      <t xml:space="preserve"> h = 0,25 m</t>
    </r>
  </si>
  <si>
    <r>
      <t xml:space="preserve">Guarda escoba en granito pulido recto, incluye dilatación flexible </t>
    </r>
    <r>
      <rPr>
        <b/>
        <sz val="11"/>
        <rFont val="Calibri"/>
        <family val="2"/>
      </rPr>
      <t>±</t>
    </r>
    <r>
      <rPr>
        <b/>
        <sz val="9.9"/>
        <rFont val="Arial"/>
        <family val="2"/>
      </rPr>
      <t xml:space="preserve"> h = 0,10 m</t>
    </r>
  </si>
  <si>
    <t>Marmolina café</t>
  </si>
  <si>
    <t>Guarda escoba en lámina de vinilo ± h = 6,8 cm, C 1,6 mm</t>
  </si>
  <si>
    <t>Guarda escoba en madera laminada MDF Petterson Oak Dark café o similar de ± 8 cm</t>
  </si>
  <si>
    <t>Clavo de acero para concreto de 1"</t>
  </si>
  <si>
    <r>
      <t xml:space="preserve">Guarda escoba en mortero 1:3, </t>
    </r>
    <r>
      <rPr>
        <b/>
        <sz val="11"/>
        <rFont val="Calibri"/>
        <family val="2"/>
      </rPr>
      <t>±</t>
    </r>
    <r>
      <rPr>
        <b/>
        <sz val="9.9"/>
        <rFont val="Arial"/>
        <family val="2"/>
      </rPr>
      <t xml:space="preserve"> H = 10 cm, </t>
    </r>
    <r>
      <rPr>
        <b/>
        <sz val="11"/>
        <rFont val="Arial"/>
        <family val="2"/>
      </rPr>
      <t>incluye esmalte</t>
    </r>
  </si>
  <si>
    <t>Cerámica blanca de 1a de 20,5 x 20,5 cm tipo Egeo</t>
  </si>
  <si>
    <t>Enchape en cerámica de 20 x 20 cm tipo Ecocerámica, incluye filos de aluminio, no incluye mortero</t>
  </si>
  <si>
    <r>
      <t xml:space="preserve">Guarda escoba en Payande Nº 5 P5B o similar </t>
    </r>
    <r>
      <rPr>
        <b/>
        <sz val="11"/>
        <rFont val="Calibri"/>
        <family val="2"/>
      </rPr>
      <t>±</t>
    </r>
    <r>
      <rPr>
        <b/>
        <sz val="9.9"/>
        <rFont val="Arial"/>
        <family val="2"/>
      </rPr>
      <t xml:space="preserve"> </t>
    </r>
    <r>
      <rPr>
        <b/>
        <sz val="11"/>
        <rFont val="Arial"/>
        <family val="2"/>
      </rPr>
      <t>h = 0,10 m</t>
    </r>
  </si>
  <si>
    <r>
      <t xml:space="preserve">Guarda escobas en Grano Tradicional Blanco Huila BH5 o similar de </t>
    </r>
    <r>
      <rPr>
        <b/>
        <sz val="11"/>
        <rFont val="Calibri"/>
        <family val="2"/>
      </rPr>
      <t>±</t>
    </r>
    <r>
      <rPr>
        <b/>
        <sz val="11"/>
        <rFont val="Arial"/>
        <family val="2"/>
      </rPr>
      <t xml:space="preserve"> h = 0.10 m</t>
    </r>
  </si>
  <si>
    <t>Guarda escoba en Tablón Rojo o similar de ± h = 0,10 m</t>
  </si>
  <si>
    <t>Guarda escoba cerámico Antique o similar ± h = 0,10 m, color blanco o beige</t>
  </si>
  <si>
    <t>Guarda escoba cerámico Cemento Habitat Zen o similar ± h = 0,10 m, gris</t>
  </si>
  <si>
    <t>Guarda escobas cerámico Ecocerámica o similar ± h = 0.10 m</t>
  </si>
  <si>
    <t>Guarda escobas cerámico Egeo o similar ± h = 0.10 m</t>
  </si>
  <si>
    <t>Enchapes</t>
  </si>
  <si>
    <t>Pirlán de bronce para piso en gravilla, grano o cerámica</t>
  </si>
  <si>
    <t>Charquero en concreto de 20,7 Mpa (3000 PSI), de 0,1 m x 0,05 m, incluye enchape y refuerzo</t>
  </si>
  <si>
    <t>1-06-49</t>
  </si>
  <si>
    <t>1-06-50</t>
  </si>
  <si>
    <t>1-06-51</t>
  </si>
  <si>
    <t>1-06-52</t>
  </si>
  <si>
    <t>1-06-53</t>
  </si>
  <si>
    <t>1-06-54</t>
  </si>
  <si>
    <t>1-06-55</t>
  </si>
  <si>
    <t>1-06-56</t>
  </si>
  <si>
    <t>1-06-57</t>
  </si>
  <si>
    <t>1-06-58</t>
  </si>
  <si>
    <t>1-06-59</t>
  </si>
  <si>
    <t>1-06-60</t>
  </si>
  <si>
    <t>1-06-61</t>
  </si>
  <si>
    <t>1-06-62</t>
  </si>
  <si>
    <t>1-06-63</t>
  </si>
  <si>
    <t>Enchape en cerámica de 20 x 20 cm tipo Ecocerámica, incluye filos plásticos, no incluye mortero</t>
  </si>
  <si>
    <t>1-06-64</t>
  </si>
  <si>
    <t>Techo en teja de barro, incluye manto impermeabilizante, esterilla y mortero 1:3 impermeabilizado, pendiente máxima 27 %</t>
  </si>
  <si>
    <t>Techo en teja ondulada de fibrocemento, pendiente máxima 27 %</t>
  </si>
  <si>
    <t>Techo en teja ondulada de fibrocemento tipo española, pendiente máxima 27 %</t>
  </si>
  <si>
    <t>Teja zinc ondulada ± 2,13 x 0,80 m C 34</t>
  </si>
  <si>
    <t>Techo en teja de zinc, incluye entramado de madera, pendiente máxima 10 %</t>
  </si>
  <si>
    <t>Teja ondulada transparente policarbonato perfil 7 de 2.44 x 0.92m x 0.7mm (útil 0,74 x 2,29 m)</t>
  </si>
  <si>
    <t>Techo en teja ondulada transparente, pendiente máxima 27 %, mínima 10 %</t>
  </si>
  <si>
    <t>Claraboya de fibrocemento Nº 6, incluye vidrio de seguridad de 4 mm</t>
  </si>
  <si>
    <t>Lámina de cielo raso de 1.22 x 0.61 x 0.018 m, densidad 12</t>
  </si>
  <si>
    <t>Cielo falso en aluminio natural y lámina de icopor</t>
  </si>
  <si>
    <t>Reinstalación y reparación de cielo falso en icopor, duracustic o similar, con junta, incluye reparación estructura de aluminio y pintura</t>
  </si>
  <si>
    <t>Ventana metálica en lámina C 20, incluye anticorrosivo, pintura y vidrio de 4 mm de seguridad</t>
  </si>
  <si>
    <t>Techo en teja thermoacustic, pendiente máxima 10 %</t>
  </si>
  <si>
    <t>Techo en teja metálica roja C 28 tipo Techolum Plus, pendiente máxima 10 %</t>
  </si>
  <si>
    <t>Puerta en tubería galvanizada de 1 1/2" para cerramiento, incluye excavación, columnas de 20,7 Mpa (3000 PSI), refuerzo, pasador h = 2 m, a = 0,9 m y malla</t>
  </si>
  <si>
    <t>Ventana metálica en lámina C 20 de seguridad, incluye anticorrosivo, pintura y vidrio de 4 mm de seguridad</t>
  </si>
  <si>
    <t>Ventana metálica en ángulo 1" x 1/8", incluye anticorrosivo, pintura y vidrio de 4 mm de seguridad</t>
  </si>
  <si>
    <t>Ventana en aluminio Int negro corrediza, incluye vidrio de 6 mm de seguridad</t>
  </si>
  <si>
    <t>Guarda escoba en tablilla de madera ± h = 6,8 cm, incluye barniz</t>
  </si>
  <si>
    <t>Acero laminado A 36, para correa formada por pieza simple, de perfiles laminados en caliente, según ASTM A 36, acabado con imprimación antioxidante, trabajado en taller, para colocar en obra mediante soldadura</t>
  </si>
  <si>
    <t>Andamio certificado</t>
  </si>
  <si>
    <t>Andamio certificado tubular</t>
  </si>
  <si>
    <t>Andamio certificado (% mano obra)</t>
  </si>
  <si>
    <t>Andamio certificado(% mano obra)</t>
  </si>
  <si>
    <t>Reinstalación puerta en lámina, suministro de marco en lámina 2 naves, incluye resane, anticorrosivo y pintura</t>
  </si>
  <si>
    <t xml:space="preserve"> 1- 12 INSTALACIONES HIDRO-SANITARIAS Y CONTRA INCENDIOS</t>
  </si>
  <si>
    <t>1-06-65</t>
  </si>
  <si>
    <t>Los techos incluyen la pendiente anotada en cada caso y su valor por metro cuadrado se calculó teniendo en cuenta el área útil de la respectiva teja</t>
  </si>
  <si>
    <t>Cerramiento en poste de madera y 4 hilos de alambre de púas</t>
  </si>
  <si>
    <t>1 - 07 PINTURAS Y ACABADO DE PAREDES</t>
  </si>
  <si>
    <t>1 - 11 CONTENEDORES DE AGUA, PORCELANA, MUEBLES Y ACCESORIOS SANITARIOS, GRIFERÍA Y SISTEMAS SÉPTICOS</t>
  </si>
  <si>
    <t>1 - 04 ELEMENTOS DE Y PARA CONCRETO</t>
  </si>
  <si>
    <t>1-04-56</t>
  </si>
  <si>
    <t>1-04-57</t>
  </si>
  <si>
    <t>1-04-58</t>
  </si>
  <si>
    <t>1-04-59</t>
  </si>
  <si>
    <t>1-04-60</t>
  </si>
  <si>
    <t>1-04-63</t>
  </si>
  <si>
    <t>1,06-39</t>
  </si>
  <si>
    <t>1-06-66</t>
  </si>
  <si>
    <t>1-11-21</t>
  </si>
  <si>
    <t>1-11-44</t>
  </si>
  <si>
    <t>1-11-45</t>
  </si>
  <si>
    <t>1-11-46</t>
  </si>
  <si>
    <t>1-12-58</t>
  </si>
  <si>
    <t>1-12-70</t>
  </si>
  <si>
    <t>1-12-71</t>
  </si>
  <si>
    <t>1-12-72</t>
  </si>
  <si>
    <t>1-12-73</t>
  </si>
  <si>
    <t>1-12-74</t>
  </si>
  <si>
    <t>1-12-75</t>
  </si>
  <si>
    <t>1-12-76</t>
  </si>
  <si>
    <t>1-12-77</t>
  </si>
  <si>
    <t>1-12-78</t>
  </si>
  <si>
    <t>1-12-79</t>
  </si>
  <si>
    <t>1-12-80</t>
  </si>
  <si>
    <t>1-12-81</t>
  </si>
  <si>
    <t>1-12-82</t>
  </si>
  <si>
    <t>1-12-83</t>
  </si>
  <si>
    <t>1-12-84</t>
  </si>
  <si>
    <t>1-12-85</t>
  </si>
  <si>
    <t>1-12-86</t>
  </si>
  <si>
    <t>1-12-87</t>
  </si>
  <si>
    <t>1-12-88</t>
  </si>
  <si>
    <t>1-12-89</t>
  </si>
  <si>
    <t>1-12-90</t>
  </si>
  <si>
    <t>1-12-91</t>
  </si>
  <si>
    <t>1-12-92</t>
  </si>
  <si>
    <t>1-12-93</t>
  </si>
  <si>
    <t>1-12-95</t>
  </si>
  <si>
    <t>1-12-96</t>
  </si>
  <si>
    <t>1-12-97</t>
  </si>
  <si>
    <t>1-12-98</t>
  </si>
  <si>
    <t>1-12-99</t>
  </si>
  <si>
    <t>1-12-100</t>
  </si>
  <si>
    <t>1-12-101</t>
  </si>
  <si>
    <t>1-12-102</t>
  </si>
  <si>
    <t>1-12-103</t>
  </si>
  <si>
    <t>1-12-104</t>
  </si>
  <si>
    <t>1-12-105</t>
  </si>
  <si>
    <t>1-12-106</t>
  </si>
  <si>
    <t>1-12-107</t>
  </si>
  <si>
    <t>1-12-108</t>
  </si>
  <si>
    <t>Punto hidráulico PVC de 3" L prom = 3 m en mampostería seca</t>
  </si>
  <si>
    <t>Punto hidráulico PVC de 2" L prom = 3 m en mampostería de ladrillo o similar</t>
  </si>
  <si>
    <t>Punto hidráulico PVC de 3" L prom = 3 m en mampostería de ladrillo o similar</t>
  </si>
  <si>
    <t>Punto hidráulico PVC de 2" L prom = 3 m en mampostería seca</t>
  </si>
  <si>
    <t>Punto hidráulico PVC de 1 1/2" L prom = 3 m en mampostería de ladrillo o similar</t>
  </si>
  <si>
    <t>Punto hidráulico PVC de 1 1/2" L prom = 3 m en mampostería seca</t>
  </si>
  <si>
    <t>Punto hidráulico PVC de 1 1/4"  L prom = 3 m en mampostería de ladrillo o similar</t>
  </si>
  <si>
    <t>Punto hidráulico PVC de 1 1/4"  L prom = 3 m en mampostería seca</t>
  </si>
  <si>
    <t>Punto hidráulico PVC de 1"  L prom = 3 m en mampostería seca</t>
  </si>
  <si>
    <t>Punto hidráulico PVC de 1"  L prom = 3 m en mampostería de ladrillo o similar</t>
  </si>
  <si>
    <t>Punto hidráulico PVC de 3/4" L prom = 3 m en mampostería de ladrillo o similar</t>
  </si>
  <si>
    <t>Punto hidráulico PVC de 3/4" L prom = 3 m en mampostería seca</t>
  </si>
  <si>
    <t>Punto hidráulico PVC de 1/2"  L prom = 3 m en mampostería de ladrillo o similar</t>
  </si>
  <si>
    <t>Punto hidráulico PVC de 1/2"  L prom = 3 m en mampostería seca</t>
  </si>
  <si>
    <t>Punto hidráulico CPVC 1/2" 100 PSI  L prom = 3 m en mampostería de ladrillo o similar</t>
  </si>
  <si>
    <t>Punto hidráulico CPVC 1/2" 100 PSI  L prom = 3 m en mampostería seca</t>
  </si>
  <si>
    <t>Tubería PVC agua lluvia de 2", incluye accesorios</t>
  </si>
  <si>
    <t>Tubería PVC agua lluvia de 3", incluye accesorios</t>
  </si>
  <si>
    <t>Tubería PVC agua lluvia de 4", incluye accesorios</t>
  </si>
  <si>
    <t>Bajante PVC agua lluvia de 3", incluye accesorios</t>
  </si>
  <si>
    <t>Bajante PVC agua lluvia de 4", incluye accesorios</t>
  </si>
  <si>
    <t>Bajante PVC agua lluvia cuadrado, incluye accesorios</t>
  </si>
  <si>
    <t>Canal PVC tipo Amazonas o similar, incluye accesorios</t>
  </si>
  <si>
    <t>Punto sanitario PVC de 2" l prom = 3 m, incluye accesorios en mampostería de ladrillo o similar</t>
  </si>
  <si>
    <t>Punto sanitario PVC de 2" l prom = 3 m, incluye accesorios en mampostería seca</t>
  </si>
  <si>
    <t>Punto sanitario PVC de 3" l prom = 3 m, incluye accesorios en mampostería de ladrillo o similar</t>
  </si>
  <si>
    <t>Punto sanitario PVC de 3" l prom = 3 m, incluye accesorios en mampostería seca</t>
  </si>
  <si>
    <t>Punto sanitario PVC de 4" l prom = 3 m, incluye accesorios en mampostería de ladrillo o similar</t>
  </si>
  <si>
    <t>Punto sanitario PVC de 4" l prom = 3 m, incluye accesorios en mampostería seca</t>
  </si>
  <si>
    <t>1-12-94</t>
  </si>
  <si>
    <t>1-12-109</t>
  </si>
  <si>
    <t>1-12-110</t>
  </si>
  <si>
    <t>1-12-111</t>
  </si>
  <si>
    <t>1-12-112</t>
  </si>
  <si>
    <t>1-13-113</t>
  </si>
  <si>
    <t>1-12-114</t>
  </si>
  <si>
    <t>1-12-115</t>
  </si>
  <si>
    <t>1-12-116</t>
  </si>
  <si>
    <t>1-12-117</t>
  </si>
  <si>
    <t>1-12-118</t>
  </si>
  <si>
    <t>1-12-119</t>
  </si>
  <si>
    <t>1-12-120</t>
  </si>
  <si>
    <t>1-12-121</t>
  </si>
  <si>
    <t>1-12-122</t>
  </si>
  <si>
    <t>1-12-123</t>
  </si>
  <si>
    <t>1-12-124</t>
  </si>
  <si>
    <t>1-12-130</t>
  </si>
  <si>
    <t>1-12-131</t>
  </si>
  <si>
    <t>1-12-132</t>
  </si>
  <si>
    <t>Equipos Contra Incendios</t>
  </si>
  <si>
    <t>Instalaciones Hidráulicas</t>
  </si>
  <si>
    <t>Pisos y Acabados Combinados y Especiales</t>
  </si>
  <si>
    <t>Guarda Escoba</t>
  </si>
  <si>
    <t>Pisos en Concreto</t>
  </si>
  <si>
    <t>Pisos en Madera</t>
  </si>
  <si>
    <t>Pisos Vinílicos</t>
  </si>
  <si>
    <t>Pisos en Granito y Gravilla</t>
  </si>
  <si>
    <t>Pisos en Pizarra</t>
  </si>
  <si>
    <t>Pisos en Cerámica</t>
  </si>
  <si>
    <t>Pisos en Baldosa</t>
  </si>
  <si>
    <t>Pisos en Gres</t>
  </si>
  <si>
    <t>Sistema séptico Integrado horizontal 4000 Litros Subterráneo</t>
  </si>
  <si>
    <t>1-07-19</t>
  </si>
  <si>
    <t>1-07-20</t>
  </si>
  <si>
    <t>1-07-21</t>
  </si>
  <si>
    <t>1-07-22</t>
  </si>
  <si>
    <t>1-07-23</t>
  </si>
  <si>
    <t>1-07-24</t>
  </si>
  <si>
    <t>1-05  MAMPOSTERÍA Y REVOQUES</t>
  </si>
  <si>
    <t>Media caña PVC de 60 mm blanco para paredes, cielo raso o pisos terminados</t>
  </si>
  <si>
    <t>Media caña PVC de 90 mm blanco para pared liviana</t>
  </si>
  <si>
    <t>Accesorio estrella PVC media caña 60 mm blanco</t>
  </si>
  <si>
    <t>Accesorio tapa PVC media caña 90 mm blanco</t>
  </si>
  <si>
    <t>Accesorio estrella PVC media caña 90 mm blanco</t>
  </si>
  <si>
    <t xml:space="preserve">Accesorio tapa PVC media caña 60 mm blanco </t>
  </si>
  <si>
    <t>Accesorio esquina interna PVC media caña 90 mm blanco</t>
  </si>
  <si>
    <t xml:space="preserve">Accesorio esquina interna PVC media caña 60 mm blanco </t>
  </si>
  <si>
    <t>Accesorio esquina externa PVC media caña 60 mm blanco</t>
  </si>
  <si>
    <t>Media caña PVC de 60 mm blanco para paredes, cielo raso y pisos terminados, incluye accesorios</t>
  </si>
  <si>
    <t>1-05-32</t>
  </si>
  <si>
    <t>Soldadura Color PVC de Pavco o similar</t>
  </si>
  <si>
    <t>1-05-33</t>
  </si>
  <si>
    <t>Media caña PVC de 90 mm blanco para paredes secas, incluye accesorios</t>
  </si>
  <si>
    <r>
      <t xml:space="preserve">Lavamanos corrido en concreto de 20,7 Mpa (3000 PSI), incluye refuerzo, mampostería y enchape, longitud de desarrollo </t>
    </r>
    <r>
      <rPr>
        <b/>
        <sz val="11"/>
        <rFont val="Calibri"/>
        <family val="2"/>
      </rPr>
      <t>±</t>
    </r>
    <r>
      <rPr>
        <b/>
        <sz val="11"/>
        <rFont val="Arial"/>
        <family val="2"/>
      </rPr>
      <t xml:space="preserve"> 0,65 m</t>
    </r>
  </si>
  <si>
    <t>Muro en ladrillo tolete pandereta y mortero impermeabilizado</t>
  </si>
  <si>
    <t>1-05-34</t>
  </si>
  <si>
    <t>Dilatación de bronce</t>
  </si>
  <si>
    <r>
      <t xml:space="preserve">Mesón en concreto de 20,7 Mpa (3000 PSI), a </t>
    </r>
    <r>
      <rPr>
        <b/>
        <sz val="11"/>
        <rFont val="Calibri"/>
        <family val="2"/>
      </rPr>
      <t>±</t>
    </r>
    <r>
      <rPr>
        <b/>
        <sz val="11"/>
        <rFont val="Arial"/>
        <family val="2"/>
      </rPr>
      <t xml:space="preserve"> 0,60 m, h ± 0,90 m, incluye mampostería en pandereta, enchape en cerámica de muros con wing de AL, incluye salpicadero de ± 0,20 m y canto en cascada o similar</t>
    </r>
  </si>
  <si>
    <r>
      <t xml:space="preserve">Poceta corrida de aseo en concreto impermeabilizado de 20,7 Mpa (3000 PSI), incluye refuerzo, granito pulido, longitud de desarrollo </t>
    </r>
    <r>
      <rPr>
        <b/>
        <sz val="11"/>
        <rFont val="Calibri"/>
        <family val="2"/>
      </rPr>
      <t>±</t>
    </r>
    <r>
      <rPr>
        <b/>
        <sz val="11"/>
        <rFont val="Arial"/>
        <family val="2"/>
      </rPr>
      <t xml:space="preserve"> 1 m y dilataciones de PVC</t>
    </r>
  </si>
  <si>
    <r>
      <t>Sardinel en concreto de 20,7 Mpa 0,03 m</t>
    </r>
    <r>
      <rPr>
        <vertAlign val="superscript"/>
        <sz val="10"/>
        <rFont val="Arial"/>
        <family val="2"/>
      </rPr>
      <t>3</t>
    </r>
    <r>
      <rPr>
        <sz val="10"/>
        <rFont val="Arial"/>
        <family val="2"/>
      </rPr>
      <t>/ml, incluye refuerzo</t>
    </r>
  </si>
  <si>
    <t>Muro en ladrillo prensado visto en soga dos caras</t>
  </si>
  <si>
    <t>Cuadrilla A 1 Of + 1 Ay (jornal + prestaciones)</t>
  </si>
  <si>
    <t>Tapón tubería galvanizada para cerramiento de 2"</t>
  </si>
  <si>
    <t>Estructura metálica (perlines, platinas y pernos), incluye anticorrosivo y pintura, para la estructura de la cubierta, trabajos en alturas, andamio certificado</t>
  </si>
  <si>
    <t>Cerramiento en poste de concreto, malla eslabonada, muro en bloque, alambre de púas, incluye excavación, machones de concreto de 20,7 Mpa (3000 PSI) y zarpas en concreto ciclópeo</t>
  </si>
  <si>
    <t>Cerramiento en tubería galvanizada h = 3 m, muro a la vista, malla eslabonada, alambre de púas, incluye excavación, machones en concreto de 20,7 Mpa (3000 PSI), zarpas en concreto ciclópeo, alfajía reforzada y pintura transparente protectora</t>
  </si>
  <si>
    <t>Cerramiento en tubería galvanizada h = 6 m, muro a la vista, malla eslabonada con ángulos,  incluye excavación, machones en concreto de 20,7 Mpa (3000 PSI), columnetas reforzadas, zarpas en concreto ciclópeo, alfajía reforzada remate muro y pintura transparente protectora</t>
  </si>
  <si>
    <t>Cerramiento en tubería galvanizada, malla eslabonada, zócalo en sardinel de concreto reforzado de 20,7 Mpa (3000 PSI), alambre de púas</t>
  </si>
  <si>
    <t>Cerramiento en poste de concreto y alambre de púas, incluye excavación y machones en concreto de 20,7 Mpa (3000 psi), 5 hilos</t>
  </si>
  <si>
    <t>Cerramiento en tubería galvanizada de 2" C 13 con brazo cada 2 m, h malla 2,5 m, incluye diagonales, excavación, concreto de 20,7 Mpa reforzado para micropilotes, vigas de cimentación, columnetas, alfajías, pisa malla, muro en bloque h = 0,60 m, alambre de púas, tapones, pintura anticorrosiva y de acabado</t>
  </si>
  <si>
    <t>Tubo cerramiento galvanizado 2" x 1.5 mm Z180 o similar</t>
  </si>
  <si>
    <t>Tubo cerramiento galvanizado 2" x 1.5 mm Z180 o similar, incluye diagonales</t>
  </si>
  <si>
    <t>1 - 13 ESTRUCTURAS COMBINADAS</t>
  </si>
  <si>
    <t>1 - 14 MANEJO AMBIENTAL Y REFORESTACIÓN</t>
  </si>
  <si>
    <t>1-04-61</t>
  </si>
  <si>
    <t>1-04-62</t>
  </si>
  <si>
    <t>1-04-64</t>
  </si>
  <si>
    <t>1-04-55</t>
  </si>
  <si>
    <t>Transporte material a hombro</t>
  </si>
  <si>
    <t>Estructura metálica (poste), incluye anticorrosivo y pintura</t>
  </si>
  <si>
    <t>Alquiler andamio certificado tubular certificado, incluye manipulación y teleras</t>
  </si>
  <si>
    <t>Ver en hoja de vías</t>
  </si>
  <si>
    <r>
      <t>Columna en concreto de 20,7 Mpa (3000 PSI) sección entre 1601 cm</t>
    </r>
    <r>
      <rPr>
        <b/>
        <vertAlign val="superscript"/>
        <sz val="11"/>
        <rFont val="Arial"/>
        <family val="2"/>
      </rPr>
      <t>2</t>
    </r>
    <r>
      <rPr>
        <b/>
        <sz val="11"/>
        <rFont val="Arial"/>
        <family val="2"/>
      </rPr>
      <t xml:space="preserve"> y 2500 cm</t>
    </r>
    <r>
      <rPr>
        <b/>
        <vertAlign val="superscript"/>
        <sz val="11"/>
        <rFont val="Arial"/>
        <family val="2"/>
      </rPr>
      <t>2</t>
    </r>
  </si>
  <si>
    <t>Demolición manual de sardinel</t>
  </si>
  <si>
    <t>Demolición con compresor de sardinel</t>
  </si>
  <si>
    <t>Descapote y limpieza con máquina incluye retiro</t>
  </si>
  <si>
    <t>Excavación mecánica en material común</t>
  </si>
  <si>
    <t>Lleno manual compactado con afirmado</t>
  </si>
  <si>
    <t>Lleno compactado manual con material del sitio</t>
  </si>
  <si>
    <t>1-02-36</t>
  </si>
  <si>
    <t>Desmonte aparatos sanitarios, sin recuperación de ellos</t>
  </si>
  <si>
    <t>Concreto de 27,6 Mpa (4000 PSI) (Producción)</t>
  </si>
  <si>
    <t>Muro de contención en concreto 27,6 Mpa (4000 PSI), no incluye refuerzo</t>
  </si>
  <si>
    <t>Viga de amarre en concreto de 20,7 Mpa (3000 PSI) de 0,15 x 0,20 m, incluye refuerzo</t>
  </si>
  <si>
    <t>Viga cinta en concreto de 20,7 Mpa (3000 PSI) de 0,15 x 0,10 m, incluye refuerzo</t>
  </si>
  <si>
    <r>
      <t>Viga canal en concreto impermeabilizado de 20,7 Mpa (3000 PSI) sección &lt; 2.001 cm</t>
    </r>
    <r>
      <rPr>
        <b/>
        <vertAlign val="superscript"/>
        <sz val="11"/>
        <rFont val="Arial"/>
        <family val="2"/>
      </rPr>
      <t>2</t>
    </r>
    <r>
      <rPr>
        <b/>
        <sz val="11"/>
        <rFont val="Arial"/>
        <family val="2"/>
      </rPr>
      <t>, no incluye refuerzo</t>
    </r>
  </si>
  <si>
    <t>Dintel en concreto de 20,7 Mpa (3000 PSI) de 0,12 x 0,15 m, incluye refuerzo</t>
  </si>
  <si>
    <t>Alfajía en concreto de 20,7 Mpa (3000 PSI) para remate de muro, incluye refuerzo y corta gotera</t>
  </si>
  <si>
    <t>Alfajía en concreto de 20,7 Mpa (3000 PSI) para remate de ventana, incluye refuerzo y corta gotera</t>
  </si>
  <si>
    <t>Solado en concreto de 10,3 Mpa (1500 PSI)</t>
  </si>
  <si>
    <t>Cuerpo para cámara de inspección d = 1,20 m, en concreto de 20,7 Mpa (3000 PSI), no incluye refuerzo</t>
  </si>
  <si>
    <t>Cono para cámara de inspección d = 1,20 m, en concreto de 20,7 Mpa (3000 PSI), incluye refuerzo</t>
  </si>
  <si>
    <r>
      <t xml:space="preserve">Tapa en polietileno de </t>
    </r>
    <r>
      <rPr>
        <b/>
        <sz val="11"/>
        <rFont val="Calibri"/>
        <family val="2"/>
      </rPr>
      <t>±</t>
    </r>
    <r>
      <rPr>
        <b/>
        <sz val="11"/>
        <rFont val="Arial"/>
        <family val="2"/>
      </rPr>
      <t xml:space="preserve"> 26,4 kg con cuello en concreto de 20,7 Mpa (3000 PSI) d = 0,70 m</t>
    </r>
  </si>
  <si>
    <t>Sumidero en concreto de 20,7 Mpa (3000 PSI), incluye reja con anticorrosivo</t>
  </si>
  <si>
    <t>Cañuela en concreto de 20,7 Mpa (3000 PSI) e = 0,10, h = 0,40, a = 0,30 m sin tapa</t>
  </si>
  <si>
    <t>Cuneta revestida en concreto 20,7 Mpa (3000 PSI), incluye excavación y afirmado, a = 1 m</t>
  </si>
  <si>
    <t>Cuneta en concreto reforzado 20,7 Mpa (3000 PSI), incluye excavación, afirmado y refuerzo, a = 0,72 m. Longitud de desarrollo = 1,0 m</t>
  </si>
  <si>
    <t>Zanja colectora en concreto de 20,7 Mpa (3000 PSI) a = 0,60 e = 0,10 h = 0,30 m</t>
  </si>
  <si>
    <t>Canal disipador en concreto de 20,7 Mpa (3000 PSI)</t>
  </si>
  <si>
    <t>Base para box culvert en concreto impermeabilizado de 20,7 Mpa (3000 PSI), no incluye refuerzo</t>
  </si>
  <si>
    <t>Lateral y tapa para box-culvert en concreto impermeabilizado de 20,7 Mpa (3000 PSI), no incluye refuerzo</t>
  </si>
  <si>
    <t>Cortina, estribos y/o aletas en concreto de 20,7 Mpa (3000 PSI)</t>
  </si>
  <si>
    <t>Zarpa para estribos y/o aletas en concreto de 20,7 Mpa (3000 PSI)</t>
  </si>
  <si>
    <t>Viga y riostra para puente en concreto de 20,7 Mpa (3000 PSI)</t>
  </si>
  <si>
    <t>Placa maciza para puente en concreto de 20,7 Mpa (3000 PSI) e = 0,30 m</t>
  </si>
  <si>
    <t>Recubrimiento de gaviones en concreto de 17,2 Mpa (2500 PSI) e = 0,10 m</t>
  </si>
  <si>
    <t>Cañuela labrada en suelo, recubierta en concreto 20,7 Mpa (3000 PSI), semicircular d interno = 0,20 m, a = 0,40 m, e = 0,05 m</t>
  </si>
  <si>
    <t>Empotramiento de tubería de alcantarillado de 0,5 x 0,5 x 0,3 m en concreto de 17,2 Mpa (2500 PSI)</t>
  </si>
  <si>
    <t>Suministro e instalación de flexocreto con bomba en concreto fluido de 13,8 Mpa (2000 PSI)</t>
  </si>
  <si>
    <t>Suministro e instalación de flexocreto manual, en concreto fluido de 13,8 Mpa (2000 PSI)</t>
  </si>
  <si>
    <t>Caisson d = 1 m, incluye excavación manual, concreto de 20,7 Mpa (3000 PSI) y refuerzo</t>
  </si>
  <si>
    <t>Micro pilote d = 0,4 m, incluye excavación mecánica, acero y concreto de 20,7 Mpa (3000 PSI)</t>
  </si>
  <si>
    <t>01-03-22</t>
  </si>
  <si>
    <t>Camión doble troque</t>
  </si>
  <si>
    <t>Guadua sobre basa longitud promedio = 5 m</t>
  </si>
  <si>
    <t>Cinta mástil para muros en panel yeso</t>
  </si>
  <si>
    <t>Piso vinílico antideslizante, tráfico alto e = 4 mm de aproximadamente 18 x 122 cm</t>
  </si>
  <si>
    <t>Pintura epóxica base solvente para pisos y paredes</t>
  </si>
  <si>
    <t>%%MO</t>
  </si>
  <si>
    <t>Grifería para lavamanos de pared tipo push</t>
  </si>
  <si>
    <t>Porta rollo en polímero a ≥ 27 cm, cromado, incluye vástago plástico, tipo Nilo</t>
  </si>
  <si>
    <t>Instalaciones Sanitarias</t>
  </si>
  <si>
    <t>Mesón en concreto de 20,7 Mpa (3000 PSI), a ± 0,60 m, h ± 0,90 m, incluye granito pulido, mampostería en pandereta, refuerzo y enchape en cerámica de muro con wing de AL, granito pulido para superficie, salpicadero de ± 0,20 y canto en cascada o similar, dilataciones de bronce</t>
  </si>
  <si>
    <t>Concertina galvanizada d = 18" mínimo 31 espirales por rollo C 24</t>
  </si>
  <si>
    <t>Chaleco fluorescente con cinta reflectiva para obras</t>
  </si>
  <si>
    <t>Andamio tubular certificado incluye arnés y línea de vida</t>
  </si>
  <si>
    <t>Base granular, no incluye transporte</t>
  </si>
  <si>
    <t>Sub-base granular, no incluye transporte</t>
  </si>
  <si>
    <t>Sub-base para conformación de vía,  no incluye transporte</t>
  </si>
  <si>
    <t>Afirmado compactado mecánico no incluye transporte</t>
  </si>
  <si>
    <t>Afirmado compactado para mantenimiento vial,  no incluye transporte</t>
  </si>
  <si>
    <t>Pavimento en concreto asfáltico, no incluye transporte</t>
  </si>
  <si>
    <t>Mezcla abierta en caliente, no incluye transporte</t>
  </si>
  <si>
    <t>Suministro e instalación de bolsacreto 1101 o similar, en concreto fluido de 13,8 Mpa (2000 PSI)</t>
  </si>
  <si>
    <t>Suministro e instalación de bolsacreto 1401 o similar, en concreto fluido de 13,8 Mpa (2000 PSI)</t>
  </si>
  <si>
    <t>Se ha dejado este ítem aquí, para que el evaluador no olvide incluirlo en el respectivo presupuesto. Se anota además que todo puente requiere no solo de almohadillas de apoyo, sino almohadillas laterales, así sea un pontón. Son almohadillas o pads en neopreno utilizadas para absorber las deformaciones y/o desplazamientos que presentan las estructuras, causadas por las cargas de los vehículos, los sismos o por cambios de temperatura. Estas almohadillas son situadas en medio de una estructura que soporta la carga (estribo / pilar) y una viga. Dada la diversidad de la función que cumplen, como amortiguadores de irregularidades de las superficies, contracción y dilatación térmica de las vigas, peso e inercia del paso de vehículos, esfuerzos ocasionales por colisiones, acciones del viento y el agua, desplazamientos durante sismos, etc. el tamaño, forma, configuración, anclajes, combinaciones, dependen de lo requerido y esperado en cada caso, por tanto el precio de las almohadillas es muy variable, al igual que el de las juntas por su conformación, siendo inadecuado calcular un unitario que solo servirá para un caso específico. No así la colocación ángulo para puente de 2" x 3/16", que por lo menos los llevará el puente en sus extremos contra los estribos, cuando no sea factible la construcción de juntas, cosa que se aplica en un pontón</t>
  </si>
  <si>
    <t>Programa salud ocupacional obras de licitación pública</t>
  </si>
  <si>
    <t>Placa de contrapiso en concreto de 20,7 Mpa e = 0,07 m</t>
  </si>
  <si>
    <t>Placa de contrapiso en concreto de 17,2 Mpa e = 0,07 m</t>
  </si>
  <si>
    <t>Escalera en concreto de 20,7 Mpa (3000 PSI) sobre terreno e = 0,12 m, incluye malla</t>
  </si>
  <si>
    <t>Escalera en concreto 20,7 Mpa (3000 PSI) aéreas e = 0,15 m, incluye malla, no incluye refuerzo</t>
  </si>
  <si>
    <t>Tapa en concreto de 20,7 Mpa (3000 PSI) para cañuela l = 1.00 a = 0.60 e = 0.06 m, incluye refuerzo</t>
  </si>
  <si>
    <t>Tapa en concreto de 20,7 Mpa (3000 PSI) para cañuela l = 0,80 a = 0,35 e = 0.05 m, orificios rectangulares de 0.04 x 0.25 m, incluye refuerzo</t>
  </si>
  <si>
    <t>Porta marcadores de concreto de 20,7 Mpa, incluye refuerzo</t>
  </si>
  <si>
    <t>Muro no estructural en bloque de cemento de 0,14 x 0,19 x 0,39 m</t>
  </si>
  <si>
    <t>Muro en placa de fibrocemento e = 8 mm o similar 2 caras, incluye pintura</t>
  </si>
  <si>
    <t>Muro en placa de fibrocemento e = 8 mm o similar 1 cara, incluye pintura</t>
  </si>
  <si>
    <r>
      <t xml:space="preserve">Línea para invidentes en loseta de concreto de 4,5 Mpa de </t>
    </r>
    <r>
      <rPr>
        <b/>
        <sz val="11"/>
        <rFont val="Calibri"/>
        <family val="2"/>
      </rPr>
      <t>±</t>
    </r>
    <r>
      <rPr>
        <b/>
        <sz val="11"/>
        <rFont val="Arial"/>
        <family val="2"/>
      </rPr>
      <t xml:space="preserve"> 40 x 40 x 6 cm, incluye cemento en seco</t>
    </r>
  </si>
  <si>
    <t>Piso en tablón rojo de 20 x 20 cm, incluye fijador de cerámica</t>
  </si>
  <si>
    <t>Piso en tableta de 15 x 15 cm, tipo Túnez sahara o roja,  incluye fijador de cerámica</t>
  </si>
  <si>
    <t>Piso en grano de mármol vibroprensado de 30 x 30 cm, grano # 1. Incluye, boquilla blanca, destronque (# 36), 3 pulidas (# 60, 120, 220) y brillo al plomo. Color blanco Huila fondo blanco, incluye fijador de cerámica</t>
  </si>
  <si>
    <t>Piso Antique 30,5 x 30,5 cm o similar, color blanco o beige, incluye fijador de cerámica</t>
  </si>
  <si>
    <r>
      <t xml:space="preserve">Piso Cemento Habitat Zen de </t>
    </r>
    <r>
      <rPr>
        <b/>
        <sz val="11"/>
        <rFont val="Calibri"/>
        <family val="2"/>
      </rPr>
      <t>±</t>
    </r>
    <r>
      <rPr>
        <b/>
        <sz val="11"/>
        <rFont val="Arial"/>
        <family val="2"/>
      </rPr>
      <t xml:space="preserve"> 46 x 46 cm gris o similar, tráfico medio, incluye fijador de cerámica</t>
    </r>
  </si>
  <si>
    <r>
      <t xml:space="preserve">Piso Duropiso </t>
    </r>
    <r>
      <rPr>
        <b/>
        <sz val="11"/>
        <rFont val="Calibri"/>
        <family val="2"/>
      </rPr>
      <t>±</t>
    </r>
    <r>
      <rPr>
        <b/>
        <sz val="11"/>
        <rFont val="Arial"/>
        <family val="2"/>
      </rPr>
      <t xml:space="preserve"> de 33,8 x 33,8 cm, incluye fijador de cerámica</t>
    </r>
  </si>
  <si>
    <t>Piso Mangle de 40 x 40 cm, o similar, incluye fijador de cerámica</t>
  </si>
  <si>
    <t>Piso Porcelanato de 60 x 60 cm, o similar, súper blanco brillante, tránsito mediano, incluye fijador de cerámica</t>
  </si>
  <si>
    <r>
      <t xml:space="preserve">Piso Porto Muicolor </t>
    </r>
    <r>
      <rPr>
        <b/>
        <sz val="11"/>
        <rFont val="Calibri"/>
        <family val="2"/>
      </rPr>
      <t>±</t>
    </r>
    <r>
      <rPr>
        <b/>
        <sz val="11"/>
        <rFont val="Arial"/>
        <family val="2"/>
      </rPr>
      <t xml:space="preserve"> de 45,8 x 45,8 cm o similar, tráfico semi-comercial, incluye fijador de cerámica</t>
    </r>
  </si>
  <si>
    <t>Piso Terranova de 50 x 50 cm o similar, tráfico 4, incluye fijador de cerámica</t>
  </si>
  <si>
    <t>Piso en gravilla lavada, incluye dilatación flexible, no incluye mortero</t>
  </si>
  <si>
    <t>Piso en gravilla lavada y tableta tipo Túnez, incluye dilatación flexible y mortero</t>
  </si>
  <si>
    <r>
      <t xml:space="preserve">Tablero melamínico de </t>
    </r>
    <r>
      <rPr>
        <b/>
        <sz val="11"/>
        <rFont val="Calibri"/>
        <family val="2"/>
      </rPr>
      <t>±</t>
    </r>
    <r>
      <rPr>
        <b/>
        <sz val="11"/>
        <rFont val="Arial"/>
        <family val="2"/>
      </rPr>
      <t xml:space="preserve"> 2,40 x 1,20 m base en MDF de ± 15 mm, para marcador seco, incluye  porta marcadores en madera, instalado</t>
    </r>
  </si>
  <si>
    <t xml:space="preserve">Cubierta en acero inoxidable para mesón cocineta, incluye poceta completa a = 0.60 m </t>
  </si>
  <si>
    <t>Enchape en cerámica de 20 x 20 cm, tipo Ecocerámica, incluye filos plásticos y fijador de cerámica</t>
  </si>
  <si>
    <t>Lavadero prefabricado en fibra de vidrio, incluye mampostería, enchape y conjunto desagüe flexible</t>
  </si>
  <si>
    <t>Lavadero prefabricado en granito pulido, incluye  mampostería, enchape y conjunto desagüe flexible</t>
  </si>
  <si>
    <t>Enchape en cerámica de 20 x 20 cm tipo Ecocerámica, incluye filos plásticos y fijador de cerámica</t>
  </si>
  <si>
    <t>Enchape en cerámica de 20 x 20 cm tipo Ecocerámica, incluye filos de aluminio y fijador de cerámica</t>
  </si>
  <si>
    <t>Enchape en cerámica de 20,5 x 20,5 cm tipo Egeo, incluye filos plásticos y fijador de cerámica</t>
  </si>
  <si>
    <t>Enchape en cerámica de 20,5 x 20,5 cm tipo Egeo, incluye filos de aluminio y fijador de cerámica</t>
  </si>
  <si>
    <t>Enchape en cerámica de 20,5 x 20,5 cm tipo Adriático Agua Marina, incluye filos de aluminio y fijador de cerámica</t>
  </si>
  <si>
    <t>1-13-02</t>
  </si>
  <si>
    <t>Alquiler de campero o camioneta modelo &gt; 2016 de 2.600 o más C. C., con conductor</t>
  </si>
  <si>
    <t>Tablero monofásico 4 circuitos con barraje de 75 A, barrajes de neutro y tierra. Incluye una protección de 1 x 20 A 10 KA. Empotrado</t>
  </si>
  <si>
    <t>Salida toma 20 A, polo a tierra  EMT ø 3/4", longitud promedio 6 m</t>
  </si>
  <si>
    <t>Salida toma doble polo a tierra cable Cu # 12 THHN AWG, tubería conduit EMT 3/4" longitud promedio 4 m</t>
  </si>
  <si>
    <t>Salida lámpara hermética 2 x 32 W, cable Cu # 12 THHN AWG, tubería PVC 1/2" longitud promedio 6 m. Incluye toma doble polo a tierra, clavija y cable encauchetado 3 x 12 AWG y lámpara</t>
  </si>
  <si>
    <t>Demolición de pavimento rígido (no incluye Derechos de Disposición Final)</t>
  </si>
  <si>
    <t>Salida lámpara Panel Led sobreponer 60 x 60 48 W, Cable Cu aislado # 12 HFFR LS, tubería PVC 1/2" longitud promedio 6 m. Incluye toma doble polo a tierra, clavija y cable encauchetado 3 x 12 AWG</t>
  </si>
  <si>
    <t>Salida lámpara hermética 2 x 32 W, cable Cu # 12 THHN AWG, tubería EMT 1/2" longitud promedio 2 m. Incluye toma doble polo a tierra, clavija y cable encauchetado 3 x 12 AWG y lámpara</t>
  </si>
  <si>
    <t>Adaptador terminal conduit EMT 1/2"</t>
  </si>
  <si>
    <t>Curva conduit EMT 1/2"</t>
  </si>
  <si>
    <t>Orinal tipo Petite Blanco en caja con grifería</t>
  </si>
  <si>
    <t>Orinal tipo Petite blanco en caja con grifería</t>
  </si>
  <si>
    <t>Orinal tipo Petite blanco en caja</t>
  </si>
  <si>
    <t>Fluxómetro para orinal de palanca plateado</t>
  </si>
  <si>
    <t>Grifería orinal a pared tipo push antivandálica, entrada de ½"</t>
  </si>
  <si>
    <t>Espejo de 4 mm biselado incluye accesorios de instalación</t>
  </si>
  <si>
    <t>Espejo de 4 mm biselado</t>
  </si>
  <si>
    <t>Geodrén circular 4" h = 2 m</t>
  </si>
  <si>
    <t>Geodrén romadrain l = 1 m</t>
  </si>
  <si>
    <t>Mulch orgánico</t>
  </si>
  <si>
    <t>Semilla para empradizar</t>
  </si>
  <si>
    <t>Varillón común 3 x 0.04 x 0.02 m</t>
  </si>
  <si>
    <t>Máquina hidro sembradora 1000 - 4000 litros</t>
  </si>
  <si>
    <t>1-14-16</t>
  </si>
  <si>
    <t>Cuadrilla S (1 Sold.+1 Ay práctico) (jornal + prestaciones)</t>
  </si>
  <si>
    <t>Cuadrilla GE 1 Of E + 2 A y E (jornal + prestaciones)</t>
  </si>
  <si>
    <t>Cuadrilla J (1 Of eléctrico + 1 Ay eléctrico) (jornal + prestaciones)</t>
  </si>
  <si>
    <t>Cuadrilla K (1 Of eléctrico + 2 Ay eléctricos) (jornal + prestaciones)</t>
  </si>
  <si>
    <t>Accesorios para rack (bandeja)</t>
  </si>
  <si>
    <t>Acelerante para concreto tipo Sikaset</t>
  </si>
  <si>
    <t>Adhesivo epóxico para pegar concreto fresco con endurecido de curado lento (tipo Sikadur v32 Primer)</t>
  </si>
  <si>
    <t>Par de botas lisa dieléctrico con puntera en acero de caucho, cinta amarilla, puntera y plantilla de acero</t>
  </si>
  <si>
    <t>Aro tapa para pozo o sumidero fabricada en polietileno de alta densidad. Medidas aro: diámetro 93 cm, alto 20 cm, peso aprox. 26.4 kg. Medidas tapa: diámetro 70 cm, alto 20 cm, peso aprox 33 kg. Resistencia por prueba de laboratorio de ruptura y flexión: 18 toneladas por decímetro cuadrado</t>
  </si>
  <si>
    <t>1-02-37</t>
  </si>
  <si>
    <t>Orinal tipo Petite Blanco en caja con fluxómetro</t>
  </si>
  <si>
    <t>1-11-47</t>
  </si>
  <si>
    <t>2-08-08</t>
  </si>
  <si>
    <t>03.18.41</t>
  </si>
  <si>
    <t>MATERIALLES</t>
  </si>
  <si>
    <t>M . O.</t>
  </si>
  <si>
    <t>M. O-</t>
  </si>
  <si>
    <t>Accesorios para canal PVC promedio de: U, U bajante, soporte, 2 tapas externas</t>
  </si>
  <si>
    <r>
      <t>M</t>
    </r>
    <r>
      <rPr>
        <vertAlign val="superscript"/>
        <sz val="10"/>
        <rFont val="Arial"/>
        <family val="2"/>
      </rPr>
      <t>2</t>
    </r>
    <r>
      <rPr>
        <sz val="10"/>
        <rFont val="Arial"/>
        <family val="2"/>
      </rPr>
      <t>-Mes</t>
    </r>
  </si>
  <si>
    <r>
      <t>M</t>
    </r>
    <r>
      <rPr>
        <b/>
        <vertAlign val="superscript"/>
        <sz val="11"/>
        <rFont val="Arial"/>
        <family val="2"/>
      </rPr>
      <t>2</t>
    </r>
    <r>
      <rPr>
        <b/>
        <sz val="11"/>
        <rFont val="Arial"/>
        <family val="2"/>
      </rPr>
      <t>-Mes</t>
    </r>
  </si>
  <si>
    <t>Tubería de concreto vibrada de 10" unión caucho C 2 (250 mm)</t>
  </si>
  <si>
    <t>Tubería de concreto vibrada de 12" unión caucho C 2 (300 mm)</t>
  </si>
  <si>
    <t>Tubería de concreto vibrada de 15" unión caucho C 2 (375 mm)</t>
  </si>
  <si>
    <t>Tubería de concreto vibrada de 16" unión caucho C 2 (400 mm)</t>
  </si>
  <si>
    <t>Tubería de concreto vibrada de 21" unión caucho C 2 (525 mm)</t>
  </si>
  <si>
    <t>Tubería de concreto vibrada de 24" unión caucho C 2 (600 mm)</t>
  </si>
  <si>
    <t>Tubería de concreto vibrada reforzada de 30" unión caucho C 2 (750 mm)</t>
  </si>
  <si>
    <t>Tubería de concreto vibrada reforzada de 36" unión caucho C 2 (900 mm)</t>
  </si>
  <si>
    <t>Tubería de concreto vibrada reforzada de 40" unión caucho C 2 (1000 mm)</t>
  </si>
  <si>
    <t>Tubería de concreto vibrada reforzada de 48" unión caucho C 2 (1200 mm)</t>
  </si>
  <si>
    <t>Tubería de concreto vibrada reforzada de 52" unión caucho C 2 (1300 mm)</t>
  </si>
  <si>
    <t>Tubería de concreto vibrada reforzada de 60" unión caucho C 2 (1500 mm)</t>
  </si>
  <si>
    <r>
      <t xml:space="preserve">Bordillo prefabricado A80 </t>
    </r>
    <r>
      <rPr>
        <sz val="10"/>
        <rFont val="Calibri"/>
        <family val="2"/>
      </rPr>
      <t>±</t>
    </r>
    <r>
      <rPr>
        <sz val="10"/>
        <rFont val="Arial"/>
        <family val="2"/>
      </rPr>
      <t xml:space="preserve"> (800 x 200 x 350 mm)</t>
    </r>
  </si>
  <si>
    <r>
      <t xml:space="preserve">Calados de </t>
    </r>
    <r>
      <rPr>
        <sz val="10"/>
        <rFont val="Calibri"/>
        <family val="2"/>
      </rPr>
      <t>±</t>
    </r>
    <r>
      <rPr>
        <sz val="10"/>
        <rFont val="Arial"/>
        <family val="2"/>
      </rPr>
      <t xml:space="preserve"> 19 x 19 x 10 cm en gres</t>
    </r>
  </si>
  <si>
    <r>
      <t xml:space="preserve">Calados en concreto </t>
    </r>
    <r>
      <rPr>
        <sz val="10"/>
        <rFont val="Calibri"/>
        <family val="2"/>
      </rPr>
      <t>±</t>
    </r>
    <r>
      <rPr>
        <sz val="10"/>
        <rFont val="Arial"/>
        <family val="2"/>
      </rPr>
      <t xml:space="preserve"> 20 x 20 x 10 (25 un/m</t>
    </r>
    <r>
      <rPr>
        <vertAlign val="superscript"/>
        <sz val="10"/>
        <rFont val="Arial"/>
        <family val="2"/>
      </rPr>
      <t>2</t>
    </r>
    <r>
      <rPr>
        <sz val="10"/>
        <rFont val="Arial"/>
        <family val="2"/>
      </rPr>
      <t>)</t>
    </r>
  </si>
  <si>
    <r>
      <t xml:space="preserve">Columpio de 2 puestos pórtico en tubo de </t>
    </r>
    <r>
      <rPr>
        <sz val="10"/>
        <rFont val="Calibri"/>
        <family val="2"/>
      </rPr>
      <t>±</t>
    </r>
    <r>
      <rPr>
        <sz val="10"/>
        <rFont val="Arial"/>
        <family val="2"/>
      </rPr>
      <t xml:space="preserve"> 1 ½" por 2.50 m, columpios en cadena y sillines en lona. Incluye anticorrosivo y pintura de esmalte. Altura = 1.8 m</t>
    </r>
  </si>
  <si>
    <r>
      <t xml:space="preserve">Columpio de 3 puestos pórtico en tubo de </t>
    </r>
    <r>
      <rPr>
        <sz val="10"/>
        <rFont val="Calibri"/>
        <family val="2"/>
      </rPr>
      <t>±</t>
    </r>
    <r>
      <rPr>
        <sz val="10"/>
        <rFont val="Arial"/>
        <family val="2"/>
      </rPr>
      <t xml:space="preserve"> 1 ½" por 2.50 m, columpios en cadena y sillines en lona, incluye anticorrosivo y pintura de esmalte para exteriores. Altura = 1.8 m</t>
    </r>
  </si>
  <si>
    <r>
      <t xml:space="preserve">Dispensador de papel higiénico en acero inoxidable 304 con sistema antivandálico y llave, satinado </t>
    </r>
    <r>
      <rPr>
        <sz val="10"/>
        <rFont val="Calibri"/>
        <family val="2"/>
      </rPr>
      <t>Ø</t>
    </r>
    <r>
      <rPr>
        <sz val="10"/>
        <rFont val="Arial"/>
        <family val="2"/>
      </rPr>
      <t xml:space="preserve"> </t>
    </r>
    <r>
      <rPr>
        <sz val="10"/>
        <rFont val="Calibri"/>
        <family val="2"/>
      </rPr>
      <t>≥</t>
    </r>
    <r>
      <rPr>
        <sz val="10"/>
        <rFont val="Arial"/>
        <family val="2"/>
      </rPr>
      <t xml:space="preserve"> 26,5 cm, fijado a pared</t>
    </r>
  </si>
  <si>
    <r>
      <t>Lámina en PVC, de 3,48 m</t>
    </r>
    <r>
      <rPr>
        <vertAlign val="superscript"/>
        <sz val="10"/>
        <rFont val="Arial"/>
        <family val="2"/>
        <scheme val="minor"/>
      </rPr>
      <t>2</t>
    </r>
    <r>
      <rPr>
        <sz val="10"/>
        <rFont val="Arial"/>
        <family val="2"/>
        <scheme val="minor"/>
      </rPr>
      <t>, blanca (2,9 m x 0,30 m y e = 7 cm)</t>
    </r>
  </si>
  <si>
    <r>
      <t>Malla eslabonada galvanizada calibre 13 ojo de 2 1/4” que cumpla con la norma 80 gramos de galvanizado/m</t>
    </r>
    <r>
      <rPr>
        <vertAlign val="superscript"/>
        <sz val="10"/>
        <rFont val="Arial"/>
        <family val="2"/>
      </rPr>
      <t>2</t>
    </r>
  </si>
  <si>
    <r>
      <t xml:space="preserve">Mueble inferior en fórmica para mesón cocineta h </t>
    </r>
    <r>
      <rPr>
        <sz val="10"/>
        <rFont val="Calibri"/>
        <family val="2"/>
      </rPr>
      <t>±</t>
    </r>
    <r>
      <rPr>
        <sz val="10"/>
        <rFont val="Arial"/>
        <family val="2"/>
        <scheme val="minor"/>
      </rPr>
      <t xml:space="preserve"> 0,90 m</t>
    </r>
  </si>
  <si>
    <r>
      <t xml:space="preserve">Pasador metálico de </t>
    </r>
    <r>
      <rPr>
        <sz val="10"/>
        <rFont val="Calibri"/>
        <family val="2"/>
      </rPr>
      <t>±</t>
    </r>
    <r>
      <rPr>
        <sz val="10"/>
        <rFont val="Arial"/>
        <family val="2"/>
      </rPr>
      <t xml:space="preserve"> 3"</t>
    </r>
  </si>
  <si>
    <r>
      <t xml:space="preserve">Poste en ángulo de </t>
    </r>
    <r>
      <rPr>
        <sz val="10"/>
        <rFont val="Calibri"/>
        <family val="2"/>
      </rPr>
      <t>±</t>
    </r>
    <r>
      <rPr>
        <sz val="10"/>
        <rFont val="Arial"/>
        <family val="2"/>
      </rPr>
      <t xml:space="preserve"> 2 x 2 x 1/8" de 3,5 m (completo)</t>
    </r>
  </si>
  <si>
    <r>
      <t xml:space="preserve">Tablero melamínico de </t>
    </r>
    <r>
      <rPr>
        <sz val="10"/>
        <rFont val="Calibri"/>
        <family val="2"/>
      </rPr>
      <t>±</t>
    </r>
    <r>
      <rPr>
        <sz val="10"/>
        <rFont val="Arial"/>
        <family val="2"/>
      </rPr>
      <t xml:space="preserve"> 2,40 x 1,80 m, base en MDF de ± 15 mm, para marcador seco, incluye ticero en madera, instalado</t>
    </r>
  </si>
  <si>
    <r>
      <t xml:space="preserve">Teja S de barro </t>
    </r>
    <r>
      <rPr>
        <sz val="10"/>
        <rFont val="Calibri"/>
        <family val="2"/>
      </rPr>
      <t>±</t>
    </r>
    <r>
      <rPr>
        <sz val="10"/>
        <rFont val="Arial"/>
        <family val="2"/>
      </rPr>
      <t xml:space="preserve"> l = 0,46 m a = 0,285 m</t>
    </r>
  </si>
  <si>
    <r>
      <t xml:space="preserve">Teja zinc ondulada </t>
    </r>
    <r>
      <rPr>
        <sz val="10"/>
        <rFont val="Calibri"/>
        <family val="2"/>
      </rPr>
      <t>±</t>
    </r>
    <r>
      <rPr>
        <sz val="10"/>
        <rFont val="Arial"/>
        <family val="2"/>
      </rPr>
      <t xml:space="preserve"> 2,13 x 0,80 m C 34</t>
    </r>
  </si>
  <si>
    <r>
      <t xml:space="preserve">Toallero de barra cromado a </t>
    </r>
    <r>
      <rPr>
        <sz val="10"/>
        <rFont val="Calibri"/>
        <family val="2"/>
      </rPr>
      <t>≥</t>
    </r>
    <r>
      <rPr>
        <sz val="10"/>
        <rFont val="Arial"/>
        <family val="2"/>
      </rPr>
      <t xml:space="preserve"> 47 cm, fácil click</t>
    </r>
  </si>
  <si>
    <t>Tubería de concreto vibrada de 18" unión caucho C 2 (450 mm)</t>
  </si>
  <si>
    <t>Tubería de concreto vibrada reforzada de 24" unión caucho C 2 (600 mm)</t>
  </si>
  <si>
    <t>MAT,819</t>
  </si>
  <si>
    <t>MAT,820</t>
  </si>
  <si>
    <t>MAT,821</t>
  </si>
  <si>
    <t>MAT,822</t>
  </si>
  <si>
    <t>MAT,823</t>
  </si>
  <si>
    <t>Juego de mallas para aros de baloncesto par</t>
  </si>
  <si>
    <t>Juego de mallas para portería de microfútbol calibre 5 par</t>
  </si>
  <si>
    <t>Juego malla para arcos de fútbol 11 calibre 5 par</t>
  </si>
  <si>
    <t>Loseta de concreto gris de 4,5 Mpa de 40 x 40 x 6 cm para línea de invidentes</t>
  </si>
  <si>
    <t>Loseta prefabricada gris A30 (Aprox. 400 x 400 x 60 mm)</t>
  </si>
  <si>
    <t>Lámina galvanizada C 22, incluye 4 dobleces por metro lineal</t>
  </si>
  <si>
    <t>1-09-32</t>
  </si>
  <si>
    <t>1-09-33</t>
  </si>
  <si>
    <t>1-09-34</t>
  </si>
  <si>
    <t>Suministro e instalación de malla para aros de baloncesto</t>
  </si>
  <si>
    <t>Suministro e instalación de malla para portería de fútbol</t>
  </si>
  <si>
    <t>Suministro e instalación de malla para portería de microfútbol</t>
  </si>
  <si>
    <r>
      <t>Sikagrout-212 o similar bulto x 30 Kg (relleno de nivelación con área &gt; 1.5 m</t>
    </r>
    <r>
      <rPr>
        <vertAlign val="superscript"/>
        <sz val="10"/>
        <rFont val="Arial"/>
        <family val="2"/>
      </rPr>
      <t>2</t>
    </r>
    <r>
      <rPr>
        <sz val="10"/>
        <rFont val="Arial"/>
        <family val="2"/>
      </rPr>
      <t xml:space="preserve"> y e entre 5 y 12 cm</t>
    </r>
  </si>
  <si>
    <t>Suministro y colocación de grouting de nivelación tipo Sikagrout-212, no incluye platinas o formaleta (2,12 Kg/Lt)</t>
  </si>
  <si>
    <t>Mezcla asfáltica MDC 19 con asfalto normalizado 60/70</t>
  </si>
  <si>
    <t>Material de base granular tipo Invías Clase A</t>
  </si>
  <si>
    <t>Emulsión asfáltica CRR 1 rotura rápida</t>
  </si>
  <si>
    <t>2-04-09</t>
  </si>
  <si>
    <t>Emulsión para pavimento asfáltico rotura lenta</t>
  </si>
  <si>
    <t>Emulsión para pavimento asfáltico rotura rápida</t>
  </si>
  <si>
    <t>Triturado 3/4" para concreto</t>
  </si>
  <si>
    <r>
      <t xml:space="preserve">Vigueta principal de </t>
    </r>
    <r>
      <rPr>
        <sz val="10"/>
        <rFont val="Calibri"/>
        <family val="2"/>
      </rPr>
      <t>±</t>
    </r>
    <r>
      <rPr>
        <sz val="10"/>
        <rFont val="Arial"/>
        <family val="2"/>
      </rPr>
      <t xml:space="preserve"> 2,4 m de aluminio</t>
    </r>
  </si>
  <si>
    <t>Salario Mínimo Mensual Legal Vigente año 2025</t>
  </si>
  <si>
    <t>VALOR UNITARIO 2025</t>
  </si>
  <si>
    <r>
      <t xml:space="preserve">Cuneta - Bordillo para placa huella, en concreto reforzado, tipo INVÍAS de 20,7 Mpa (3000 PSI), incluye refuerzo de 60,000 PSI, excavación, sub-base, a total = 0,70 m, e Prom. = 0,15 m, cortes y sellos de juntas cada 2,8 m y lleno en </t>
    </r>
    <r>
      <rPr>
        <b/>
        <u/>
        <sz val="11"/>
        <rFont val="Arial"/>
        <family val="2"/>
      </rPr>
      <t>Ʌ</t>
    </r>
    <r>
      <rPr>
        <b/>
        <sz val="11"/>
        <rFont val="Arial"/>
        <family val="2"/>
      </rPr>
      <t xml:space="preserve"> tras bordillo</t>
    </r>
  </si>
  <si>
    <t>Dia</t>
  </si>
  <si>
    <t>Huella en concreto de 20,7 Mpa (3000 PSI), para placa huella, de fraguado rápido, e = 0,15 m, a (c/u) = 0,90 m (tipo INVÍAS), espacio entre ellas 0,90 m, incluye refuerzo, corte y sello de juntas</t>
  </si>
  <si>
    <t>Breaker tripolar enchufable de 3 x 20 A</t>
  </si>
  <si>
    <r>
      <t>Valla de identificación de obra área menor a 4 m</t>
    </r>
    <r>
      <rPr>
        <b/>
        <vertAlign val="superscript"/>
        <sz val="11"/>
        <rFont val="Arial"/>
        <family val="2"/>
      </rPr>
      <t>2</t>
    </r>
    <r>
      <rPr>
        <b/>
        <sz val="11"/>
        <rFont val="Arial"/>
        <family val="2"/>
      </rPr>
      <t>, colocada en guaduas, incluye mantenimiento durante la construcción</t>
    </r>
  </si>
  <si>
    <t>2-01-22</t>
  </si>
  <si>
    <t>Demolición muro en soga, incluye revoque, enchape, papel de colgadura</t>
  </si>
  <si>
    <t>Demolición muro en pandereta, incluye revoque, enchape, papel de colgadura</t>
  </si>
  <si>
    <t>Desmonte techo de fibrocemento, incluye estructura metálica</t>
  </si>
  <si>
    <t>Desmonte de canaleta 43, 90 o súper canaleta</t>
  </si>
  <si>
    <t>Desmonte cielo falso, incluye estructura metálica</t>
  </si>
  <si>
    <t>Desmonte de puerta metálicas o de madera, incluye marco</t>
  </si>
  <si>
    <t>Desmonte de división metálica o de vidrio templado</t>
  </si>
  <si>
    <t>1-02-38</t>
  </si>
  <si>
    <t>Desmonte de división en acrílico y aluminio o madera</t>
  </si>
  <si>
    <t>Desmonte reja metálica adosada a pared</t>
  </si>
  <si>
    <t xml:space="preserve">Desmonte de piso en tablilla machihembrada existente </t>
  </si>
  <si>
    <t>Bulldozer, potencia al volante de 140 HP, motor de 2200 RPM, longitud de hoja 4,80 m</t>
  </si>
  <si>
    <t>División metálica en lámina doble C 20 h = 1,60 m, incluye anclajes, anticorrosivo y pintura ambos lados</t>
  </si>
  <si>
    <t>Sanitario tipo One Piece Solare blanco de Corona con fluxómetro</t>
  </si>
  <si>
    <t>Orinal tipo Institucional con fluxómetro, Arrecife</t>
  </si>
  <si>
    <t>Cubierta en acero inoxidable para mesón de cocineta, incluye poceta y grifería completa a = 0.60 m</t>
  </si>
  <si>
    <t>Mueble inferior en fórmica para mesón de cocineta h ± 0,90 m</t>
  </si>
  <si>
    <r>
      <t xml:space="preserve">Mesón en concreto de 20,7 Mpa (3000 PSI), a </t>
    </r>
    <r>
      <rPr>
        <b/>
        <sz val="11"/>
        <rFont val="Calibri"/>
        <family val="2"/>
      </rPr>
      <t>±</t>
    </r>
    <r>
      <rPr>
        <b/>
        <sz val="11"/>
        <rFont val="Arial"/>
        <family val="2"/>
      </rPr>
      <t xml:space="preserve"> 0,60 m, h ± 0,90 m, incluye mampostería en pandereta, enchape en cerámica de muros con wing de AL, mármol para salpicadero de ± 0,20 m y canto en cascada o similar</t>
    </r>
  </si>
  <si>
    <t>Cuadrilla S (1 Soldador+1Ay práctico) (jornal + prestaciones)</t>
  </si>
  <si>
    <t>Excavación manual en material común seco de 0 - 2 m</t>
  </si>
  <si>
    <t>Excavación manual en material común seco de 2 - 4 m</t>
  </si>
  <si>
    <t>Excavación manual en material común seco mayor a 4 m</t>
  </si>
  <si>
    <t>Excavación manual en material común bajo agua de 0 - 2 m</t>
  </si>
  <si>
    <t>Excavación manual en material común bajo agua de 2 - 4 m</t>
  </si>
  <si>
    <t>Excavación manual en material común bajo agua mayor a 4 m</t>
  </si>
  <si>
    <t>Excavación manual en conglomerado seco de 0 - 2 m</t>
  </si>
  <si>
    <t>Excavación manual en conglomerado seco de 2 - 4 m</t>
  </si>
  <si>
    <t>Excavación manual en conglomerado seco mayor a 4 m</t>
  </si>
  <si>
    <t>Excavación manual en conglomerado bajo agua de 0 - 2 m</t>
  </si>
  <si>
    <t>Excavación manual en conglomerado bajo agua de 2 - 4 m</t>
  </si>
  <si>
    <t>Excavación manual en conglomerado bajo agua mayor a 4 m</t>
  </si>
  <si>
    <t>Excavación manual para conformación de taludes en material común</t>
  </si>
  <si>
    <t>Excavación manual para conformación de taludes en conglomerado</t>
  </si>
  <si>
    <t>Excavación manual en material común abierto</t>
  </si>
  <si>
    <t>Excavación manual en conglomerado abierto</t>
  </si>
  <si>
    <t>Lleno manual compactado con material del sitio</t>
  </si>
  <si>
    <t>Lleno manual compactado con material de préstamo</t>
  </si>
  <si>
    <t>Lleno manual compactado con material granular</t>
  </si>
  <si>
    <t>Afirmado compactado manual e = 0.10 m</t>
  </si>
  <si>
    <t>Lleno manual con material filtrante</t>
  </si>
  <si>
    <t>Lleno manual con piedra</t>
  </si>
  <si>
    <t>Lleno manual con arena para tubería (brecha de 0,60 m de ancho e = 0,1 m)</t>
  </si>
  <si>
    <r>
      <t xml:space="preserve">Molde en poliuretano de </t>
    </r>
    <r>
      <rPr>
        <sz val="10"/>
        <rFont val="Calibri"/>
        <family val="2"/>
      </rPr>
      <t>±</t>
    </r>
    <r>
      <rPr>
        <sz val="9.9"/>
        <rFont val="Arial"/>
        <family val="2"/>
      </rPr>
      <t xml:space="preserve"> </t>
    </r>
    <r>
      <rPr>
        <sz val="10"/>
        <rFont val="Arial"/>
        <family val="2"/>
      </rPr>
      <t>0,60 x 0,60 m</t>
    </r>
  </si>
  <si>
    <t>2 -  02 EXCAVACIONES Y EXPLANACIONES</t>
  </si>
  <si>
    <t>Taladro perforador hasta 2"</t>
  </si>
  <si>
    <t>Broca de perforación de 1 1/4" SDS MAX</t>
  </si>
  <si>
    <t>MAT,824</t>
  </si>
  <si>
    <t>Cemento demoledor no explosivo</t>
  </si>
  <si>
    <t>Cuadrilla N 1 Min + 1 Ay (jornal + prestaciones)</t>
  </si>
  <si>
    <t>MOB024</t>
  </si>
  <si>
    <t>2-02-12</t>
  </si>
  <si>
    <t>2-02-14</t>
  </si>
  <si>
    <t>Malla electrosoldada ojo 0,15 x 0,15 m 6,00 x 2,35 m de 5 mm</t>
  </si>
  <si>
    <t>Acople flexible para lavamanos de 1/2" 150 cm</t>
  </si>
  <si>
    <t>Adaptador bajante PVC agua lluvia cuadrada 3"</t>
  </si>
  <si>
    <t>Bisagra de hierro para puerta de 3"</t>
  </si>
  <si>
    <r>
      <t xml:space="preserve">Bloque de vidrio de </t>
    </r>
    <r>
      <rPr>
        <sz val="10"/>
        <rFont val="Calibri"/>
        <family val="2"/>
      </rPr>
      <t>±</t>
    </r>
    <r>
      <rPr>
        <sz val="10"/>
        <rFont val="Arial"/>
        <family val="2"/>
      </rPr>
      <t xml:space="preserve"> 19 x 19 x 8 cm transparente ondulado</t>
    </r>
  </si>
  <si>
    <t>Camilla para transformador ¼" x 2.5 m</t>
  </si>
  <si>
    <t>Cañabrava inmunizada y limpia vara de 3 m</t>
  </si>
  <si>
    <t>Capa en PVC para adulto contra lluvia</t>
  </si>
  <si>
    <t>Captafaro plástico vial con reflectivo bidireccional</t>
  </si>
  <si>
    <t>Carburo (cal hidratada para blanquear)</t>
  </si>
  <si>
    <t>Casetón perdido icopor 50/50 de 1 x 1 x 0.20 m</t>
  </si>
  <si>
    <t>Casetón o bovedilla perdido de poliestireno de 1 x 1 x 0,30 m</t>
  </si>
  <si>
    <t>Casetón o bovedilla perdido de poliestireno de 1 x 1 x 0,35 m</t>
  </si>
  <si>
    <t>Casetón o bovedilla perdido de poliestireno de 1 x 1 x 0,40 m</t>
  </si>
  <si>
    <r>
      <t>Acero Fy = 37.000 PSI (2.601 kg/cm</t>
    </r>
    <r>
      <rPr>
        <vertAlign val="superscript"/>
        <sz val="10"/>
        <color rgb="FF000000"/>
        <rFont val="Arial"/>
        <family val="2"/>
      </rPr>
      <t>2</t>
    </r>
    <r>
      <rPr>
        <sz val="10"/>
        <color indexed="8"/>
        <rFont val="Arial"/>
        <family val="2"/>
      </rPr>
      <t>) d ≤ ¼"</t>
    </r>
  </si>
  <si>
    <r>
      <t>Acero Fy = 37.000 PSI (2.601 kg/cm</t>
    </r>
    <r>
      <rPr>
        <vertAlign val="superscript"/>
        <sz val="10"/>
        <rFont val="Arial"/>
        <family val="2"/>
      </rPr>
      <t>2</t>
    </r>
    <r>
      <rPr>
        <sz val="10"/>
        <rFont val="Arial"/>
        <family val="2"/>
      </rPr>
      <t>) d ≤ ¼"</t>
    </r>
  </si>
  <si>
    <r>
      <t>Acero Fy = 37.000 PSI (2.601 kg/cm</t>
    </r>
    <r>
      <rPr>
        <vertAlign val="superscript"/>
        <sz val="10"/>
        <rFont val="Arial"/>
        <family val="2"/>
      </rPr>
      <t>2</t>
    </r>
    <r>
      <rPr>
        <sz val="10"/>
        <rFont val="Arial"/>
        <family val="2"/>
      </rPr>
      <t xml:space="preserve">) d </t>
    </r>
    <r>
      <rPr>
        <sz val="10"/>
        <rFont val="Calibri"/>
        <family val="2"/>
      </rPr>
      <t>≤</t>
    </r>
    <r>
      <rPr>
        <sz val="10"/>
        <rFont val="Arial"/>
        <family val="2"/>
      </rPr>
      <t xml:space="preserve"> ¼"</t>
    </r>
  </si>
  <si>
    <r>
      <t>Acero Fy = 60.000 PSI (40218 kg/cm</t>
    </r>
    <r>
      <rPr>
        <vertAlign val="superscript"/>
        <sz val="10"/>
        <rFont val="Arial"/>
        <family val="2"/>
      </rPr>
      <t>2</t>
    </r>
    <r>
      <rPr>
        <sz val="10"/>
        <rFont val="Arial"/>
        <family val="2"/>
      </rPr>
      <t>) d &gt; ¼"</t>
    </r>
  </si>
  <si>
    <r>
      <t>Acero Fy = 60.000 PSI (40218 kg/cm</t>
    </r>
    <r>
      <rPr>
        <vertAlign val="superscript"/>
        <sz val="10"/>
        <color rgb="FF000000"/>
        <rFont val="Arial"/>
        <family val="2"/>
      </rPr>
      <t>2</t>
    </r>
    <r>
      <rPr>
        <sz val="10"/>
        <color indexed="8"/>
        <rFont val="Arial"/>
        <family val="2"/>
      </rPr>
      <t>) d &gt; ¼"</t>
    </r>
  </si>
  <si>
    <t>Acople flexible para sanitario, conexión rosca 7/8"</t>
  </si>
  <si>
    <t>Ajustador para epóxicas 21209 o similar (usar solo siguiendo las recomendaciones del Fabricante) Pintuco</t>
  </si>
  <si>
    <t>Ángulo C 26 perimetral de 20 x 30 x 2.40 m</t>
  </si>
  <si>
    <t>Bloque piedra de ± 0,39 x 0,19 x 0,14 m</t>
  </si>
  <si>
    <r>
      <t xml:space="preserve">Bloque piedra de </t>
    </r>
    <r>
      <rPr>
        <sz val="10"/>
        <rFont val="Calibri"/>
        <family val="2"/>
      </rPr>
      <t>±</t>
    </r>
    <r>
      <rPr>
        <sz val="8.6999999999999993"/>
        <rFont val="Arial"/>
        <family val="2"/>
      </rPr>
      <t xml:space="preserve"> </t>
    </r>
    <r>
      <rPr>
        <sz val="10"/>
        <rFont val="Arial"/>
        <family val="2"/>
      </rPr>
      <t>0,39 x 0,19 x 0,14 m</t>
    </r>
  </si>
  <si>
    <t>Capacete 4" tubería IMC</t>
  </si>
  <si>
    <r>
      <t>Cerámica de 1</t>
    </r>
    <r>
      <rPr>
        <vertAlign val="superscript"/>
        <sz val="10"/>
        <rFont val="Arial"/>
        <family val="2"/>
      </rPr>
      <t>a</t>
    </r>
    <r>
      <rPr>
        <sz val="10"/>
        <rFont val="Arial"/>
        <family val="2"/>
      </rPr>
      <t xml:space="preserve"> de 50 x 50 cm tipo Mangle Euro-cerámica o similar</t>
    </r>
  </si>
  <si>
    <t>MA4</t>
  </si>
  <si>
    <t>excavación</t>
  </si>
  <si>
    <r>
      <t>Cerámica de 1</t>
    </r>
    <r>
      <rPr>
        <vertAlign val="superscript"/>
        <sz val="10"/>
        <rFont val="Arial"/>
        <family val="2"/>
      </rPr>
      <t>a</t>
    </r>
    <r>
      <rPr>
        <sz val="10"/>
        <rFont val="Arial"/>
        <family val="2"/>
      </rPr>
      <t xml:space="preserve"> tráfico 4 de 50 x 50 cm tipo Terranova exteriores</t>
    </r>
  </si>
  <si>
    <t>Cerámica de 1a tráfico 4 de 50 x 50 cm tipo Terranova exteriores</t>
  </si>
  <si>
    <t>Cerámica pared Adriático Aguamarina de 20,5 20,5 cm o similar</t>
  </si>
  <si>
    <t>Guarda escoba cerámico Adriático Aguamarina o similar ± h = 0,10 m, color blanco o beige</t>
  </si>
  <si>
    <t>Enchape en cerámica de 20,5 x 20,5 cm tipo Adriático Aguamarina, incluye filos plásticos y fijador de cerámica</t>
  </si>
  <si>
    <t>Piso Terrazo de 30 x 30 cm crema, incluye fijador de cerámica</t>
  </si>
  <si>
    <t>Cerámica tipo Terrazo de 30 x 30 cm crema</t>
  </si>
  <si>
    <r>
      <t xml:space="preserve">Guarda escoba en Terrazo o similar </t>
    </r>
    <r>
      <rPr>
        <b/>
        <sz val="11"/>
        <rFont val="Calibri"/>
        <family val="2"/>
      </rPr>
      <t>±</t>
    </r>
    <r>
      <rPr>
        <b/>
        <sz val="9.9"/>
        <rFont val="Arial"/>
        <family val="2"/>
      </rPr>
      <t xml:space="preserve"> </t>
    </r>
    <r>
      <rPr>
        <b/>
        <sz val="11"/>
        <rFont val="Arial"/>
        <family val="2"/>
      </rPr>
      <t>h = 0,10 m</t>
    </r>
  </si>
  <si>
    <r>
      <t xml:space="preserve">Guarda escobas en Gran Terrazo Dark o similar </t>
    </r>
    <r>
      <rPr>
        <b/>
        <sz val="11"/>
        <rFont val="Calibri"/>
        <family val="2"/>
      </rPr>
      <t>±</t>
    </r>
    <r>
      <rPr>
        <b/>
        <sz val="11"/>
        <rFont val="Arial"/>
        <family val="2"/>
      </rPr>
      <t xml:space="preserve"> h = 0.10 m</t>
    </r>
  </si>
  <si>
    <t>Piso Gran Terrazo dark de 40 x 60 cm, tipo Alfa o similar</t>
  </si>
  <si>
    <t>Piso en Gran Terrazo Dark de 40 x 40 cm tipo Alfa o similar, incluye fijador de cerámica</t>
  </si>
  <si>
    <t>Chapa de bola fina de cromo mate Schlage sencilla o similar para alcoba</t>
  </si>
  <si>
    <t>Chapa Gato o similar tubular de manija mate</t>
  </si>
  <si>
    <t>Chapa Yale o similar para portón 70 mm llave multipunto</t>
  </si>
  <si>
    <t>Cinta bandit 3/4" rollo x 30 m</t>
  </si>
  <si>
    <t>Cinta de señalización</t>
  </si>
  <si>
    <t>Clavo de acero para concreto de 1" (50 Un por caja)</t>
  </si>
  <si>
    <t>Costal de fique de 0,70 x 0,50 m</t>
  </si>
  <si>
    <t>Desmoldante de concreto para pisos neutro</t>
  </si>
  <si>
    <t>Llave de paso tipo Red White de ½" 200 PSI</t>
  </si>
  <si>
    <t>Llave de paso tipo Red White de 1" 200 PSI</t>
  </si>
  <si>
    <t>Lavamanos tipo Acuacer beige de colgar (monosalida)</t>
  </si>
  <si>
    <t>Lavamanos tipo Acuacer beige de pedestal (monosalida)</t>
  </si>
  <si>
    <t>Lavamanos tipo Avanti de colgar blanco (monosalida)</t>
  </si>
  <si>
    <t>Lavamanos tipo Happy blanco de colgar (monosalida)</t>
  </si>
  <si>
    <t>Lavamanos tipo Marsella blanco de sobreponer (monosalida)</t>
  </si>
  <si>
    <t>Lavaplatos en acero inoxidable de 0,4 x 0,6 m, básico de empotrar (monosalida)</t>
  </si>
  <si>
    <t>Grifería para lavamanos tipo Monza Stick de 4" Cromo</t>
  </si>
  <si>
    <t>Dilatación Z 40 x 0.9 mm M dry Flex o similar (2 m)</t>
  </si>
  <si>
    <t>Zócalo en gravilla lavada, incluye dilataciones de PVC</t>
  </si>
  <si>
    <t>Dilatación para piso pared en PVC aleta de h = 9 mm ancho total 25 mm (2 m)</t>
  </si>
  <si>
    <t>Piso en gravilla lavada y tablón de gres de 0,20 x 0,20 m, incluye dilatación de PVC y mortero</t>
  </si>
  <si>
    <t>Guarda escoba en gravilla lavada recto, incluye dilatación de PVC, ± h = 0,10 m</t>
  </si>
  <si>
    <t>Piso Payande Nº 5 P5B de 30 x 30 cm, fondo gris, de Alfa o similar, pulido, incluye fijador de cerámica y dilataciones PVC</t>
  </si>
  <si>
    <t>Malla gavión 1 x 1 x 1 C13 triple torsión</t>
  </si>
  <si>
    <t>Manija (asa) para puerta Ej. Mediana italiana cromada master</t>
  </si>
  <si>
    <t>Niple de H G o PPR 1 ¼" L ± 0.15 m</t>
  </si>
  <si>
    <t>Niple de H G o PPR 1 ½" L ± 0.15 m</t>
  </si>
  <si>
    <t>Niple de H G o PPR 1" L ± 0.15 m</t>
  </si>
  <si>
    <t>Niple de H G o PPR 2" L ± 0.15 m</t>
  </si>
  <si>
    <t>Niple de H G o PPR 3" L ± 0.15 m</t>
  </si>
  <si>
    <t>Niple de H G o PPR 3/4" L ± 0.15 m</t>
  </si>
  <si>
    <t>Orinal Gotta antibacterial o similar con grifería push</t>
  </si>
  <si>
    <t>Ajustador alifático (varsol) 21132 o similar</t>
  </si>
  <si>
    <t>Equipo de Hydroblasting completo</t>
  </si>
  <si>
    <t>Pintura vinilo tipo I ultralavable</t>
  </si>
  <si>
    <t>Plantillas y pegante (marcas viales)</t>
  </si>
  <si>
    <t>Rejilla para piso corriente de 3" x 2" aluminio / bronce</t>
  </si>
  <si>
    <t>Regadera mezclador tipo rival (Balta Dalia)</t>
  </si>
  <si>
    <t>Tablero de baloncesto acrílico, de 1,20 x 1,80 m, C 10 mm, incluye aro y malla</t>
  </si>
  <si>
    <t>Tablón tipo Túnez de 0,15 x 0,15 m</t>
  </si>
  <si>
    <t>Toma coaxial Luminex AMBIA REFRESH o similar</t>
  </si>
  <si>
    <t>Vidrio de 4 mm de seguridad con película de privacidad</t>
  </si>
  <si>
    <t>1-02-39</t>
  </si>
  <si>
    <t>Desmonte de muros en pared liviana (dry wall o súper board), incluye estructura y recuperación de algunas placas</t>
  </si>
  <si>
    <r>
      <t>Gramoquín en concreto de 5 Mpa de 30 x 30 x 8 cm (11.11 un/m</t>
    </r>
    <r>
      <rPr>
        <vertAlign val="superscript"/>
        <sz val="10"/>
        <rFont val="Arial"/>
        <family val="2"/>
      </rPr>
      <t>2</t>
    </r>
    <r>
      <rPr>
        <sz val="10"/>
        <rFont val="Arial"/>
        <family val="2"/>
      </rPr>
      <t>)</t>
    </r>
  </si>
  <si>
    <r>
      <t>Gramoquín en concreto de 5 Mpa de 30 x 30 x 8 cm (11.11 un/m</t>
    </r>
    <r>
      <rPr>
        <vertAlign val="superscript"/>
        <sz val="10"/>
        <rFont val="Arial"/>
        <family val="2"/>
        <scheme val="minor"/>
      </rPr>
      <t>2</t>
    </r>
    <r>
      <rPr>
        <sz val="10"/>
        <rFont val="Arial"/>
        <family val="2"/>
        <scheme val="minor"/>
      </rPr>
      <t>)</t>
    </r>
  </si>
  <si>
    <r>
      <t>Gramoquín en concreto de 5 Mpa de 60 x 40 x 8 cm (4.17 un/m</t>
    </r>
    <r>
      <rPr>
        <vertAlign val="superscript"/>
        <sz val="10"/>
        <rFont val="Arial"/>
        <family val="2"/>
      </rPr>
      <t>2</t>
    </r>
    <r>
      <rPr>
        <sz val="10"/>
        <rFont val="Arial"/>
        <family val="2"/>
      </rPr>
      <t>)</t>
    </r>
  </si>
  <si>
    <r>
      <t>Gramoquín en concreto de 5 Mpa de 60 x 40 x 8 cm (4.17 un/m</t>
    </r>
    <r>
      <rPr>
        <vertAlign val="superscript"/>
        <sz val="10"/>
        <rFont val="Arial"/>
        <family val="2"/>
        <scheme val="minor"/>
      </rPr>
      <t>2</t>
    </r>
    <r>
      <rPr>
        <sz val="10"/>
        <rFont val="Arial"/>
        <family val="2"/>
        <scheme val="minor"/>
      </rPr>
      <t>)</t>
    </r>
  </si>
  <si>
    <t>Lámina duracustic ± 1,2 x 0,61 m</t>
  </si>
  <si>
    <r>
      <t xml:space="preserve">Lámina duracustic </t>
    </r>
    <r>
      <rPr>
        <sz val="10"/>
        <rFont val="Calibri"/>
        <family val="2"/>
      </rPr>
      <t>±</t>
    </r>
    <r>
      <rPr>
        <sz val="8.6999999999999993"/>
        <rFont val="Arial"/>
        <family val="2"/>
      </rPr>
      <t xml:space="preserve"> </t>
    </r>
    <r>
      <rPr>
        <sz val="10"/>
        <rFont val="Arial"/>
        <family val="2"/>
      </rPr>
      <t>1,2 x 0,61 m</t>
    </r>
  </si>
  <si>
    <t>Niple de H G o PPR  ½" L ± 0,15 m</t>
  </si>
  <si>
    <r>
      <t xml:space="preserve">Niple de H G o PPR  ½" L </t>
    </r>
    <r>
      <rPr>
        <sz val="10"/>
        <rFont val="Calibri"/>
        <family val="2"/>
      </rPr>
      <t>±</t>
    </r>
    <r>
      <rPr>
        <sz val="10"/>
        <rFont val="Arial"/>
        <family val="2"/>
      </rPr>
      <t xml:space="preserve"> 0,15 m</t>
    </r>
  </si>
  <si>
    <t>Papel de colgadura a ± 0,50 m x 10 m, tejido gris o similar</t>
  </si>
  <si>
    <r>
      <t xml:space="preserve">Papel de colgadura a </t>
    </r>
    <r>
      <rPr>
        <sz val="10"/>
        <rFont val="Calibri"/>
        <family val="2"/>
      </rPr>
      <t>±</t>
    </r>
    <r>
      <rPr>
        <sz val="10"/>
        <rFont val="Arial"/>
        <family val="2"/>
      </rPr>
      <t xml:space="preserve"> 0,50 m x 10 m, tejido gris o similar</t>
    </r>
  </si>
  <si>
    <t>Piso en lámina de vinilo de ± 3 mm tráfico pesado</t>
  </si>
  <si>
    <r>
      <t xml:space="preserve">Piso en lámina de vinilo de </t>
    </r>
    <r>
      <rPr>
        <sz val="10"/>
        <rFont val="Calibri"/>
        <family val="2"/>
      </rPr>
      <t>±</t>
    </r>
    <r>
      <rPr>
        <sz val="7.8"/>
        <rFont val="Arial"/>
        <family val="2"/>
      </rPr>
      <t xml:space="preserve"> </t>
    </r>
    <r>
      <rPr>
        <sz val="10"/>
        <rFont val="Arial"/>
        <family val="2"/>
      </rPr>
      <t>3 mm tráfico pesado</t>
    </r>
  </si>
  <si>
    <t>Poste de madera (estacón de 2,50 m diámetro ± 0,10 m inmunizado)</t>
  </si>
  <si>
    <r>
      <t xml:space="preserve">Poste de madera (estacón de 2,50 m diámetro </t>
    </r>
    <r>
      <rPr>
        <sz val="10"/>
        <rFont val="Calibri"/>
        <family val="2"/>
      </rPr>
      <t>±</t>
    </r>
    <r>
      <rPr>
        <sz val="10"/>
        <rFont val="Arial"/>
        <family val="2"/>
      </rPr>
      <t xml:space="preserve"> 0,10 m inmunizado)</t>
    </r>
  </si>
  <si>
    <t>Poste de madera para cerramiento ± l = 2,50 m Ø ± 9 cm, inmunizado</t>
  </si>
  <si>
    <r>
      <t xml:space="preserve">Poste de madera para cerramiento </t>
    </r>
    <r>
      <rPr>
        <sz val="10"/>
        <rFont val="Calibri"/>
        <family val="2"/>
      </rPr>
      <t>±</t>
    </r>
    <r>
      <rPr>
        <sz val="10"/>
        <rFont val="Arial"/>
        <family val="2"/>
      </rPr>
      <t xml:space="preserve"> l = 2,50 m </t>
    </r>
    <r>
      <rPr>
        <sz val="10"/>
        <rFont val="Calibri"/>
        <family val="2"/>
      </rPr>
      <t>Ø</t>
    </r>
    <r>
      <rPr>
        <sz val="10"/>
        <rFont val="Arial"/>
        <family val="2"/>
      </rPr>
      <t xml:space="preserve"> </t>
    </r>
    <r>
      <rPr>
        <sz val="10"/>
        <rFont val="Calibri"/>
        <family val="2"/>
      </rPr>
      <t>±</t>
    </r>
    <r>
      <rPr>
        <sz val="10"/>
        <rFont val="Arial"/>
        <family val="2"/>
      </rPr>
      <t xml:space="preserve"> 9 cm, inmunizado</t>
    </r>
  </si>
  <si>
    <t>Rack vertical cerrado QUEST o similar 2.1 m x 22,5" x 24"</t>
  </si>
  <si>
    <t>Silla Yee PVC de pared estructural 400 x 160</t>
  </si>
  <si>
    <t>Terminal compresión cable 1/0 AMP AWG</t>
  </si>
  <si>
    <t>Terminal compresión cable 6 AMP AWG</t>
  </si>
  <si>
    <t>Toma doble polo a tierra GFCI Luminex AMBIA REFRESH o similar</t>
  </si>
  <si>
    <t>Toma doble polo a tierra Luminex AMBIA REFRESH</t>
  </si>
  <si>
    <t>Ventana 1.2 x 1.5 m aluminio Int negro corrediza XO/O, vidrio templado 6 mm alúmina</t>
  </si>
  <si>
    <t>Película de privacidad</t>
  </si>
  <si>
    <r>
      <t>Malla electrosoldada M-188 Φ 6.00 mm c/0.15 m (peso 42,20 Kg/m</t>
    </r>
    <r>
      <rPr>
        <vertAlign val="superscript"/>
        <sz val="10"/>
        <color rgb="FF000000"/>
        <rFont val="Arial"/>
        <family val="2"/>
      </rPr>
      <t>2</t>
    </r>
    <r>
      <rPr>
        <sz val="10"/>
        <color indexed="8"/>
        <rFont val="Arial"/>
        <family val="2"/>
      </rPr>
      <t>) (2,35 x 6 m)</t>
    </r>
  </si>
  <si>
    <r>
      <t>Malla electrosoldada M-188 Φ 6.00 mm c/0.15 m (peso 42,20 Kg/m</t>
    </r>
    <r>
      <rPr>
        <vertAlign val="superscript"/>
        <sz val="10"/>
        <rFont val="Arial"/>
        <family val="2"/>
      </rPr>
      <t>2</t>
    </r>
    <r>
      <rPr>
        <sz val="10"/>
        <rFont val="Arial"/>
        <family val="2"/>
      </rPr>
      <t>) (2,35 x 6 m)</t>
    </r>
  </si>
  <si>
    <t>Reja metálica de seguridad de 1/2" en varilla redonda de alta, incluye anticorrosivo y pintura</t>
  </si>
  <si>
    <r>
      <t xml:space="preserve">Gabinete contra incendios completo tipo 3: Lámina cold rolled C 20 de </t>
    </r>
    <r>
      <rPr>
        <b/>
        <sz val="11"/>
        <color indexed="8"/>
        <rFont val="Calibri"/>
        <family val="2"/>
      </rPr>
      <t>±</t>
    </r>
    <r>
      <rPr>
        <b/>
        <sz val="10.9"/>
        <color indexed="8"/>
        <rFont val="Arial"/>
        <family val="2"/>
      </rPr>
      <t xml:space="preserve"> </t>
    </r>
    <r>
      <rPr>
        <b/>
        <sz val="11"/>
        <color indexed="8"/>
        <rFont val="Arial"/>
        <family val="2"/>
      </rPr>
      <t>0.77 x 0.99 x 0.24 m de incrustar o sobre poner sin vidrio, con anticorrosivo y pintura electrostática roja, válvulas angulares tipo globo de bronce de 1 1/2" y 2 1/2" x 2 1/2" NPT x N H (hembra) tapa hembra con cadena, soporte tipo canastilla para manguera gabinetera, en lámina cold rolled, manguera 1 1/2" de 100´(30 m) acoples de Al, chaqueta sencilla, boquilla de chorro niebla de 1 1/2" en policarbonato y vástago de bronce, hacha pico de 4 1/2 lb en hierro pulido terminado con pintura, porta hacha de madera pulida, llave spanner (inglesa), de 2 servicios, extintor de polvo químico seco ABC 10 lb de capacidad presurizado con nitrógeno, válvula de descargue en bronce con boquilla y manómetro de control</t>
    </r>
  </si>
  <si>
    <t>Arriendo local para campamento, incluye administración, servicios públicos y comunicaciones</t>
  </si>
  <si>
    <t>Demolición mecánica de vivienda de 1 a 2 niveles con o sin sobrecimiento, sin recuperación de materiales</t>
  </si>
  <si>
    <t>Macadam granular compactado, confinado (jamás vaciar pavimento de ningún tipo sobre él), incluye cama de asiento, e máx. = 0.15 m, material de relleno de vacíos. compactación</t>
  </si>
  <si>
    <t>Placa aligerada en concreto de 20,7 Mpa (3000 PSI) e = 0,20 m, incluye malla electrosoldada, casetón perdido de icopor, no incluye refuerzo</t>
  </si>
  <si>
    <t>Placa aligerada en concreto de 20,7 Mpa (3000 PSI) e = 0,30 m, incluye  electrosoldada, casetón perdido de poliestireno, no incluye refuerzo</t>
  </si>
  <si>
    <t>Placa aligerada en concreto de 20,7 Mpa (3000 PSI) e = 0,35 m, incluye  electrosoldada, casetón perdido de poliestireno, no incluye refuerzo</t>
  </si>
  <si>
    <t>Placa aligerada en concreto de 20,7 Mpa (3000 PSI) e = 0,40 m, incluye  electrosoldada, casetón perdido de poliestireno, no incluye refuerzo</t>
  </si>
  <si>
    <t>Muro en bloque piedra (estructural) de cemento de 0,14 x 0,19 x 0,39 m, no incluye refuerzo, abuzardado una o ambas caras</t>
  </si>
  <si>
    <t>Piso en tableta de 15 x 15 cm, tipo Túnez Sahara o roja con mortero</t>
  </si>
  <si>
    <t>Piso Gran Terrazo Dark de 40 x 60 cm, tipo Alfa o similar</t>
  </si>
  <si>
    <t>Porta rollo en polímero de alta ingeniería a ≥ 27 cm, cromado, incluye vástago plástico, tipo Nilo</t>
  </si>
  <si>
    <t>Acelerante para concreto tipo Sika set</t>
  </si>
  <si>
    <t>Emulsión asfáltica CRL 57 (anteriormente CRL 1) rotura lenta</t>
  </si>
  <si>
    <r>
      <t xml:space="preserve">Porta rollo en polímero de alta ingeniería a </t>
    </r>
    <r>
      <rPr>
        <sz val="10"/>
        <rFont val="Calibri"/>
        <family val="2"/>
      </rPr>
      <t>≥</t>
    </r>
    <r>
      <rPr>
        <sz val="10"/>
        <rFont val="Arial"/>
        <family val="2"/>
      </rPr>
      <t xml:space="preserve"> 27 cm, cromado, incluye vástago plástico, tipo Nilo</t>
    </r>
  </si>
  <si>
    <t>Aro tapa para pozo o sumidero fabricada en polietileno de alta densidad. Medidas aro: diámetro 93 cm, alto 20 cm, peso aprox. 26.4 kg. Medidas tapa: diámetro 70 cm, alto 20 cm, peso aproximado 33 kg. Resistencia por prueba de laboratorio de ruptura y flexión: 18 toneladas por decímetro cuadrado</t>
  </si>
  <si>
    <t>Tapa para cámara, incluye aro de 70 cm, fabricada en polietileno de alta densidad. Medidas aro: diámetro 93 cm, alto 20 cm, peso Aprox. 26.4 kg, medidas tapa: diámetro 70 cm, alto 20 cm, peso aproximado 33 kg. Resistencia por prueba de laboratorio de ruptura y flexión: 18 toneladas por decímetro cuadrado</t>
  </si>
  <si>
    <t>Accesorios para fijación de canal metálico (tapa (2), boquilla (2) y soporte (4) en 8 Un</t>
  </si>
  <si>
    <t>SENA</t>
  </si>
  <si>
    <t>Exámenes médicos de ingreso y egreso y certificado de trabajo seguro en alturas</t>
  </si>
  <si>
    <t>Andamio tubular certificado de 2 m, incluye arnés y línea de vida</t>
  </si>
  <si>
    <t>Minicargador sobre llantas de 70 caballos o más</t>
  </si>
  <si>
    <t>Retroexcavadora A25C a similar</t>
  </si>
  <si>
    <r>
      <t>Excavadora de orugas capacidad 0,9 m3 (1,5 m</t>
    </r>
    <r>
      <rPr>
        <vertAlign val="superscript"/>
        <sz val="10"/>
        <rFont val="Arial"/>
        <family val="2"/>
      </rPr>
      <t>3</t>
    </r>
    <r>
      <rPr>
        <sz val="10"/>
        <rFont val="Arial"/>
        <family val="2"/>
      </rPr>
      <t>)</t>
    </r>
  </si>
  <si>
    <r>
      <t>Excavadora de orugas capacidad 0,9 m</t>
    </r>
    <r>
      <rPr>
        <vertAlign val="superscript"/>
        <sz val="10"/>
        <rFont val="Arial"/>
        <family val="2"/>
      </rPr>
      <t>3</t>
    </r>
  </si>
  <si>
    <t>2-02-15</t>
  </si>
  <si>
    <t>2-02-17</t>
  </si>
  <si>
    <r>
      <t>Excavadora de orugas capacidad 0,9 m</t>
    </r>
    <r>
      <rPr>
        <vertAlign val="superscript"/>
        <sz val="10"/>
        <rFont val="Arial"/>
        <family val="2"/>
      </rPr>
      <t>3</t>
    </r>
    <r>
      <rPr>
        <sz val="10"/>
        <rFont val="Arial"/>
        <family val="2"/>
      </rPr>
      <t xml:space="preserve"> (1,5 m</t>
    </r>
    <r>
      <rPr>
        <vertAlign val="superscript"/>
        <sz val="10"/>
        <rFont val="Arial"/>
        <family val="2"/>
      </rPr>
      <t>3</t>
    </r>
    <r>
      <rPr>
        <sz val="10"/>
        <rFont val="Arial"/>
        <family val="2"/>
      </rPr>
      <t>)</t>
    </r>
  </si>
  <si>
    <t>Protección de terrenos y taludes con hidrosiembra (está no puede colocarse en sitio que tenga sombra natural o artificial permanente)</t>
  </si>
  <si>
    <t>Pintura anticorrosiva fenólica con cromato de zinc amarillo, para uso interior y exterior para manufacturas metálicas expuestas en ambientes marinos y tropicales de humedad constante, que cumple la norma 1651:1997</t>
  </si>
  <si>
    <t>Pintura con esmalte estructura metálica 2 capas</t>
  </si>
  <si>
    <t>Pintura con esmalte 2 capas</t>
  </si>
  <si>
    <t>Estucor plástico o similar</t>
  </si>
  <si>
    <t>Pintura con anticorrosivo y esmalte 2 capas</t>
  </si>
  <si>
    <t>Anticorrosivo tipo 1 gris</t>
  </si>
  <si>
    <t>Pintura con anticorrosivo fenólico con cromato de zinc amarillo y esmalte 2 capas</t>
  </si>
  <si>
    <t>Pintura transparente protectora de fachadas a base de siliconas, base agua similar Sika Transparente-10</t>
  </si>
  <si>
    <t>Pintura texturizada hidrorepelente resistente a rayos UV, hongos y algas</t>
  </si>
  <si>
    <t>Pintura texturizada hidro repelente, 2 capas</t>
  </si>
  <si>
    <t>Pintura reflectiva de aluminio para losas de techo, incluye filos y dilataciones mínimo 2 capas</t>
  </si>
  <si>
    <t>Ajustador para epóxicas 21209 o similar (usar solo siguiendo las recomendaciones del Fabricante Pintuco)</t>
  </si>
  <si>
    <t>Pintura y resane cielo raso con pintura epóxica base solvente, 3 capas</t>
  </si>
  <si>
    <t>Pintura y resane muro con pintura epóxica base solvente, 3 capas</t>
  </si>
  <si>
    <t>Estuco y pintura epóxica base solvente para cielo raso  3 capas</t>
  </si>
  <si>
    <t>Estuco y pintura epóxica aseptica base solvente para muros 3 capas</t>
  </si>
  <si>
    <t>Estuco y pintura antibacterial de alta asepsia, 2 capas</t>
  </si>
  <si>
    <t>Pintura antibacterial de alta asepsia</t>
  </si>
  <si>
    <t>Estuco y pintura antibacterial de alta asepsia para cielo raso, 2 capas</t>
  </si>
  <si>
    <t>Pintura y resane cielo raso con pintura antibacterial de alta asepsia, 2 capas</t>
  </si>
  <si>
    <t>Pintura y resane muro con pintura antibacterial de alta asepsia, 2 capas</t>
  </si>
  <si>
    <t>1-07-25</t>
  </si>
  <si>
    <t>1-07-26</t>
  </si>
  <si>
    <t>1-07-27</t>
  </si>
  <si>
    <t>1-07-28</t>
  </si>
  <si>
    <t>1-07-29</t>
  </si>
  <si>
    <t>1-07-30</t>
  </si>
  <si>
    <t>1-07-31</t>
  </si>
  <si>
    <t>MAT,825</t>
  </si>
  <si>
    <t>Suministro e instalación de barra de seguridad en acero inoxidable de 60 cm satinada para discapacitados</t>
  </si>
  <si>
    <t xml:space="preserve">Barra de seguridad en acero inoxidable de 60 cm satinada, soportes tipo discos fijos con anclaje a pared </t>
  </si>
  <si>
    <t>Barra de seguridad en acero inoxidable de 60 cm satinada, soportes tipo discos fijos con anclaje a pared</t>
  </si>
  <si>
    <r>
      <t xml:space="preserve">Baranda fija con refuerzo vertical para sanitario discapacitados, de a </t>
    </r>
    <r>
      <rPr>
        <sz val="10"/>
        <rFont val="Calibri"/>
        <family val="2"/>
      </rPr>
      <t>±</t>
    </r>
    <r>
      <rPr>
        <sz val="9.6"/>
        <rFont val="Arial"/>
        <family val="2"/>
      </rPr>
      <t xml:space="preserve"> 80 cm, h ± 70 cm, e</t>
    </r>
    <r>
      <rPr>
        <sz val="10"/>
        <rFont val="Arial"/>
        <family val="2"/>
      </rPr>
      <t>laborada totalmente en acero inoxidable 304 certificada, calibre 16 de 1 1/4 de grosor, soportes tipo discos fijos con anclaje a pared para lograr estabilidad y resistencia, en U vertical, doble línea ± 16 cm, con 3 anclajes con tornillería de anclaje y chazos plástricos</t>
    </r>
  </si>
  <si>
    <t>Baranda fija con refuerzo vertical para sanitario discapacitados, de a ± 80 cm, h ± 70 cm, elaborada totalmente en acero inoxidable 304 certificada, calibre 16 de 1 1/4 de grosor, soportes tipo discos fijos con anclaje a pared para lograr estabilidad y resistencia, en U vertical, doble línea ± 16 cm, con 3 anclajes con tornillería de anclaje y chazos plástricos</t>
  </si>
  <si>
    <t>Suministro e instalación de baranda fija con refuerzo vertical para sanitario discapacitados</t>
  </si>
  <si>
    <r>
      <t xml:space="preserve">Suministro e instalación de barandal en acero inoxidable con parales cada </t>
    </r>
    <r>
      <rPr>
        <b/>
        <sz val="11"/>
        <rFont val="Calibri"/>
        <family val="2"/>
      </rPr>
      <t>±</t>
    </r>
    <r>
      <rPr>
        <b/>
        <sz val="11"/>
        <rFont val="Arial"/>
        <family val="2"/>
      </rPr>
      <t xml:space="preserve"> 1.4 m de 0.90 m de altura total y línea intermedia a 0.70 m del piso, fabricado en tubería de 2” y 1 1/2" calibre 16 acabado satinado y bases de 3 1/2” de diámetro y 4.5 mm de espesor para rampa de discapacitados, personas de la tercera edad y niños, final en el extemo, si es posible con U de 0.30 cm, según norma</t>
    </r>
  </si>
  <si>
    <t>MAT,826</t>
  </si>
  <si>
    <t>Pasamanos para escalera o rampa en acero inoxidable C 16 de 1 1/2" x 2 m, incluye tapas y 2 soportes tipo disco para anclar en la pared</t>
  </si>
  <si>
    <t>Suministro y colocación de película de privacidad</t>
  </si>
  <si>
    <t>Suministro e instalación pasamanos para escalera o rampa en acero inoxidable C 16 de 1 1/2" x 2 m, incluye tapas y 2 soportes tipo disco para anclar en la pared</t>
  </si>
  <si>
    <t>MAT,827</t>
  </si>
  <si>
    <t>MAT,828</t>
  </si>
  <si>
    <t>MAT,829</t>
  </si>
  <si>
    <t>MAT,830</t>
  </si>
  <si>
    <t>MAT,875</t>
  </si>
  <si>
    <t>MAT,876</t>
  </si>
  <si>
    <t>MAT,877</t>
  </si>
  <si>
    <t>MAT,878</t>
  </si>
  <si>
    <t>MAT,879</t>
  </si>
  <si>
    <t>MAT,880</t>
  </si>
  <si>
    <t>MAT,881</t>
  </si>
  <si>
    <t>MAT,882</t>
  </si>
  <si>
    <t>MAT,883</t>
  </si>
  <si>
    <t>MAT,884</t>
  </si>
  <si>
    <t>MAT,885</t>
  </si>
  <si>
    <t>MAT,886</t>
  </si>
  <si>
    <t>MAT,887</t>
  </si>
  <si>
    <t>MAT,888</t>
  </si>
  <si>
    <t>MAT,889</t>
  </si>
  <si>
    <t>MAT,890</t>
  </si>
  <si>
    <t>MAT,891</t>
  </si>
  <si>
    <t>Anclaje mecánico tipo tornillo de cabeza avellanada con estrella interior de seis puntas para llave Torx, de acero galvanizado</t>
  </si>
  <si>
    <r>
      <t xml:space="preserve">Barandal en acero inoxidable con parales cada </t>
    </r>
    <r>
      <rPr>
        <sz val="10"/>
        <rFont val="Calibri"/>
        <family val="2"/>
      </rPr>
      <t>±</t>
    </r>
    <r>
      <rPr>
        <sz val="10"/>
        <rFont val="Arial"/>
        <family val="2"/>
      </rPr>
      <t xml:space="preserve"> 1.4 m de 0.90 m de altura total y línea intermedia a 0.70 m del piso, fabricado en tubería de 2” y 1 1/2" calibre 16 acabado satinado y bases de 3 1/2” de diámetro y 4.5 mm de espesor para rampa de discapacitados, personas de la tercera edad y niños, final en el extemo, si es posible con U de 0.30 cm, según norma</t>
    </r>
  </si>
  <si>
    <t>Barandilla escalera en acero inoxidable AISI 304 h ± 100 cm, compuesta de pasamanos de ± 50 mm cm de diámetro sujeto a montantes verticales de ± 40 x 40 mm dispuestos cada ± 120 cm y entrepaño de 3 barrotes macizos "horizontales" de ± 12 mm de diámetro soldados a los montantes, para escalera recta de un tramo</t>
  </si>
  <si>
    <t>Suministro e instalación de barandilla para escalera en acero inoxidable AISI 304 h ± 100 cm, compuesta de pasamanos de ± 50 mm cm de diámetro sujeto a montantes verticales de ± 40 x 40 mm dispuestos cada ± 120 cm y entrepaño de 3 barrotes macizos "horizontales" de ± 12 mm de diámetro soldados a los montantes, para escalera recta de un tramo, fijada mediante anclaje mecánico por atornillado</t>
  </si>
  <si>
    <r>
      <t xml:space="preserve">Barandilla escalera en acero inoxidable AISI 304 h ± 100 cm, compuesta de pasamanos de ± 50 mm cm de diámetro sujeto a montantes verticales de ± 60 x 30 mm sujeto a montantes verticales de 40 x 40 mm dispuestos cada </t>
    </r>
    <r>
      <rPr>
        <sz val="10"/>
        <rFont val="Calibri"/>
        <family val="2"/>
      </rPr>
      <t>±</t>
    </r>
    <r>
      <rPr>
        <sz val="9.6"/>
        <rFont val="Arial"/>
        <family val="2"/>
      </rPr>
      <t xml:space="preserve"> 120 cm y entrepaño de vidrio de seguridad transparente de 4 + 4 mm con guía para sujeción, </t>
    </r>
    <r>
      <rPr>
        <sz val="10"/>
        <rFont val="Arial"/>
        <family val="2"/>
      </rPr>
      <t>para escalera recta de un tramo</t>
    </r>
  </si>
  <si>
    <t>Suministro e instalación de barandilla para escalera en acero inoxidable AISI 304 h ± 100 cm, compuesta de pasamanos de ± 60 x 30 mm sujeto a montantes verticales de ± 40 x 40 mm y entrepaño de vidrio laminar de seguridad transparente de 4 + 4 mm y entrepaño de vidrio de seguridad (laminar), para escalera recta de un tramo, fijada mediante anclaje mecánico por atornillado</t>
  </si>
  <si>
    <t>1-09-35</t>
  </si>
  <si>
    <t>1-09-36</t>
  </si>
  <si>
    <t>1-09-37</t>
  </si>
  <si>
    <t>1-09-38</t>
  </si>
  <si>
    <t>1-09-40</t>
  </si>
  <si>
    <t>1-09-41</t>
  </si>
  <si>
    <t>1-09-42</t>
  </si>
  <si>
    <t>Pasamanos sencillo metálico (juego infantil), pintado e instalado</t>
  </si>
  <si>
    <t>Pasamanos con casita metálico (juego infantil), pintado e instalado</t>
  </si>
  <si>
    <t>Balancín doble metálico /(juego infantil), pintado e instalado</t>
  </si>
  <si>
    <t>Pago tarifa disposición final en botadero</t>
  </si>
  <si>
    <t>Cargue manual material sobrante y disposición final</t>
  </si>
  <si>
    <t>Cargue mecánico material sobrante y disposición final</t>
  </si>
  <si>
    <t>Retiro de material con cargue mecánico y disposición final</t>
  </si>
  <si>
    <t>Remoción de derrumbes y disposición final</t>
  </si>
  <si>
    <t>Excavación sin clasificar de la explanación (mecánica) con disposición final</t>
  </si>
  <si>
    <r>
      <t>Demolición de roca a cielo abierto, con agente demoledor no explosivo, para volúmenes de roca mayores a 0.10 m</t>
    </r>
    <r>
      <rPr>
        <b/>
        <vertAlign val="superscript"/>
        <sz val="11"/>
        <rFont val="Arial"/>
        <family val="2"/>
      </rPr>
      <t>3</t>
    </r>
    <r>
      <rPr>
        <b/>
        <sz val="11"/>
        <rFont val="Arial"/>
        <family val="2"/>
      </rPr>
      <t>. Incluye cemento demoledor, desenbombe, acarreo interno a sitio de acopio donde indique la interventoría y todo lo necesario para su correcta ejecución y disposición final</t>
    </r>
  </si>
  <si>
    <r>
      <t>Demolición de roca en espacio confinado, con agente demoledor no explosivo, para volúmenes de roca mayores a 0.10 m</t>
    </r>
    <r>
      <rPr>
        <b/>
        <vertAlign val="superscript"/>
        <sz val="11"/>
        <rFont val="Arial"/>
        <family val="2"/>
      </rPr>
      <t>3</t>
    </r>
    <r>
      <rPr>
        <b/>
        <sz val="11"/>
        <rFont val="Arial"/>
        <family val="2"/>
      </rPr>
      <t>. Incluye cemento demoledor a una dosificación de 10 Kg por metro cúbico, desembombe, acarreo interno a sitio de acopio donde indique la interventoría y todo lo necesario para su correcta ejecución y disposición final</t>
    </r>
  </si>
  <si>
    <t>Excavación en roca de la explanación, comprende la excavación de rocas hasta 30 cm de diámetro, fuertemente litificadas que debido a su buena cementación o alta consolidación, no es posible su división mecánica en la excavación, incluye acarreo interno a sitio de acopio donde indique la interventoría y todo lo necesario para su correcta ejecución y disposición final</t>
  </si>
  <si>
    <t>Remoción mecánica de derrumbes, incluye disposición final</t>
  </si>
  <si>
    <t>Organizador vertical doble ducto 1.80 m</t>
  </si>
  <si>
    <t>Base metálica para punta captadora, aluminio de 5/8"</t>
  </si>
  <si>
    <t>Comisión topografía (Topógrafo + Cadenero 1 + Cadenero 2)</t>
  </si>
  <si>
    <t>Equipo de topografía: Estación total, nivel de precisión y herramientas</t>
  </si>
  <si>
    <t>EQU070</t>
  </si>
  <si>
    <t>EQU071</t>
  </si>
  <si>
    <t>EQU072</t>
  </si>
  <si>
    <t>EQU073</t>
  </si>
  <si>
    <t>EQU074</t>
  </si>
  <si>
    <t>Computador y gastos de papeleria comisión de topografía</t>
  </si>
  <si>
    <t>Manutención y gastos asociados comisión de topografía</t>
  </si>
  <si>
    <t>Administración comisión de topografía</t>
  </si>
  <si>
    <t>Comisión topografía (Topógrafo + Cadenero 1 + Cadeneros 2)</t>
  </si>
  <si>
    <t>Balancín doble, incluye pintura e instalación (2 balancines dobles o sube y baja o burro)</t>
  </si>
  <si>
    <t>Marco metálico en lámina C 20 de 1,00 x 2,05 m, incluye anticorrosivo</t>
  </si>
  <si>
    <t>Nave metálica en lamina C 20 de 1,00 x 2,05 m, incluye anticorrosivo</t>
  </si>
  <si>
    <t>1-01-30</t>
  </si>
  <si>
    <t>Lavado de paredes y pisos con Hydroblasting h máxima 3 m</t>
  </si>
  <si>
    <t>Cortacircuitos, breaker, taco bipolar (2 polos) 20 amperios LX enchufe DSE</t>
  </si>
  <si>
    <t>Cortacircuito, breaker o taco monopolar (1 polo) 20 amperios LX enchufe DSE</t>
  </si>
  <si>
    <t>Cortacircuito, breaker o taco tripolar (3 polos) 20 amperios LX enchufe DSE</t>
  </si>
  <si>
    <t>Riel Channel 4 x 2 x 3.00 m troquelado C78T60 1 58 x 78 C 16</t>
  </si>
  <si>
    <t>Cinta antideslizante de 24 o 25 mm extra resistente</t>
  </si>
  <si>
    <t>Planta de emergencia 100 KW-125 KVA PERKINS o similar Isonorizada</t>
  </si>
  <si>
    <t>Graniplast (cuñete de 30 kg tipo Pintuco) esgrafiado antihongos</t>
  </si>
  <si>
    <t>Materiales Menores (Marcadores, Limpiador, Terminales Pequeños)</t>
  </si>
  <si>
    <t>MAT,892</t>
  </si>
  <si>
    <t>MAT,893</t>
  </si>
  <si>
    <t>Cortacircuito, breaker o taco monopolar (1 polo) 15 amperios LX enchufe DSE</t>
  </si>
  <si>
    <t>MAT,894</t>
  </si>
  <si>
    <t>Cortacircuito, breaker o taco monopolar (1 polo) 30 amperios LX enchufe DSE</t>
  </si>
  <si>
    <t>MAT,895</t>
  </si>
  <si>
    <t>Cortacircuito, breaker o taco monopolar (1 polo) 40 amperios LX enchufe DSE</t>
  </si>
  <si>
    <t>MAT,896</t>
  </si>
  <si>
    <t>Cortacircuito, breaker o taco monopolar (1 polo) 50 amperios LX enchufe DSE</t>
  </si>
  <si>
    <t>MAT,897</t>
  </si>
  <si>
    <t>Cortacircuito, breaker o taco monopolar (1 polo) 60 amperios LX enchufe DSE</t>
  </si>
  <si>
    <t>MAT,898</t>
  </si>
  <si>
    <t>Cortacircuito, breaker o taco monopolar (1 polo) 70 amperios LX enchufe DSE</t>
  </si>
  <si>
    <t>MAT,900</t>
  </si>
  <si>
    <t>Cortacircuito, breaker o taco monopolar (1 polo) 90 amperios LX enchufe DSE</t>
  </si>
  <si>
    <t>MAT,901</t>
  </si>
  <si>
    <t>Cortacircuito, breaker o taco monopolar (1 polo) 100 amperios LX enchufe DSE</t>
  </si>
  <si>
    <t>MAT,902</t>
  </si>
  <si>
    <t>Anillo marcación 12 - 6 AWG AR2 #0 tipo DEXSON DXN21R20</t>
  </si>
  <si>
    <t>MAT,903</t>
  </si>
  <si>
    <t>MAT,904</t>
  </si>
  <si>
    <t>Cortacircuito, breaker o taco bipolar (2 polos) 15 amperios LX enchufe DSE</t>
  </si>
  <si>
    <t>MAT,905</t>
  </si>
  <si>
    <t>Cortacircuito, breaker o taco bipolar (2 polos) 30 amperios LX enchufe DSE</t>
  </si>
  <si>
    <t>MAT,906</t>
  </si>
  <si>
    <t>Cortacircuito, breaker o taco bipolar (2 polos) 40 amperios LX enchufe DSE</t>
  </si>
  <si>
    <t>MAT,907</t>
  </si>
  <si>
    <t>Cortacircuito, breaker o taco bipolar (2 polos) 50 amperios LX enchufe DSE</t>
  </si>
  <si>
    <t>MAT,908</t>
  </si>
  <si>
    <t>Cortacircuito, breaker o taco bipolar (2 polos) 60 amperios LX enchufe DSE</t>
  </si>
  <si>
    <t>MAT,909</t>
  </si>
  <si>
    <t>Cortacircuito, breaker o taco bipolar (2 polos) 70 amperios LX enchufe DSE</t>
  </si>
  <si>
    <t>MAT,911</t>
  </si>
  <si>
    <t>Cortacircuito, breaker o taco bipolar (2 polos) 90 amperios LX enchufe DSE</t>
  </si>
  <si>
    <t>MAT,912</t>
  </si>
  <si>
    <t>Cortacircuito, breaker o taco bipolar (2 polos) 100 amperios LX enchufe DSE</t>
  </si>
  <si>
    <t>MAT,913</t>
  </si>
  <si>
    <t>Cortacircuito, breaker o taco tripolar (3 polos) 15 amperios LX enchufe DSE</t>
  </si>
  <si>
    <t>MAT,914</t>
  </si>
  <si>
    <t>Cortacircuito, breaker o taco tripolar (3 polos) 30 amperios LX enchufe DSE</t>
  </si>
  <si>
    <t>MAT,915</t>
  </si>
  <si>
    <t>Cortacircuito, breaker o taco tripolar (3 polos) 40 amperios LX enchufe DSE</t>
  </si>
  <si>
    <t>MAT,916</t>
  </si>
  <si>
    <t>MAT,917</t>
  </si>
  <si>
    <t>Cortacircuito, breaker o taco tripolar (3 polos) 60 amperios LX enchufe DSE</t>
  </si>
  <si>
    <t>MAT,918</t>
  </si>
  <si>
    <t>Cortacircuito, breaker o taco tripolar (3 polos) 70 amperios LX enchufe DSE</t>
  </si>
  <si>
    <t>MAT,919</t>
  </si>
  <si>
    <t>Cortacircuito, breaker o taco tripolar (3 polos) 90 amperios LX enchufe DSE</t>
  </si>
  <si>
    <t>MAT,920</t>
  </si>
  <si>
    <t>Cortacircuito, breaker o taco tripolar (3 polos) 100 amperios LX enchufe DSE</t>
  </si>
  <si>
    <t>MAT,921</t>
  </si>
  <si>
    <t>Disyuntor, GoPact MCCB 125, 3 polos, 15 kA a 415 VCA, clasificación de 100 A, unidad de desconexión TMD, protección térmica fija – SCHNEIDER G12E3F100</t>
  </si>
  <si>
    <t>MAT,922</t>
  </si>
  <si>
    <t>MAT,923</t>
  </si>
  <si>
    <t>Puentes de conexión (totalizador-barras), calibre igual o superior al de la acometida del tablero. Cable hasta calibre 2AWG, 3 tramos de 50 cm</t>
  </si>
  <si>
    <t>MAT,924</t>
  </si>
  <si>
    <t>Anillo marcador para ablee AR2 UN tipo DEXSON</t>
  </si>
  <si>
    <t>MAT,925</t>
  </si>
  <si>
    <t>MAT,926</t>
  </si>
  <si>
    <t>MAT,927</t>
  </si>
  <si>
    <t>MAT,928</t>
  </si>
  <si>
    <t>Curva prefabricada 90 grados galvanizada IMC de 3/4</t>
  </si>
  <si>
    <t>MAT,929</t>
  </si>
  <si>
    <t>MAT,930</t>
  </si>
  <si>
    <t>Tablero monofásico 4 circuitos con barraje de 75 A  barras de neutro y  tierra. Ref. VTQ-6-SQ marca Schneider Electric o similar</t>
  </si>
  <si>
    <t>MAT,931</t>
  </si>
  <si>
    <t>MAT,932</t>
  </si>
  <si>
    <t>MAT,933</t>
  </si>
  <si>
    <t>MAY.899</t>
  </si>
  <si>
    <t>MAT,910</t>
  </si>
  <si>
    <t>MAT,934</t>
  </si>
  <si>
    <t>MAT,935</t>
  </si>
  <si>
    <t>Suministro e instalacion cortacircuito, taco, breaker bipolar  enchufable de 2 x 15 A. Incluye formado de cable, peinada en el tablero y marcación de circuitos según RETIE</t>
  </si>
  <si>
    <t>Suministro e instalacion cortacircuito, taco, breaker bipolar  enchufable de 2 x 50 A. Incluye formado de cable, peinada en el tablero y marcación de circuitos según RETIE</t>
  </si>
  <si>
    <t>Suministro e instalacion cortacircuito, taco, breaker bipolar  enchufable de 2 x 60 A. Incluye formado de cable, peinada en el tablero y marcación de circuitos según RETIE</t>
  </si>
  <si>
    <t>Suministro e instalacion cortacircuito, taco, breaker bipolar  enchufable de 2 x 70 A. Incluye formado de cable, peinada en el tablero y marcación de circuitos según RETIE</t>
  </si>
  <si>
    <t>Suministro e instalacion cortacircuito, taco, breaker bipolar  enchufable de 2 x 90 A. Incluye formado de cable, peinada en el tablero y marcación de circuitos según RETIE</t>
  </si>
  <si>
    <t>Suministro e instalacion cortacircuito, taco, breaker tripolar  enchufable de 3 x 15 A. Incluye formado de cable, peinada en el tablero y marcación de circuitos según RETIE</t>
  </si>
  <si>
    <t>Suministro e instalacion cortacircuito, taco, breaker tripolar  enchufable de 3 x 30 A. Incluye formado de cable, peinada en el tablero y marcación de circuitos según RETIE</t>
  </si>
  <si>
    <t>Suministro e instalacion cortacircuito, taco, breaker tripolar  enchufable de 3 x 40 A. Incluye formado de cable, peinada en el tablero y marcación de circuitos según RETIE</t>
  </si>
  <si>
    <t>Suministro e instalacion cortacircuito, taco, breaker tripolar  enchufable de 3 x 60 A. Incluye formado de cable, peinada en el tablero y marcación de circuitos según RETIE</t>
  </si>
  <si>
    <t>Suministro e instalacion cortacircuito, taco, breaker tripolar  enchufable de 3 x 70 A. Incluye formado de cable, peinada en el tablero y marcación de circuitos según RETIE</t>
  </si>
  <si>
    <t>Suministro e instalacion cortacircuito, taco, breaker tripolar  enchufable de 3 x 90 A. Incluye formado de cable, peinada en el tablero y marcación de circuitos según RETIE</t>
  </si>
  <si>
    <t>Suministro e instalacion cortacircuito, taco, breaker tripolar  enchufable de 3 x 100 A. Incluye formado de cable, peinada en el tablero y marcación de circuitos según RETIE</t>
  </si>
  <si>
    <t>03.03.20</t>
  </si>
  <si>
    <t>Suministro e Instalación totalizador y/o Disyuntor MCCB 3P 100A (Schneider G12E3F100) en Tablero (Incluye Accesorios)</t>
  </si>
  <si>
    <t>Salida interruptor sencillo en interior, tubería EMT ø 3/4" incluye accesorios de fijación a estructura, longitud promedio 4.5 m</t>
  </si>
  <si>
    <t>Bandeja metálica escalera interior rack</t>
  </si>
  <si>
    <t>Base redonda punta de captación en acero (puesta a tierra)</t>
  </si>
  <si>
    <r>
      <t>M</t>
    </r>
    <r>
      <rPr>
        <vertAlign val="superscript"/>
        <sz val="10"/>
        <color rgb="FF000000"/>
        <rFont val="Arial"/>
        <family val="2"/>
        <scheme val="minor"/>
      </rPr>
      <t>3</t>
    </r>
  </si>
  <si>
    <t>Accesorios de montaje (chazos, tornillos)</t>
  </si>
  <si>
    <t>Materiales menores (marcadoresc cintas, amarras, limpiador)</t>
  </si>
  <si>
    <t xml:space="preserve">Herramienta menor (% mano obra) </t>
  </si>
  <si>
    <t>Marcación general tablero (ID panel + advertencia RETIE)</t>
  </si>
  <si>
    <t>Marcación por circuito (etiqueta breaker + directorio)</t>
  </si>
  <si>
    <t>Tablero empotrado trifásico (3ø) tetrafilar, 5H 30 circuitos, con puerta, chapa y espacio para totalizador tipo NTQ  430 T SQ.  Incluye suministro tablero, Instalación empotrada con obra civil básica (regata/nicho y resane), montaje tablero, conexión acometida, barras, tierra/bonding y marcacion. No incluye breakers, totalizador, ramales ni circuitos</t>
  </si>
  <si>
    <t>Tablero sobrepuesto trifásico (3ø) tetrafilar, 5H 12 circuitos, con puerta, chapa y espacio para totalizador tipo NTQ  412 T SQ. Incluye suministro tablero, Instalación sobre muro, conexión acometida, barras, tierra/bonding y marcación. No incluye breakers, totalizador, ramales ni circuitos</t>
  </si>
  <si>
    <t>Tablero empotrado trifásico (3ø) tetrafilar, 5H 12 circuitos, con puerta, chapa y espacio para totalizador tipo NTQ  412 T SQ. Incluye suministro tablero, Instalación empotrada con obra civil básica (regata/nicho y resane), montaje tablero, conexión acometida, barras, tierra/bonding y marcación. No incluye breakers, totalizador, ramales ni circuitos</t>
  </si>
  <si>
    <t>Tablero sobrepuesto bifasico (2ø) trifilar, 4H 12 circuitos, con puerta tipo TQ CP 12 SQ. Incluye: Montaje directo en muro, conexión acometida, barras, tierra/bonding, neutro y marcación. No incluye breakers ni circuitos ramales</t>
  </si>
  <si>
    <t>Tablero empotrado bifasico (2ø) trifilar, 4H 12 circuitos, con puerta tipo TQ CP 12 SQ. Incluye: Suministro tablero, instalación empotrada con obra civil básica (regata/nicho y resane), montaje tablero, conexión acometida, barras, tierra/bonding, neutro y marcación. No incluye breakers ramales ni circuitos</t>
  </si>
  <si>
    <t>Tablero sobreponer trifásico (3ø) tetrafilar, 5H 30 circuitos, con puerta, chapa y espacio para totalizador tipo NTQ  430 T SQ.  Incluye suministro tablero, instalación sobre muro, conexión acometida, barras, tierra/bonding y marcación. No incluye breakers, totalizador, ramales ni circuitos</t>
  </si>
  <si>
    <t>Tablero empotrado trifásico (3ø) tetrafilar, 5H 36 circuitos, con puerta, chapa y espacio para totalizador tipo NTQ  436 T SQ. Incluye suministro tablero, Instalación empotrada con obra civil básica (regata/nicho y resane), montaje tablero, conexión acometida, barras, tierra/bonding y marcación. No incluye breakers, totalizador, ramales ni circuitos</t>
  </si>
  <si>
    <t>Tablero sobreponer trifásico (3ø) tetrafilar, 5H 36 circuitos, con puerta, chapa y espacio para totalizador tipo NTQ  436 T SQ. Incluye suministro tablero, Instalación sobre muro, montaje tablero, conexión acometida, barras, tierra/bonding y marcación. No incluye breakers, totalizador, ramales ni circuitos</t>
  </si>
  <si>
    <t>Tablero empotrado trifásico (3ø) tetrafilar, 5H 42 circuitos, con puerta, chapa y espacio para totalizador tipo NTQ 442 T SQ. Incluye suministro tablero, Instalación empotrada con obra civil básica (regata/nicho y resane), montaje tablero, conexión acometida, barras, tierra/bonding y marcación. No incluye breakers, totalizador, ramales ni circuitos</t>
  </si>
  <si>
    <t>Tablero empotrado trifásico (3ø) tetrafilar, 5H 18 circuitos, con puerta, chapa y espacio para totalizador tipo NTQ 418 T SQ. Incluye suministro tablero, Instalación empotrada con obra civil básica (regata/nicho y resane), montaje tablero, conexión acometida, barras, tierra/bonding y marcación. No incluye breakers, totalizador, ramales ni circuitos</t>
  </si>
  <si>
    <t>Tablero sobreponer trifásico (3ø) tetrafilar, 5H 18 circuitos, con puerta, chapa y espacio para totalizador tipo NTQ 418 T SQ. Incluye suministro tablero, Instalación sobre muro, montaje tablero, conexión acometida, barras, tierra/bonding y marcación. No incluye breakers, totalizador, ramales ni circuitos</t>
  </si>
  <si>
    <t>Suministro e instalacion cortacircuito, taco, breaker monopolar  enchufable de 1 x 20 A. Incluye formado de cable, peinada en el tablero y marcación de circuitos según RETIE</t>
  </si>
  <si>
    <t>Suministro e instalacion cortacircuito, taco, breaker monopolar  enchufable de 1 x 15 A. Incluye formado de cable, peinada en el tablero y marcación de circuitos según RETIE.</t>
  </si>
  <si>
    <t>Amarre plástico 10 cm bolsa tipo DEXON</t>
  </si>
  <si>
    <t>Suministro e instalacion cortacircuito, taco, breaker monopolar  enchufable de 1 x 40 A. Incluye formado de cable, peinada en el tablero y marcación de circuitos según RETIE</t>
  </si>
  <si>
    <t>Suministro e instalacion cortacircuito, taco, breaker monopolar  enchufable de 1 x 60 A. Incluye formado de cable, peinada en el tablero y marcación de circuitos según RETIE</t>
  </si>
  <si>
    <t>Suministro e instalacion cortacircuito, taco, breaker monopolar  enchufable de 1 x 70 A. Incluye formado de cable, peinada en el tablero y marcación de circuitos según RETIE</t>
  </si>
  <si>
    <t>Suministro e instalacion cortacircuito, taco, breaker monopolar  enchufable de 1 x 50 A. Incluye formado de cable, peinada en el tablero y marcación de circuitos según RETIE</t>
  </si>
  <si>
    <t>Borna ponchar hasta calibre 2 AWG estañada cobre barril largo ojo 5-16 T11BL1E2C</t>
  </si>
  <si>
    <t>Suministro e instalacion cortacircuito, taco, breaker monopolar  enchufable de 1 x 90 A. Incluye formado de cable, peinada en el tablero y marcación de circuitos según RETIE</t>
  </si>
  <si>
    <r>
      <t xml:space="preserve">Piso exterior mate color gris, de diseño rústico, lavra o similar superficies menos deslizantes de </t>
    </r>
    <r>
      <rPr>
        <sz val="10"/>
        <rFont val="Calibri"/>
        <family val="2"/>
      </rPr>
      <t>±</t>
    </r>
    <r>
      <rPr>
        <sz val="10"/>
        <rFont val="Arial"/>
        <family val="2"/>
      </rPr>
      <t xml:space="preserve"> 33.8 x 33.8 cm</t>
    </r>
  </si>
  <si>
    <t>Piso exterior mate color gris, de diseño rústico, lavra o similar superficies menos deslizantes de ± 33.8 x 33.8 cm</t>
  </si>
  <si>
    <t>Suministro e instalacion cortacircuito, taco, breaker monopolar  enchufable de 1 x 100 A. Incluye formado de cable, peinada en el tablero y marcación de circuitos según RETIE</t>
  </si>
  <si>
    <t>Interruptor industrial 3 x 60 A - 25 K Amp 240 V</t>
  </si>
  <si>
    <t>Interruptor industrial 3 x 100 A - 25 K Amp 240 V</t>
  </si>
  <si>
    <t>Suministro e instalacion cortacircuito, taco, breaker bipolar  enchufable de 2 x 20 A. Incluye formado de cable, peinada en el tablero y marcación de circuitos según RETIE</t>
  </si>
  <si>
    <t>Suministro e instalacion cortacircuito, taco, breaker bipolar  enchufable de 2 x 30 A. Incluye formado de cable, peinada en el tablero y marcación de circuitos según RETIE</t>
  </si>
  <si>
    <t>Suministro e instalacion cortacircuito, taco, breaker bipolar  enchufable de 2 x 40 A. Incluye formado de cable, peinada en el tablero y marcación de circuitos según RETIE</t>
  </si>
  <si>
    <t>Suministro e instalacion cortacircuito, taco, breaker bipolar enchufable de 2 x 100 A. Incluye formado de cable, peinada en el tablero y marcación de circuitos según RETIE</t>
  </si>
  <si>
    <t>Interruptor industrial 3 x 80 A - 25 K Amp 240 V</t>
  </si>
  <si>
    <t>03.03.21</t>
  </si>
  <si>
    <t>03.03.22</t>
  </si>
  <si>
    <t>03.03.23</t>
  </si>
  <si>
    <t>03.03.24</t>
  </si>
  <si>
    <t>03.03.25</t>
  </si>
  <si>
    <t>03.03.26</t>
  </si>
  <si>
    <t>03.03.27</t>
  </si>
  <si>
    <t>03.03.28</t>
  </si>
  <si>
    <t>03.03.29</t>
  </si>
  <si>
    <t>03.03.30</t>
  </si>
  <si>
    <t>03.03.31</t>
  </si>
  <si>
    <t>03.03.32</t>
  </si>
  <si>
    <t>03.03.33</t>
  </si>
  <si>
    <t>03.03.34</t>
  </si>
  <si>
    <t>03.03.35</t>
  </si>
  <si>
    <t>03.03.36</t>
  </si>
  <si>
    <t>03.03.37</t>
  </si>
  <si>
    <t>03.03.38</t>
  </si>
  <si>
    <t>03.03.39</t>
  </si>
  <si>
    <t>03.03.40</t>
  </si>
  <si>
    <t>03.03.41</t>
  </si>
  <si>
    <t>03.03.42</t>
  </si>
  <si>
    <t>03.03.43</t>
  </si>
  <si>
    <t>03.03.44</t>
  </si>
  <si>
    <t>03.03.45</t>
  </si>
  <si>
    <t>03.03.46</t>
  </si>
  <si>
    <t>03.03.47</t>
  </si>
  <si>
    <t>03.03.48</t>
  </si>
  <si>
    <t>3-06-12</t>
  </si>
  <si>
    <t>3-06-11</t>
  </si>
  <si>
    <t>3-06-13</t>
  </si>
  <si>
    <t>3-06-14</t>
  </si>
  <si>
    <t>3-06-15</t>
  </si>
  <si>
    <t>3-06-16</t>
  </si>
  <si>
    <t>3-06-17</t>
  </si>
  <si>
    <t>Patch panel de 24 puertos Cat. 6A, Marca Leviton o similar</t>
  </si>
  <si>
    <t>Patch cord 4 pares 6A de 1.5 m (5´)</t>
  </si>
  <si>
    <t>Patch cord 2 pares 6A de 3 m</t>
  </si>
  <si>
    <t>3 - 16 UPS</t>
  </si>
  <si>
    <t>Cable de Cu desnudo 1/0</t>
  </si>
  <si>
    <t>Circuito en cable 3 x 8 HFFR LS</t>
  </si>
  <si>
    <t>3.18-35</t>
  </si>
  <si>
    <t>3.18-36</t>
  </si>
  <si>
    <t>03.18-37</t>
  </si>
  <si>
    <t>Tablero sobreponer trifásico (3ø) tetrafilar, 5H 42 circuitos, con puerta, chapa y espacio para totalizador tipo NTQ 442 T SQ. Incluye suministro tablero, Instalación sobre muro, montaje tablero, conexión acometida, barras, tierra/bonding y marcación. No incluye breakers, totalizador, ramales ni circuitos</t>
  </si>
  <si>
    <t>Levantamiento georreferenciado con dron</t>
  </si>
  <si>
    <t>2-01-23</t>
  </si>
  <si>
    <t>Estuco y pintura con vinilo tipo I muros 3 capas</t>
  </si>
  <si>
    <t>Estuco y pintura cielo raso con vinilo tipo II 3 capas</t>
  </si>
  <si>
    <t>Pintura exteriores (koraza o similar) 2 capas obra nueva</t>
  </si>
  <si>
    <t>Pintura exteriores (koraza o similar) 2 capas repinte</t>
  </si>
  <si>
    <t>Pintura con vinilo tipo I, incluye dilataciones y filos 2 capas</t>
  </si>
  <si>
    <t>Pintura cielo raso con vinilo tipo II 2 capas</t>
  </si>
  <si>
    <t>Pintura con barniz 2 capas</t>
  </si>
  <si>
    <t>Pintura y resane vinilo tipo I 2 capas</t>
  </si>
  <si>
    <t>Pintura y resane con vinilo tipo II cielo raso, incluye dilataciones y filos 2 capas</t>
  </si>
  <si>
    <t>Pintura transparente protectora de fachadas para muro en bloques o ladrillo, incluye filos y dilataciones 2 capas</t>
  </si>
  <si>
    <t>Los presente análisis incluyen para la mano de obra los ítems de salud e I.C.B.F., será responsabilidad del Evaluador mantenerlos o suprimirlos según la normatividad existente vigente y el caso particular en donde se aplicarán.</t>
  </si>
  <si>
    <r>
      <t xml:space="preserve">Caja para medidor de energía de </t>
    </r>
    <r>
      <rPr>
        <sz val="10"/>
        <color rgb="FF003399"/>
        <rFont val="Calibri"/>
        <family val="2"/>
      </rPr>
      <t>±</t>
    </r>
    <r>
      <rPr>
        <sz val="10"/>
        <color rgb="FF003399"/>
        <rFont val="Arial"/>
        <family val="2"/>
      </rPr>
      <t xml:space="preserve"> 60 x 40 x 25 cm, en lámina CR calibre 18 o 20, con dispositivo de corte, de acuerdo a norma del OR</t>
    </r>
  </si>
  <si>
    <t>Materiales para construcción, vías y elécticos</t>
  </si>
  <si>
    <t>Solo materiales eléctricos</t>
  </si>
  <si>
    <r>
      <t xml:space="preserve">Molde en poliuretano de </t>
    </r>
    <r>
      <rPr>
        <sz val="10"/>
        <rFont val="Calibri"/>
        <family val="2"/>
      </rPr>
      <t>±</t>
    </r>
    <r>
      <rPr>
        <sz val="8.6999999999999993"/>
        <rFont val="Arial"/>
        <family val="2"/>
      </rPr>
      <t xml:space="preserve"> </t>
    </r>
    <r>
      <rPr>
        <sz val="10"/>
        <rFont val="Arial"/>
        <family val="2"/>
      </rPr>
      <t>0,60 x 0,60 m</t>
    </r>
  </si>
  <si>
    <t>Equipo dron LIDAR o similar con GNSS doble fecuencia, incluye levantamiento de nube de datos georreferenciados a vétices del IGAC, procesamiento de información en sotfware fotogramétrico especializado, en coordenadas MAGNA-SIRGAS para los siguientes entregables: Informe de procesamiento, superficie clasificada ortomosaicos en formato DWG tanto de terreno como de superficie y RGB, curvas de nivel - model digital del terreno (DTM), planos. Incluye un Ingeniero Coordinador del levantamiento, piloto certificado del dron, Auxiliar y/o Dibujante Topográfico cumpliendo toda su cargas prestacional, desplazamientos, registro fotográfico, mínimo 1 hectarea y 4 puntos de control</t>
  </si>
  <si>
    <t>(Dos salarios mínimos)</t>
  </si>
  <si>
    <t>IMPORTANTE: Los presentes precios unitarios de referencia fueron calculados en la ciudad de Pereira (zona urbana), por tanto deben ser modificados (incrementados) para las áreas rurales de los municipios de Pereira, Dosquebradas y La Virginia y en las áreas urbanas y rurales de los demás municipios, según el caso. Por estar basados en precios del mercado están sujetos a las variaciones del mismo, las cuales se aplicarán sin previo aviso. Pueden presentar inconsistencias, que se corregirán en el momento de ser detectadas.</t>
  </si>
  <si>
    <t>De todos los Ítems posibles se ha suprimido el transporte de materiales, por tanto el evaluador deberá considerarlo como ítems aparte en cada evaluación o cotización. Por favor leer la Introducción.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</si>
</sst>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2" formatCode="_-&quot;$&quot;* #,##0_-;\-&quot;$&quot;* #,##0_-;_-&quot;$&quot;* &quot;-&quot;_-;_-@_-"/>
    <numFmt numFmtId="41" formatCode="_-* #,##0_-;\-* #,##0_-;_-* &quot;-&quot;_-;_-@_-"/>
    <numFmt numFmtId="44" formatCode="_-&quot;$&quot;* #,##0.00_-;\-&quot;$&quot;* #,##0.00_-;_-&quot;$&quot;* &quot;-&quot;??_-;_-@_-"/>
    <numFmt numFmtId="164" formatCode="_-&quot;$&quot;\ * #,##0.00_-;\-&quot;$&quot;\ * #,##0.00_-;_-&quot;$&quot;\ * &quot;-&quot;??_-;_-@_-"/>
    <numFmt numFmtId="165" formatCode="_(* #,##0.00_);_(* \(#,##0.00\);_(* &quot;-&quot;??_);_(@_)"/>
    <numFmt numFmtId="166" formatCode="_-* #,##0.00\ _€_-;\-* #,##0.00\ _€_-;_-* &quot;-&quot;??\ _€_-;_-@_-"/>
    <numFmt numFmtId="167" formatCode="#,##0.000"/>
    <numFmt numFmtId="168" formatCode="_ &quot;$&quot;\ * #,##0_ ;_ &quot;$&quot;\ * \-#,##0_ ;_ &quot;$&quot;\ * &quot;-&quot;??_ ;_ @_ "/>
    <numFmt numFmtId="169" formatCode="#,##0_ ;\-#,##0\ "/>
    <numFmt numFmtId="170" formatCode="_-* #,##0.000\ _€_-;\-* #,##0.000\ _€_-;_-* &quot;-&quot;??\ _€_-;_-@_-"/>
    <numFmt numFmtId="171" formatCode="#,##0.000;\-#,##0.000"/>
    <numFmt numFmtId="172" formatCode="_-&quot;$&quot;* #,##0.000_-;\-&quot;$&quot;* #,##0.000_-;_-&quot;$&quot;* &quot;-&quot;_-;_-@_-"/>
  </numFmts>
  <fonts count="96" x14ac:knownFonts="1">
    <font>
      <sz val="9"/>
      <color theme="1"/>
      <name val="Arial"/>
      <family val="2"/>
    </font>
    <font>
      <sz val="11"/>
      <color theme="1"/>
      <name val="Arial"/>
      <family val="2"/>
      <scheme val="minor"/>
    </font>
    <font>
      <sz val="11"/>
      <color theme="1"/>
      <name val="Arial"/>
      <family val="2"/>
      <scheme val="minor"/>
    </font>
    <font>
      <sz val="10"/>
      <name val="Arial"/>
      <family val="2"/>
    </font>
    <font>
      <b/>
      <sz val="10"/>
      <name val="Arial"/>
      <family val="2"/>
    </font>
    <font>
      <vertAlign val="superscript"/>
      <sz val="10"/>
      <name val="Arial"/>
      <family val="2"/>
    </font>
    <font>
      <b/>
      <vertAlign val="superscript"/>
      <sz val="10"/>
      <name val="Arial"/>
      <family val="2"/>
    </font>
    <font>
      <sz val="12"/>
      <name val="Arial"/>
      <family val="2"/>
    </font>
    <font>
      <b/>
      <sz val="10"/>
      <color indexed="8"/>
      <name val="Arial"/>
      <family val="2"/>
    </font>
    <font>
      <sz val="10"/>
      <color indexed="8"/>
      <name val="Arial"/>
      <family val="2"/>
    </font>
    <font>
      <vertAlign val="superscript"/>
      <sz val="10"/>
      <color indexed="8"/>
      <name val="Arial"/>
      <family val="2"/>
    </font>
    <font>
      <sz val="9"/>
      <color indexed="8"/>
      <name val="Arial"/>
      <family val="2"/>
    </font>
    <font>
      <b/>
      <sz val="18"/>
      <color indexed="8"/>
      <name val="Arial"/>
      <family val="2"/>
    </font>
    <font>
      <b/>
      <sz val="9"/>
      <color indexed="9"/>
      <name val="Arial"/>
      <family val="2"/>
    </font>
    <font>
      <sz val="10"/>
      <color indexed="8"/>
      <name val="Arial"/>
      <family val="2"/>
    </font>
    <font>
      <b/>
      <sz val="9"/>
      <color indexed="8"/>
      <name val="Arial"/>
      <family val="2"/>
    </font>
    <font>
      <b/>
      <sz val="9"/>
      <name val="Arial"/>
      <family val="2"/>
    </font>
    <font>
      <sz val="12"/>
      <name val="Arial"/>
      <family val="2"/>
    </font>
    <font>
      <b/>
      <sz val="12"/>
      <name val="Arial"/>
      <family val="2"/>
    </font>
    <font>
      <sz val="12"/>
      <color indexed="8"/>
      <name val="Arial"/>
      <family val="2"/>
    </font>
    <font>
      <b/>
      <sz val="14"/>
      <name val="Arial"/>
      <family val="2"/>
    </font>
    <font>
      <sz val="12"/>
      <color indexed="9"/>
      <name val="Arial"/>
      <family val="2"/>
    </font>
    <font>
      <sz val="9"/>
      <name val="Arial"/>
      <family val="2"/>
    </font>
    <font>
      <b/>
      <sz val="10"/>
      <color indexed="9"/>
      <name val="Arial"/>
      <family val="2"/>
    </font>
    <font>
      <sz val="20"/>
      <color indexed="8"/>
      <name val="Arial Black"/>
      <family val="2"/>
    </font>
    <font>
      <b/>
      <sz val="10"/>
      <color indexed="10"/>
      <name val="Arial"/>
      <family val="2"/>
    </font>
    <font>
      <sz val="8"/>
      <name val="Arial"/>
      <family val="2"/>
    </font>
    <font>
      <sz val="11"/>
      <color theme="0"/>
      <name val="Arial"/>
      <family val="2"/>
    </font>
    <font>
      <sz val="9"/>
      <color theme="1"/>
      <name val="Arial"/>
      <family val="2"/>
    </font>
    <font>
      <sz val="28"/>
      <color theme="0"/>
      <name val="Arial Black"/>
      <family val="2"/>
    </font>
    <font>
      <b/>
      <sz val="10"/>
      <color theme="4" tint="0.39994506668294322"/>
      <name val="Arial"/>
      <family val="2"/>
    </font>
    <font>
      <b/>
      <sz val="10"/>
      <color theme="0"/>
      <name val="Arial"/>
      <family val="2"/>
    </font>
    <font>
      <b/>
      <sz val="11"/>
      <name val="Arial"/>
      <family val="2"/>
    </font>
    <font>
      <sz val="11"/>
      <name val="Arial"/>
      <family val="2"/>
    </font>
    <font>
      <b/>
      <sz val="9"/>
      <color theme="0"/>
      <name val="Arial"/>
      <family val="2"/>
    </font>
    <font>
      <b/>
      <sz val="18"/>
      <color theme="0"/>
      <name val="Arial"/>
      <family val="2"/>
    </font>
    <font>
      <sz val="9"/>
      <color theme="0"/>
      <name val="Arial"/>
      <family val="2"/>
    </font>
    <font>
      <sz val="10"/>
      <color theme="1"/>
      <name val="Arial"/>
      <family val="2"/>
    </font>
    <font>
      <sz val="11"/>
      <color indexed="8"/>
      <name val="Arial"/>
      <family val="2"/>
    </font>
    <font>
      <sz val="10"/>
      <color indexed="8"/>
      <name val="Arial Black"/>
      <family val="2"/>
    </font>
    <font>
      <b/>
      <sz val="11"/>
      <color indexed="8"/>
      <name val="Arial"/>
      <family val="2"/>
    </font>
    <font>
      <sz val="11"/>
      <color theme="1"/>
      <name val="Arial"/>
      <family val="2"/>
    </font>
    <font>
      <b/>
      <sz val="10"/>
      <color theme="0"/>
      <name val="Arial"/>
      <family val="2"/>
      <scheme val="minor"/>
    </font>
    <font>
      <sz val="10"/>
      <color theme="1"/>
      <name val="Arial"/>
      <family val="2"/>
      <scheme val="minor"/>
    </font>
    <font>
      <b/>
      <sz val="10"/>
      <color indexed="8"/>
      <name val="Arial"/>
      <family val="2"/>
      <scheme val="minor"/>
    </font>
    <font>
      <vertAlign val="superscript"/>
      <sz val="10"/>
      <name val="Arial"/>
      <family val="2"/>
      <scheme val="minor"/>
    </font>
    <font>
      <sz val="10"/>
      <name val="Arial"/>
      <family val="2"/>
      <scheme val="minor"/>
    </font>
    <font>
      <b/>
      <sz val="10"/>
      <color indexed="9"/>
      <name val="Arial"/>
      <family val="2"/>
      <scheme val="minor"/>
    </font>
    <font>
      <sz val="20"/>
      <color theme="0"/>
      <name val="Arial Black"/>
      <family val="2"/>
    </font>
    <font>
      <b/>
      <sz val="11"/>
      <color indexed="8"/>
      <name val="Arial"/>
      <family val="2"/>
      <scheme val="minor"/>
    </font>
    <font>
      <sz val="11"/>
      <color indexed="8"/>
      <name val="Arial"/>
      <family val="2"/>
      <scheme val="minor"/>
    </font>
    <font>
      <sz val="9"/>
      <color theme="1"/>
      <name val="Arial"/>
      <family val="2"/>
      <scheme val="minor"/>
    </font>
    <font>
      <b/>
      <sz val="11"/>
      <color indexed="9"/>
      <name val="Arial"/>
      <family val="2"/>
      <scheme val="minor"/>
    </font>
    <font>
      <sz val="10"/>
      <color indexed="8"/>
      <name val="Arial"/>
      <family val="2"/>
      <scheme val="minor"/>
    </font>
    <font>
      <vertAlign val="superscript"/>
      <sz val="10"/>
      <color indexed="8"/>
      <name val="Arial"/>
      <family val="2"/>
      <scheme val="minor"/>
    </font>
    <font>
      <sz val="9"/>
      <color indexed="81"/>
      <name val="Tahoma"/>
      <family val="2"/>
    </font>
    <font>
      <b/>
      <sz val="9"/>
      <color indexed="81"/>
      <name val="Tahoma"/>
      <family val="2"/>
    </font>
    <font>
      <b/>
      <vertAlign val="superscript"/>
      <sz val="11"/>
      <color indexed="8"/>
      <name val="Arial"/>
      <family val="2"/>
      <scheme val="minor"/>
    </font>
    <font>
      <b/>
      <sz val="11"/>
      <name val="Arial"/>
      <family val="2"/>
      <scheme val="minor"/>
    </font>
    <font>
      <b/>
      <sz val="11"/>
      <color theme="1"/>
      <name val="Arial"/>
      <family val="2"/>
    </font>
    <font>
      <b/>
      <sz val="11"/>
      <color rgb="FFFF0000"/>
      <name val="Arial"/>
      <family val="2"/>
    </font>
    <font>
      <sz val="11"/>
      <name val="Arial"/>
      <family val="2"/>
      <scheme val="minor"/>
    </font>
    <font>
      <sz val="10"/>
      <name val="Calibri"/>
      <family val="2"/>
    </font>
    <font>
      <b/>
      <vertAlign val="superscript"/>
      <sz val="11"/>
      <name val="Arial"/>
      <family val="2"/>
    </font>
    <font>
      <b/>
      <vertAlign val="superscript"/>
      <sz val="11"/>
      <color indexed="8"/>
      <name val="Arial"/>
      <family val="2"/>
    </font>
    <font>
      <sz val="10"/>
      <color theme="0"/>
      <name val="Arial"/>
      <family val="2"/>
    </font>
    <font>
      <b/>
      <sz val="11"/>
      <name val="Calibri"/>
      <family val="2"/>
    </font>
    <font>
      <b/>
      <sz val="9.9"/>
      <name val="Arial"/>
      <family val="2"/>
    </font>
    <font>
      <b/>
      <sz val="11"/>
      <color rgb="FF0070C0"/>
      <name val="Arial"/>
      <family val="2"/>
    </font>
    <font>
      <b/>
      <u/>
      <sz val="11"/>
      <name val="Arial"/>
      <family val="2"/>
    </font>
    <font>
      <b/>
      <sz val="11"/>
      <color indexed="8"/>
      <name val="Calibri"/>
      <family val="2"/>
    </font>
    <font>
      <b/>
      <sz val="10.9"/>
      <color indexed="8"/>
      <name val="Arial"/>
      <family val="2"/>
    </font>
    <font>
      <sz val="10"/>
      <color rgb="FF00B050"/>
      <name val="Arial"/>
      <family val="2"/>
    </font>
    <font>
      <sz val="9.9"/>
      <name val="Arial"/>
      <family val="2"/>
    </font>
    <font>
      <sz val="10"/>
      <color rgb="FF003399"/>
      <name val="Arial"/>
      <family val="2"/>
    </font>
    <font>
      <sz val="10"/>
      <color rgb="FFFF00FF"/>
      <name val="Arial"/>
      <family val="2"/>
      <scheme val="minor"/>
    </font>
    <font>
      <vertAlign val="superscript"/>
      <sz val="10"/>
      <color rgb="FF000000"/>
      <name val="Arial"/>
      <family val="2"/>
    </font>
    <font>
      <sz val="8.6999999999999993"/>
      <name val="Arial"/>
      <family val="2"/>
    </font>
    <font>
      <sz val="7.8"/>
      <name val="Arial"/>
      <family val="2"/>
    </font>
    <font>
      <sz val="9"/>
      <color rgb="FFFF0000"/>
      <name val="Arial"/>
      <family val="2"/>
    </font>
    <font>
      <sz val="12"/>
      <color rgb="FFFF0000"/>
      <name val="Arial"/>
      <family val="2"/>
    </font>
    <font>
      <sz val="9.6"/>
      <name val="Arial"/>
      <family val="2"/>
    </font>
    <font>
      <vertAlign val="superscript"/>
      <sz val="10"/>
      <color rgb="FF000000"/>
      <name val="Arial"/>
      <family val="2"/>
      <scheme val="minor"/>
    </font>
    <font>
      <b/>
      <sz val="10"/>
      <name val="Arial"/>
      <family val="2"/>
      <scheme val="minor"/>
    </font>
    <font>
      <sz val="10"/>
      <color rgb="FF003399"/>
      <name val="Arial"/>
      <family val="2"/>
      <scheme val="minor"/>
    </font>
    <font>
      <sz val="10"/>
      <color rgb="FF003399"/>
      <name val="Calibri"/>
      <family val="2"/>
    </font>
    <font>
      <sz val="6"/>
      <color theme="1"/>
      <name val="Arial"/>
      <family val="2"/>
    </font>
    <font>
      <sz val="6"/>
      <color indexed="8"/>
      <name val="Arial"/>
      <family val="2"/>
    </font>
    <font>
      <b/>
      <sz val="6"/>
      <name val="Arial"/>
      <family val="2"/>
    </font>
    <font>
      <sz val="6"/>
      <name val="Arial"/>
      <family val="2"/>
    </font>
    <font>
      <sz val="6"/>
      <color theme="0"/>
      <name val="Arial"/>
      <family val="2"/>
    </font>
    <font>
      <sz val="6"/>
      <color theme="5" tint="-0.499984740745262"/>
      <name val="Arial"/>
      <family val="2"/>
    </font>
    <font>
      <b/>
      <sz val="6"/>
      <color indexed="8"/>
      <name val="Arial"/>
      <family val="2"/>
    </font>
    <font>
      <b/>
      <sz val="6"/>
      <color indexed="8"/>
      <name val="Arial"/>
      <family val="2"/>
      <scheme val="minor"/>
    </font>
    <font>
      <sz val="6"/>
      <color theme="1"/>
      <name val="Arial"/>
      <family val="2"/>
      <scheme val="minor"/>
    </font>
    <font>
      <sz val="6"/>
      <color indexed="8"/>
      <name val="Arial"/>
      <family val="2"/>
      <scheme val="minor"/>
    </font>
  </fonts>
  <fills count="23">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10"/>
        <bgColor indexed="64"/>
      </patternFill>
    </fill>
    <fill>
      <patternFill patternType="solid">
        <fgColor indexed="57"/>
        <bgColor indexed="64"/>
      </patternFill>
    </fill>
    <fill>
      <patternFill patternType="solid">
        <fgColor indexed="25"/>
        <bgColor indexed="64"/>
      </patternFill>
    </fill>
    <fill>
      <patternFill patternType="solid">
        <fgColor indexed="56"/>
        <bgColor indexed="64"/>
      </patternFill>
    </fill>
    <fill>
      <patternFill patternType="solid">
        <fgColor indexed="17"/>
        <bgColor indexed="64"/>
      </patternFill>
    </fill>
    <fill>
      <patternFill patternType="solid">
        <fgColor theme="6"/>
      </patternFill>
    </fill>
    <fill>
      <patternFill patternType="solid">
        <fgColor theme="7"/>
      </patternFill>
    </fill>
    <fill>
      <patternFill patternType="solid">
        <fgColor theme="1" tint="0.24994659260841701"/>
        <bgColor indexed="64"/>
      </patternFill>
    </fill>
    <fill>
      <patternFill patternType="solid">
        <fgColor theme="0"/>
        <bgColor indexed="64"/>
      </patternFill>
    </fill>
    <fill>
      <patternFill patternType="solid">
        <fgColor rgb="FFFF0000"/>
        <bgColor indexed="64"/>
      </patternFill>
    </fill>
    <fill>
      <patternFill patternType="solid">
        <fgColor rgb="FF00B050"/>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rgb="FF993366"/>
        <bgColor indexed="64"/>
      </patternFill>
    </fill>
    <fill>
      <patternFill patternType="solid">
        <fgColor theme="1"/>
        <bgColor indexed="64"/>
      </patternFill>
    </fill>
    <fill>
      <patternFill patternType="solid">
        <fgColor theme="4" tint="0.59999389629810485"/>
        <bgColor indexed="64"/>
      </patternFill>
    </fill>
    <fill>
      <patternFill patternType="solid">
        <fgColor rgb="FF002060"/>
        <bgColor indexed="64"/>
      </patternFill>
    </fill>
    <fill>
      <patternFill patternType="solid">
        <fgColor theme="3"/>
        <bgColor indexed="64"/>
      </patternFill>
    </fill>
    <fill>
      <patternFill patternType="solid">
        <fgColor rgb="FF003399"/>
        <bgColor indexed="64"/>
      </patternFill>
    </fill>
  </fills>
  <borders count="57">
    <border>
      <left/>
      <right/>
      <top/>
      <bottom/>
      <diagonal/>
    </border>
    <border>
      <left style="thick">
        <color auto="1"/>
      </left>
      <right/>
      <top/>
      <bottom/>
      <diagonal/>
    </border>
    <border>
      <left/>
      <right/>
      <top style="thin">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style="medium">
        <color auto="1"/>
      </bottom>
      <diagonal/>
    </border>
    <border>
      <left/>
      <right/>
      <top style="thick">
        <color indexed="9"/>
      </top>
      <bottom style="thick">
        <color indexed="9"/>
      </bottom>
      <diagonal/>
    </border>
    <border>
      <left/>
      <right/>
      <top/>
      <bottom style="thick">
        <color indexed="9"/>
      </bottom>
      <diagonal/>
    </border>
    <border>
      <left/>
      <right/>
      <top style="thick">
        <color indexed="9"/>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thin">
        <color auto="1"/>
      </bottom>
      <diagonal/>
    </border>
    <border>
      <left style="thin">
        <color auto="1"/>
      </left>
      <right style="thin">
        <color auto="1"/>
      </right>
      <top/>
      <bottom/>
      <diagonal/>
    </border>
    <border>
      <left/>
      <right/>
      <top style="medium">
        <color auto="1"/>
      </top>
      <bottom/>
      <diagonal/>
    </border>
    <border>
      <left style="medium">
        <color indexed="64"/>
      </left>
      <right/>
      <top style="medium">
        <color indexed="64"/>
      </top>
      <bottom/>
      <diagonal/>
    </border>
    <border>
      <left/>
      <right style="medium">
        <color indexed="64"/>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style="thin">
        <color indexed="64"/>
      </right>
      <top/>
      <bottom/>
      <diagonal/>
    </border>
    <border>
      <left style="medium">
        <color indexed="64"/>
      </left>
      <right/>
      <top/>
      <bottom/>
      <diagonal/>
    </border>
    <border>
      <left/>
      <right style="thin">
        <color auto="1"/>
      </right>
      <top style="thin">
        <color auto="1"/>
      </top>
      <bottom/>
      <diagonal/>
    </border>
    <border>
      <left/>
      <right style="thin">
        <color auto="1"/>
      </right>
      <top/>
      <bottom style="thin">
        <color auto="1"/>
      </bottom>
      <diagonal/>
    </border>
    <border>
      <left/>
      <right style="medium">
        <color indexed="64"/>
      </right>
      <top/>
      <bottom/>
      <diagonal/>
    </border>
    <border>
      <left/>
      <right/>
      <top/>
      <bottom style="medium">
        <color auto="1"/>
      </bottom>
      <diagonal/>
    </border>
    <border>
      <left/>
      <right style="medium">
        <color auto="1"/>
      </right>
      <top/>
      <bottom style="medium">
        <color auto="1"/>
      </bottom>
      <diagonal/>
    </border>
    <border>
      <left style="medium">
        <color indexed="64"/>
      </left>
      <right/>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style="medium">
        <color indexed="64"/>
      </left>
      <right style="thin">
        <color indexed="64"/>
      </right>
      <top/>
      <bottom style="medium">
        <color indexed="64"/>
      </bottom>
      <diagonal/>
    </border>
    <border>
      <left style="medium">
        <color auto="1"/>
      </left>
      <right/>
      <top/>
      <bottom style="thick">
        <color indexed="9"/>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right style="thin">
        <color auto="1"/>
      </right>
      <top/>
      <bottom style="medium">
        <color auto="1"/>
      </bottom>
      <diagonal/>
    </border>
    <border>
      <left/>
      <right style="thin">
        <color auto="1"/>
      </right>
      <top style="medium">
        <color auto="1"/>
      </top>
      <bottom/>
      <diagonal/>
    </border>
    <border>
      <left/>
      <right style="thin">
        <color auto="1"/>
      </right>
      <top style="thick">
        <color indexed="9"/>
      </top>
      <bottom style="thick">
        <color indexed="9"/>
      </bottom>
      <diagonal/>
    </border>
    <border>
      <left/>
      <right style="thin">
        <color auto="1"/>
      </right>
      <top style="thick">
        <color indexed="9"/>
      </top>
      <bottom style="medium">
        <color auto="1"/>
      </bottom>
      <diagonal/>
    </border>
    <border>
      <left/>
      <right style="thin">
        <color indexed="64"/>
      </right>
      <top/>
      <bottom style="medium">
        <color indexed="23"/>
      </bottom>
      <diagonal/>
    </border>
    <border>
      <left style="medium">
        <color indexed="64"/>
      </left>
      <right/>
      <top/>
      <bottom style="medium">
        <color indexed="64"/>
      </bottom>
      <diagonal/>
    </border>
    <border>
      <left/>
      <right/>
      <top/>
      <bottom style="medium">
        <color indexed="23"/>
      </bottom>
      <diagonal/>
    </border>
    <border>
      <left/>
      <right/>
      <top/>
      <bottom style="medium">
        <color indexed="64"/>
      </bottom>
      <diagonal/>
    </border>
    <border>
      <left/>
      <right style="medium">
        <color auto="1"/>
      </right>
      <top/>
      <bottom style="medium">
        <color indexed="64"/>
      </bottom>
      <diagonal/>
    </border>
    <border>
      <left/>
      <right style="thin">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top style="thick">
        <color auto="1"/>
      </top>
      <bottom/>
      <diagonal/>
    </border>
    <border>
      <left style="thin">
        <color auto="1"/>
      </left>
      <right style="medium">
        <color auto="1"/>
      </right>
      <top/>
      <bottom/>
      <diagonal/>
    </border>
    <border>
      <left style="thin">
        <color auto="1"/>
      </left>
      <right/>
      <top/>
      <bottom/>
      <diagonal/>
    </border>
    <border>
      <left style="thin">
        <color indexed="64"/>
      </left>
      <right/>
      <top/>
      <bottom style="medium">
        <color indexed="64"/>
      </bottom>
      <diagonal/>
    </border>
    <border>
      <left style="thin">
        <color auto="1"/>
      </left>
      <right/>
      <top style="thin">
        <color auto="1"/>
      </top>
      <bottom/>
      <diagonal/>
    </border>
    <border>
      <left style="thin">
        <color auto="1"/>
      </left>
      <right/>
      <top/>
      <bottom style="thin">
        <color auto="1"/>
      </bottom>
      <diagonal/>
    </border>
    <border>
      <left style="thin">
        <color auto="1"/>
      </left>
      <right/>
      <top style="medium">
        <color auto="1"/>
      </top>
      <bottom/>
      <diagonal/>
    </border>
    <border>
      <left style="thin">
        <color indexed="64"/>
      </left>
      <right style="thin">
        <color indexed="64"/>
      </right>
      <top/>
      <bottom style="thick">
        <color indexed="64"/>
      </bottom>
      <diagonal/>
    </border>
    <border>
      <left/>
      <right/>
      <top/>
      <bottom style="thick">
        <color indexed="64"/>
      </bottom>
      <diagonal/>
    </border>
    <border>
      <left style="thin">
        <color indexed="64"/>
      </left>
      <right/>
      <top style="thick">
        <color indexed="9"/>
      </top>
      <bottom style="thick">
        <color indexed="9"/>
      </bottom>
      <diagonal/>
    </border>
  </borders>
  <cellStyleXfs count="22">
    <xf numFmtId="0" fontId="0" fillId="0" borderId="0">
      <alignment vertical="center"/>
    </xf>
    <xf numFmtId="0" fontId="27" fillId="9" borderId="0" applyNumberFormat="0" applyBorder="0" applyAlignment="0" applyProtection="0"/>
    <xf numFmtId="0" fontId="27" fillId="10" borderId="0" applyNumberFormat="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alignment vertical="center"/>
    </xf>
    <xf numFmtId="166" fontId="11" fillId="0" borderId="0" applyFont="0" applyFill="0" applyBorder="0" applyAlignment="0" applyProtection="0"/>
    <xf numFmtId="0" fontId="3" fillId="0" borderId="0" applyFont="0" applyFill="0" applyBorder="0" applyAlignment="0" applyProtection="0"/>
    <xf numFmtId="0" fontId="3" fillId="0" borderId="0"/>
    <xf numFmtId="0" fontId="3" fillId="0" borderId="0"/>
    <xf numFmtId="9" fontId="11" fillId="0" borderId="0" applyFont="0" applyFill="0" applyBorder="0" applyAlignment="0" applyProtection="0"/>
    <xf numFmtId="9" fontId="3" fillId="0" borderId="0" applyFont="0" applyFill="0" applyBorder="0" applyAlignment="0" applyProtection="0"/>
    <xf numFmtId="0" fontId="29" fillId="11" borderId="0" applyNumberFormat="0" applyBorder="0" applyAlignment="0" applyProtection="0"/>
    <xf numFmtId="0" fontId="30" fillId="0" borderId="0" applyNumberFormat="0" applyFill="0" applyBorder="0" applyAlignment="0" applyProtection="0"/>
    <xf numFmtId="165" fontId="3" fillId="0" borderId="0" applyFont="0" applyFill="0" applyBorder="0" applyAlignment="0" applyProtection="0"/>
    <xf numFmtId="170" fontId="11" fillId="0" borderId="0" applyFont="0" applyFill="0" applyBorder="0" applyAlignment="0" applyProtection="0"/>
    <xf numFmtId="0" fontId="2" fillId="0" borderId="0"/>
    <xf numFmtId="41" fontId="28" fillId="0" borderId="0" applyFont="0" applyFill="0" applyBorder="0" applyAlignment="0" applyProtection="0"/>
    <xf numFmtId="42" fontId="28" fillId="0" borderId="0" applyFont="0" applyFill="0" applyBorder="0" applyAlignment="0" applyProtection="0"/>
    <xf numFmtId="42" fontId="28" fillId="0" borderId="0" applyFont="0" applyFill="0" applyBorder="0" applyAlignment="0" applyProtection="0"/>
    <xf numFmtId="0" fontId="28" fillId="0" borderId="0">
      <alignment vertical="center"/>
    </xf>
    <xf numFmtId="9" fontId="11" fillId="0" borderId="0" applyFont="0" applyFill="0" applyBorder="0" applyAlignment="0" applyProtection="0"/>
    <xf numFmtId="164" fontId="28" fillId="0" borderId="0" applyFont="0" applyFill="0" applyBorder="0" applyAlignment="0" applyProtection="0"/>
  </cellStyleXfs>
  <cellXfs count="1104">
    <xf numFmtId="0" fontId="0" fillId="0" borderId="0" xfId="0">
      <alignment vertical="center"/>
    </xf>
    <xf numFmtId="0" fontId="0" fillId="0" borderId="0" xfId="0" applyAlignment="1">
      <alignment horizontal="center" vertical="center"/>
    </xf>
    <xf numFmtId="39" fontId="3" fillId="0" borderId="0" xfId="0" applyNumberFormat="1" applyFont="1" applyAlignment="1">
      <alignment horizontal="center" vertical="center"/>
    </xf>
    <xf numFmtId="39" fontId="3" fillId="0" borderId="0" xfId="0" applyNumberFormat="1" applyFont="1" applyAlignment="1">
      <alignment horizontal="justify" vertical="center"/>
    </xf>
    <xf numFmtId="0" fontId="14" fillId="0" borderId="0" xfId="0" applyFont="1" applyAlignment="1">
      <alignment horizontal="center" vertical="center"/>
    </xf>
    <xf numFmtId="0" fontId="13" fillId="0" borderId="0" xfId="0" applyFont="1" applyAlignment="1">
      <alignment horizontal="center" vertical="center"/>
    </xf>
    <xf numFmtId="0" fontId="21" fillId="2" borderId="0" xfId="0" applyFont="1" applyFill="1" applyAlignment="1">
      <alignment horizontal="center" vertical="center"/>
    </xf>
    <xf numFmtId="0" fontId="21" fillId="2" borderId="0" xfId="0" applyFont="1" applyFill="1" applyAlignment="1">
      <alignment horizontal="center" vertical="center" wrapText="1"/>
    </xf>
    <xf numFmtId="0" fontId="18" fillId="0" borderId="0" xfId="0" applyFont="1" applyAlignment="1">
      <alignment horizontal="left" vertical="center"/>
    </xf>
    <xf numFmtId="0" fontId="22" fillId="0" borderId="0" xfId="0" applyFont="1">
      <alignment vertical="center"/>
    </xf>
    <xf numFmtId="0" fontId="15" fillId="0" borderId="0" xfId="0" applyFont="1" applyAlignment="1">
      <alignment horizontal="center" vertical="center"/>
    </xf>
    <xf numFmtId="39" fontId="3" fillId="0" borderId="0" xfId="0" applyNumberFormat="1" applyFont="1" applyAlignment="1" applyProtection="1">
      <alignment horizontal="justify" vertical="center"/>
      <protection locked="0"/>
    </xf>
    <xf numFmtId="39" fontId="3" fillId="0" borderId="0" xfId="0" applyNumberFormat="1" applyFont="1" applyAlignment="1" applyProtection="1">
      <alignment horizontal="center" vertical="center"/>
      <protection locked="0"/>
    </xf>
    <xf numFmtId="166" fontId="3" fillId="0" borderId="0" xfId="5" applyFont="1" applyFill="1" applyBorder="1" applyAlignment="1" applyProtection="1">
      <alignment horizontal="center" vertical="center"/>
    </xf>
    <xf numFmtId="39" fontId="3" fillId="3" borderId="0" xfId="0" applyNumberFormat="1" applyFont="1" applyFill="1" applyAlignment="1">
      <alignment horizontal="center" vertical="center"/>
    </xf>
    <xf numFmtId="39" fontId="4" fillId="12" borderId="0" xfId="0" applyNumberFormat="1" applyFont="1" applyFill="1" applyAlignment="1" applyProtection="1">
      <alignment horizontal="center" vertical="center"/>
      <protection locked="0"/>
    </xf>
    <xf numFmtId="39" fontId="3" fillId="12" borderId="0" xfId="0" applyNumberFormat="1" applyFont="1" applyFill="1" applyAlignment="1" applyProtection="1">
      <alignment horizontal="justify" vertical="center"/>
      <protection locked="0"/>
    </xf>
    <xf numFmtId="39" fontId="3" fillId="12" borderId="0" xfId="0" applyNumberFormat="1" applyFont="1" applyFill="1" applyAlignment="1" applyProtection="1">
      <alignment horizontal="center" vertical="center"/>
      <protection locked="0"/>
    </xf>
    <xf numFmtId="166" fontId="3" fillId="12" borderId="0" xfId="5" applyFont="1" applyFill="1" applyBorder="1" applyAlignment="1" applyProtection="1">
      <alignment horizontal="center" vertical="center"/>
    </xf>
    <xf numFmtId="39" fontId="3" fillId="12" borderId="0" xfId="0" applyNumberFormat="1" applyFont="1" applyFill="1" applyAlignment="1">
      <alignment horizontal="center" vertical="center"/>
    </xf>
    <xf numFmtId="39" fontId="3" fillId="12" borderId="0" xfId="0" applyNumberFormat="1" applyFont="1" applyFill="1" applyAlignment="1">
      <alignment horizontal="justify" vertical="center"/>
    </xf>
    <xf numFmtId="0" fontId="9" fillId="0" borderId="0" xfId="0" applyFont="1" applyAlignment="1">
      <alignment horizontal="center" vertical="center"/>
    </xf>
    <xf numFmtId="0" fontId="0" fillId="12" borderId="0" xfId="0" applyFill="1">
      <alignment vertical="center"/>
    </xf>
    <xf numFmtId="3" fontId="3" fillId="0" borderId="0" xfId="0" applyNumberFormat="1" applyFont="1" applyAlignment="1">
      <alignment horizontal="right" vertical="center"/>
    </xf>
    <xf numFmtId="39" fontId="9" fillId="0" borderId="0" xfId="0" applyNumberFormat="1" applyFont="1" applyAlignment="1" applyProtection="1">
      <alignment horizontal="justify" vertical="center"/>
      <protection locked="0"/>
    </xf>
    <xf numFmtId="0" fontId="15" fillId="0" borderId="0" xfId="0" applyFont="1">
      <alignment vertical="center"/>
    </xf>
    <xf numFmtId="39" fontId="3" fillId="0" borderId="0" xfId="0" applyNumberFormat="1" applyFont="1" applyAlignment="1">
      <alignment horizontal="justify" vertical="center" wrapText="1"/>
    </xf>
    <xf numFmtId="0" fontId="9" fillId="12" borderId="0" xfId="0" applyFont="1" applyFill="1">
      <alignment vertical="center"/>
    </xf>
    <xf numFmtId="0" fontId="8" fillId="0" borderId="0" xfId="0" applyFont="1">
      <alignment vertical="center"/>
    </xf>
    <xf numFmtId="39" fontId="9" fillId="12" borderId="0" xfId="0" applyNumberFormat="1" applyFont="1" applyFill="1" applyAlignment="1" applyProtection="1">
      <alignment horizontal="justify" vertical="center"/>
      <protection locked="0"/>
    </xf>
    <xf numFmtId="39" fontId="3" fillId="12" borderId="6" xfId="0" applyNumberFormat="1" applyFont="1" applyFill="1" applyBorder="1" applyAlignment="1">
      <alignment horizontal="center" vertical="center"/>
    </xf>
    <xf numFmtId="39" fontId="3" fillId="12" borderId="7" xfId="0" applyNumberFormat="1" applyFont="1" applyFill="1" applyBorder="1" applyAlignment="1">
      <alignment horizontal="center" vertical="center"/>
    </xf>
    <xf numFmtId="0" fontId="9" fillId="0" borderId="0" xfId="0" applyFont="1">
      <alignment vertical="center"/>
    </xf>
    <xf numFmtId="0" fontId="11" fillId="0" borderId="0" xfId="0" applyFont="1">
      <alignment vertical="center"/>
    </xf>
    <xf numFmtId="0" fontId="16" fillId="0" borderId="0" xfId="0" applyFont="1">
      <alignment vertical="center"/>
    </xf>
    <xf numFmtId="3" fontId="22" fillId="0" borderId="0" xfId="0" applyNumberFormat="1" applyFont="1">
      <alignment vertical="center"/>
    </xf>
    <xf numFmtId="0" fontId="16" fillId="0" borderId="3" xfId="7" applyFont="1" applyBorder="1" applyAlignment="1">
      <alignment horizontal="center" vertical="center" wrapText="1"/>
    </xf>
    <xf numFmtId="0" fontId="16" fillId="0" borderId="3" xfId="7" applyFont="1" applyBorder="1" applyAlignment="1">
      <alignment horizontal="centerContinuous" vertical="center"/>
    </xf>
    <xf numFmtId="0" fontId="37" fillId="0" borderId="0" xfId="0" applyFont="1">
      <alignment vertical="center"/>
    </xf>
    <xf numFmtId="0" fontId="8" fillId="14" borderId="0" xfId="0" applyFont="1" applyFill="1" applyAlignment="1">
      <alignment horizontal="center" vertical="center"/>
    </xf>
    <xf numFmtId="0" fontId="4" fillId="14" borderId="0" xfId="0" applyFont="1" applyFill="1" applyAlignment="1">
      <alignment horizontal="center" vertical="center"/>
    </xf>
    <xf numFmtId="0" fontId="41" fillId="12" borderId="0" xfId="0" applyFont="1" applyFill="1">
      <alignment vertical="center"/>
    </xf>
    <xf numFmtId="0" fontId="41" fillId="0" borderId="0" xfId="0" applyFont="1">
      <alignment vertical="center"/>
    </xf>
    <xf numFmtId="42" fontId="0" fillId="0" borderId="0" xfId="0" applyNumberFormat="1">
      <alignment vertical="center"/>
    </xf>
    <xf numFmtId="0" fontId="3" fillId="0" borderId="0" xfId="0" applyFont="1">
      <alignment vertical="center"/>
    </xf>
    <xf numFmtId="0" fontId="0" fillId="0" borderId="0" xfId="0" applyAlignment="1">
      <alignment horizontal="left" vertical="center"/>
    </xf>
    <xf numFmtId="0" fontId="15" fillId="0" borderId="0" xfId="0" applyFont="1" applyAlignment="1">
      <alignment horizontal="left" vertical="center"/>
    </xf>
    <xf numFmtId="0" fontId="40" fillId="0" borderId="0" xfId="0" applyFont="1" applyAlignment="1">
      <alignment horizontal="center" vertical="center"/>
    </xf>
    <xf numFmtId="49" fontId="40" fillId="0" borderId="15" xfId="0" applyNumberFormat="1" applyFont="1" applyBorder="1" applyAlignment="1" applyProtection="1">
      <alignment horizontal="center" vertical="center"/>
      <protection locked="0"/>
    </xf>
    <xf numFmtId="39" fontId="3" fillId="12" borderId="24" xfId="0" applyNumberFormat="1" applyFont="1" applyFill="1" applyBorder="1" applyAlignment="1">
      <alignment horizontal="center" vertical="center"/>
    </xf>
    <xf numFmtId="39" fontId="46" fillId="0" borderId="0" xfId="0" applyNumberFormat="1" applyFont="1" applyAlignment="1">
      <alignment horizontal="center" vertical="center"/>
    </xf>
    <xf numFmtId="39" fontId="46" fillId="0" borderId="0" xfId="0" applyNumberFormat="1" applyFont="1" applyAlignment="1">
      <alignment horizontal="justify" vertical="center"/>
    </xf>
    <xf numFmtId="37" fontId="46" fillId="0" borderId="0" xfId="0" applyNumberFormat="1" applyFont="1" applyAlignment="1" applyProtection="1">
      <alignment horizontal="left" vertical="center" wrapText="1"/>
      <protection locked="0"/>
    </xf>
    <xf numFmtId="3" fontId="22" fillId="0" borderId="0" xfId="5" applyNumberFormat="1" applyFont="1" applyFill="1" applyAlignment="1">
      <alignment horizontal="right" vertical="center"/>
    </xf>
    <xf numFmtId="3" fontId="4" fillId="14" borderId="0" xfId="0" applyNumberFormat="1" applyFont="1" applyFill="1" applyAlignment="1">
      <alignment horizontal="right" vertical="center"/>
    </xf>
    <xf numFmtId="3" fontId="39" fillId="3" borderId="8" xfId="0" applyNumberFormat="1" applyFont="1" applyFill="1" applyBorder="1" applyAlignment="1">
      <alignment horizontal="right" vertical="center" wrapText="1"/>
    </xf>
    <xf numFmtId="3" fontId="3" fillId="12" borderId="0" xfId="0" applyNumberFormat="1" applyFont="1" applyFill="1" applyAlignment="1">
      <alignment horizontal="right" vertical="center"/>
    </xf>
    <xf numFmtId="0" fontId="14" fillId="12" borderId="0" xfId="0" applyFont="1" applyFill="1" applyAlignment="1">
      <alignment horizontal="center" vertical="center"/>
    </xf>
    <xf numFmtId="171" fontId="3" fillId="12" borderId="0" xfId="0" applyNumberFormat="1" applyFont="1" applyFill="1" applyAlignment="1">
      <alignment horizontal="center" vertical="center"/>
    </xf>
    <xf numFmtId="0" fontId="9" fillId="12" borderId="0" xfId="0" applyFont="1" applyFill="1" applyAlignment="1">
      <alignment horizontal="center" vertical="center"/>
    </xf>
    <xf numFmtId="39" fontId="3" fillId="0" borderId="0" xfId="0" applyNumberFormat="1" applyFont="1" applyAlignment="1">
      <alignment horizontal="left" vertical="center"/>
    </xf>
    <xf numFmtId="0" fontId="50" fillId="0" borderId="0" xfId="0" applyFont="1" applyAlignment="1">
      <alignment horizontal="center" vertical="center"/>
    </xf>
    <xf numFmtId="39" fontId="3" fillId="12" borderId="0" xfId="0" applyNumberFormat="1" applyFont="1" applyFill="1" applyAlignment="1">
      <alignment horizontal="justify" vertical="center" wrapText="1"/>
    </xf>
    <xf numFmtId="39" fontId="47" fillId="7" borderId="20" xfId="2" applyNumberFormat="1" applyFont="1" applyFill="1" applyBorder="1" applyAlignment="1">
      <alignment horizontal="center" vertical="center"/>
    </xf>
    <xf numFmtId="39" fontId="23" fillId="5" borderId="20" xfId="0" applyNumberFormat="1" applyFont="1" applyFill="1" applyBorder="1" applyAlignment="1">
      <alignment horizontal="center" vertical="center"/>
    </xf>
    <xf numFmtId="39" fontId="23" fillId="4" borderId="29" xfId="1" applyNumberFormat="1" applyFont="1" applyFill="1" applyBorder="1" applyAlignment="1">
      <alignment horizontal="center" vertical="center"/>
    </xf>
    <xf numFmtId="0" fontId="32" fillId="16" borderId="11" xfId="0" applyFont="1" applyFill="1" applyBorder="1" applyAlignment="1">
      <alignment horizontal="center" vertical="center"/>
    </xf>
    <xf numFmtId="49" fontId="40" fillId="0" borderId="20" xfId="0" applyNumberFormat="1" applyFont="1" applyBorder="1" applyAlignment="1" applyProtection="1">
      <alignment horizontal="center" vertical="center"/>
      <protection locked="0"/>
    </xf>
    <xf numFmtId="49" fontId="40" fillId="12" borderId="20" xfId="0" applyNumberFormat="1" applyFont="1" applyFill="1" applyBorder="1" applyAlignment="1" applyProtection="1">
      <alignment horizontal="center" vertical="center"/>
      <protection locked="0"/>
    </xf>
    <xf numFmtId="49" fontId="40" fillId="0" borderId="33" xfId="0" applyNumberFormat="1" applyFont="1" applyBorder="1" applyAlignment="1" applyProtection="1">
      <alignment horizontal="center" vertical="center"/>
      <protection locked="0"/>
    </xf>
    <xf numFmtId="39" fontId="3" fillId="12" borderId="24" xfId="0" applyNumberFormat="1" applyFont="1" applyFill="1" applyBorder="1" applyAlignment="1">
      <alignment horizontal="justify" vertical="center"/>
    </xf>
    <xf numFmtId="39" fontId="3" fillId="12" borderId="0" xfId="0" applyNumberFormat="1" applyFont="1" applyFill="1" applyAlignment="1">
      <alignment horizontal="justify" vertical="top" wrapText="1"/>
    </xf>
    <xf numFmtId="0" fontId="32" fillId="16" borderId="4" xfId="0" applyFont="1" applyFill="1" applyBorder="1" applyAlignment="1">
      <alignment horizontal="center" vertical="center"/>
    </xf>
    <xf numFmtId="42" fontId="32" fillId="16" borderId="4" xfId="0" applyNumberFormat="1" applyFont="1" applyFill="1" applyBorder="1" applyAlignment="1">
      <alignment horizontal="center" vertical="center" wrapText="1"/>
    </xf>
    <xf numFmtId="0" fontId="32" fillId="16" borderId="4" xfId="0" applyFont="1" applyFill="1" applyBorder="1" applyAlignment="1">
      <alignment horizontal="center" vertical="center" wrapText="1"/>
    </xf>
    <xf numFmtId="39" fontId="3" fillId="12" borderId="24" xfId="0" applyNumberFormat="1" applyFont="1" applyFill="1" applyBorder="1" applyAlignment="1">
      <alignment horizontal="justify" vertical="center" wrapText="1"/>
    </xf>
    <xf numFmtId="0" fontId="9" fillId="12" borderId="0" xfId="0" applyFont="1" applyFill="1" applyAlignment="1">
      <alignment horizontal="justify" vertical="center" wrapText="1"/>
    </xf>
    <xf numFmtId="39" fontId="3" fillId="12" borderId="0" xfId="0" applyNumberFormat="1" applyFont="1" applyFill="1" applyAlignment="1" applyProtection="1">
      <alignment horizontal="justify" vertical="center" wrapText="1"/>
      <protection locked="0"/>
    </xf>
    <xf numFmtId="39" fontId="32" fillId="12" borderId="19" xfId="0" applyNumberFormat="1" applyFont="1" applyFill="1" applyBorder="1" applyAlignment="1" applyProtection="1">
      <alignment horizontal="center" vertical="center"/>
      <protection locked="0"/>
    </xf>
    <xf numFmtId="39" fontId="32" fillId="12" borderId="36" xfId="0" applyNumberFormat="1" applyFont="1" applyFill="1" applyBorder="1" applyAlignment="1" applyProtection="1">
      <alignment horizontal="center" vertical="center"/>
      <protection locked="0"/>
    </xf>
    <xf numFmtId="39" fontId="32" fillId="12" borderId="36"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6" borderId="20" xfId="0" applyNumberFormat="1" applyFont="1" applyFill="1" applyBorder="1" applyAlignment="1">
      <alignment horizontal="center" vertical="center"/>
    </xf>
    <xf numFmtId="39" fontId="23" fillId="5" borderId="26" xfId="0" applyNumberFormat="1" applyFont="1" applyFill="1" applyBorder="1" applyAlignment="1">
      <alignment horizontal="center" vertical="center"/>
    </xf>
    <xf numFmtId="39" fontId="23" fillId="4" borderId="20" xfId="1" applyNumberFormat="1" applyFont="1" applyFill="1" applyBorder="1" applyAlignment="1">
      <alignment horizontal="center" vertical="center"/>
    </xf>
    <xf numFmtId="39" fontId="23" fillId="4" borderId="26" xfId="1" applyNumberFormat="1" applyFont="1" applyFill="1" applyBorder="1" applyAlignment="1">
      <alignment horizontal="center" vertical="center"/>
    </xf>
    <xf numFmtId="39" fontId="23" fillId="7" borderId="26" xfId="2" applyNumberFormat="1" applyFont="1" applyFill="1" applyBorder="1" applyAlignment="1">
      <alignment horizontal="center" vertical="center"/>
    </xf>
    <xf numFmtId="39" fontId="23" fillId="4" borderId="26" xfId="0" applyNumberFormat="1" applyFont="1" applyFill="1" applyBorder="1" applyAlignment="1">
      <alignment horizontal="center" vertical="center"/>
    </xf>
    <xf numFmtId="39" fontId="3" fillId="0" borderId="24" xfId="0" applyNumberFormat="1" applyFont="1" applyBorder="1" applyAlignment="1">
      <alignment horizontal="justify" vertical="center"/>
    </xf>
    <xf numFmtId="39" fontId="3" fillId="0" borderId="24" xfId="0" applyNumberFormat="1" applyFont="1" applyBorder="1" applyAlignment="1">
      <alignment horizontal="center" vertical="center"/>
    </xf>
    <xf numFmtId="3" fontId="3" fillId="0" borderId="24" xfId="0" applyNumberFormat="1" applyFont="1" applyBorder="1" applyAlignment="1">
      <alignment horizontal="right" vertical="center"/>
    </xf>
    <xf numFmtId="39" fontId="23" fillId="20" borderId="20" xfId="2" applyNumberFormat="1" applyFont="1" applyFill="1" applyBorder="1" applyAlignment="1">
      <alignment horizontal="center" vertical="center"/>
    </xf>
    <xf numFmtId="39" fontId="23" fillId="2" borderId="26" xfId="0" applyNumberFormat="1" applyFont="1" applyFill="1" applyBorder="1" applyAlignment="1">
      <alignment horizontal="center" vertical="center"/>
    </xf>
    <xf numFmtId="39" fontId="23" fillId="4" borderId="20" xfId="2"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0" fontId="8" fillId="14" borderId="20" xfId="0" applyFont="1" applyFill="1" applyBorder="1" applyAlignment="1">
      <alignment horizontal="center" vertical="center"/>
    </xf>
    <xf numFmtId="0" fontId="8" fillId="14" borderId="23" xfId="0" applyFont="1" applyFill="1" applyBorder="1" applyAlignment="1">
      <alignment horizontal="center" vertical="center"/>
    </xf>
    <xf numFmtId="3" fontId="3" fillId="0" borderId="23" xfId="0" applyNumberFormat="1" applyFont="1" applyBorder="1">
      <alignment vertical="center"/>
    </xf>
    <xf numFmtId="3" fontId="3" fillId="12" borderId="23" xfId="0" applyNumberFormat="1" applyFont="1" applyFill="1" applyBorder="1">
      <alignment vertical="center"/>
    </xf>
    <xf numFmtId="3" fontId="3" fillId="0" borderId="25" xfId="0" applyNumberFormat="1" applyFont="1" applyBorder="1">
      <alignment vertical="center"/>
    </xf>
    <xf numFmtId="3" fontId="3" fillId="12" borderId="24" xfId="0" applyNumberFormat="1" applyFont="1" applyFill="1" applyBorder="1" applyAlignment="1">
      <alignment horizontal="right" vertical="center"/>
    </xf>
    <xf numFmtId="3" fontId="3" fillId="12" borderId="25" xfId="0" applyNumberFormat="1" applyFont="1" applyFill="1" applyBorder="1">
      <alignment vertical="center"/>
    </xf>
    <xf numFmtId="0" fontId="3" fillId="12" borderId="0" xfId="0" applyFont="1" applyFill="1">
      <alignment vertical="center"/>
    </xf>
    <xf numFmtId="39" fontId="3" fillId="0" borderId="0" xfId="0" applyNumberFormat="1" applyFont="1" applyAlignment="1">
      <alignment horizontal="left" vertical="center" wrapText="1"/>
    </xf>
    <xf numFmtId="171" fontId="3" fillId="0" borderId="0" xfId="0" applyNumberFormat="1" applyFont="1" applyAlignment="1">
      <alignment horizontal="center" vertical="center"/>
    </xf>
    <xf numFmtId="39" fontId="3" fillId="0" borderId="41" xfId="0" applyNumberFormat="1" applyFont="1" applyBorder="1" applyAlignment="1">
      <alignment horizontal="justify" vertical="center"/>
    </xf>
    <xf numFmtId="39" fontId="3" fillId="0" borderId="41" xfId="0" applyNumberFormat="1" applyFont="1" applyBorder="1" applyAlignment="1">
      <alignment horizontal="center" vertical="center"/>
    </xf>
    <xf numFmtId="3" fontId="3" fillId="0" borderId="41" xfId="0" applyNumberFormat="1" applyFont="1" applyBorder="1" applyAlignment="1">
      <alignment horizontal="right" vertical="center"/>
    </xf>
    <xf numFmtId="39" fontId="3" fillId="0" borderId="42" xfId="0" applyNumberFormat="1" applyFont="1" applyBorder="1" applyAlignment="1">
      <alignment horizontal="justify" vertical="center"/>
    </xf>
    <xf numFmtId="39" fontId="3" fillId="0" borderId="42" xfId="0" applyNumberFormat="1" applyFont="1" applyBorder="1" applyAlignment="1">
      <alignment horizontal="center" vertical="center"/>
    </xf>
    <xf numFmtId="3" fontId="3" fillId="0" borderId="42" xfId="0" applyNumberFormat="1" applyFont="1" applyBorder="1" applyAlignment="1">
      <alignment horizontal="right" vertical="center"/>
    </xf>
    <xf numFmtId="39" fontId="3" fillId="12" borderId="42" xfId="0" applyNumberFormat="1" applyFont="1" applyFill="1" applyBorder="1" applyAlignment="1">
      <alignment horizontal="justify" vertical="center"/>
    </xf>
    <xf numFmtId="39" fontId="3" fillId="12" borderId="42" xfId="0" applyNumberFormat="1" applyFont="1" applyFill="1" applyBorder="1" applyAlignment="1">
      <alignment horizontal="center" vertical="center"/>
    </xf>
    <xf numFmtId="3" fontId="3" fillId="12" borderId="42" xfId="0" applyNumberFormat="1" applyFont="1" applyFill="1" applyBorder="1" applyAlignment="1">
      <alignment horizontal="right" vertical="center"/>
    </xf>
    <xf numFmtId="167" fontId="3" fillId="0" borderId="0" xfId="5" applyNumberFormat="1" applyFont="1" applyFill="1" applyBorder="1" applyAlignment="1" applyProtection="1">
      <alignment horizontal="center" vertical="center"/>
    </xf>
    <xf numFmtId="39" fontId="3" fillId="3" borderId="0" xfId="0" applyNumberFormat="1" applyFont="1" applyFill="1" applyAlignment="1">
      <alignment horizontal="justify" vertical="center"/>
    </xf>
    <xf numFmtId="39" fontId="3" fillId="3" borderId="42" xfId="0" applyNumberFormat="1" applyFont="1" applyFill="1" applyBorder="1" applyAlignment="1">
      <alignment horizontal="justify" vertical="center"/>
    </xf>
    <xf numFmtId="39" fontId="3" fillId="3" borderId="42" xfId="0" applyNumberFormat="1" applyFont="1" applyFill="1" applyBorder="1" applyAlignment="1">
      <alignment horizontal="center" vertical="center"/>
    </xf>
    <xf numFmtId="3" fontId="3" fillId="3" borderId="42" xfId="0" applyNumberFormat="1" applyFont="1" applyFill="1" applyBorder="1" applyAlignment="1">
      <alignment horizontal="right" vertical="center"/>
    </xf>
    <xf numFmtId="49" fontId="8" fillId="0" borderId="20" xfId="0" applyNumberFormat="1" applyFont="1" applyBorder="1" applyAlignment="1" applyProtection="1">
      <alignment horizontal="center" vertical="center"/>
      <protection locked="0"/>
    </xf>
    <xf numFmtId="39" fontId="23" fillId="6" borderId="15" xfId="0" applyNumberFormat="1" applyFont="1" applyFill="1" applyBorder="1" applyAlignment="1">
      <alignment horizontal="center" vertical="center"/>
    </xf>
    <xf numFmtId="39" fontId="23" fillId="7" borderId="15" xfId="2" applyNumberFormat="1" applyFont="1" applyFill="1" applyBorder="1" applyAlignment="1">
      <alignment horizontal="center" vertical="center"/>
    </xf>
    <xf numFmtId="39" fontId="23" fillId="7" borderId="40" xfId="2" applyNumberFormat="1" applyFont="1" applyFill="1" applyBorder="1" applyAlignment="1">
      <alignment horizontal="center" vertical="center"/>
    </xf>
    <xf numFmtId="39" fontId="23" fillId="7" borderId="10" xfId="2" applyNumberFormat="1" applyFont="1" applyFill="1" applyBorder="1" applyAlignment="1">
      <alignment horizontal="center" vertical="center"/>
    </xf>
    <xf numFmtId="39" fontId="23" fillId="6" borderId="40" xfId="0" applyNumberFormat="1" applyFont="1" applyFill="1" applyBorder="1" applyAlignment="1">
      <alignment horizontal="center" vertical="center"/>
    </xf>
    <xf numFmtId="0" fontId="23" fillId="5" borderId="20" xfId="2" applyFont="1" applyFill="1" applyBorder="1" applyAlignment="1">
      <alignment horizontal="center" vertical="center" wrapText="1"/>
    </xf>
    <xf numFmtId="0" fontId="32" fillId="19" borderId="4" xfId="0" applyFont="1" applyFill="1" applyBorder="1" applyAlignment="1">
      <alignment horizontal="center" vertical="center"/>
    </xf>
    <xf numFmtId="3" fontId="32" fillId="19" borderId="4" xfId="0" applyNumberFormat="1" applyFont="1" applyFill="1" applyBorder="1" applyAlignment="1">
      <alignment horizontal="center" vertical="center" wrapText="1"/>
    </xf>
    <xf numFmtId="39" fontId="47" fillId="4" borderId="40" xfId="1" applyNumberFormat="1" applyFont="1" applyFill="1" applyBorder="1" applyAlignment="1">
      <alignment horizontal="center" vertical="center"/>
    </xf>
    <xf numFmtId="39" fontId="47" fillId="4" borderId="40" xfId="0" applyNumberFormat="1" applyFont="1" applyFill="1" applyBorder="1" applyAlignment="1">
      <alignment horizontal="center" vertical="center"/>
    </xf>
    <xf numFmtId="39" fontId="23" fillId="4" borderId="40" xfId="0" applyNumberFormat="1" applyFont="1" applyFill="1" applyBorder="1" applyAlignment="1">
      <alignment horizontal="center" vertical="center"/>
    </xf>
    <xf numFmtId="14" fontId="23" fillId="5" borderId="20" xfId="2" applyNumberFormat="1" applyFont="1" applyFill="1" applyBorder="1" applyAlignment="1">
      <alignment horizontal="center" vertical="center" wrapText="1"/>
    </xf>
    <xf numFmtId="39" fontId="23" fillId="2" borderId="40" xfId="0" applyNumberFormat="1" applyFont="1" applyFill="1" applyBorder="1" applyAlignment="1">
      <alignment horizontal="center" vertical="center"/>
    </xf>
    <xf numFmtId="0" fontId="49" fillId="0" borderId="14" xfId="0" applyFont="1" applyBorder="1" applyAlignment="1">
      <alignment horizontal="center" vertical="center"/>
    </xf>
    <xf numFmtId="0" fontId="53" fillId="0" borderId="0" xfId="0" applyFont="1" applyAlignment="1">
      <alignment horizontal="center" vertical="center"/>
    </xf>
    <xf numFmtId="0" fontId="49" fillId="0" borderId="14" xfId="0" applyFont="1" applyBorder="1" applyAlignment="1">
      <alignment horizontal="justify" vertical="center" wrapText="1"/>
    </xf>
    <xf numFmtId="0" fontId="3" fillId="0" borderId="0" xfId="0" applyFont="1" applyAlignment="1">
      <alignment horizontal="center" vertical="center"/>
    </xf>
    <xf numFmtId="0" fontId="4" fillId="12" borderId="0" xfId="0" applyFont="1" applyFill="1">
      <alignment vertical="center"/>
    </xf>
    <xf numFmtId="0" fontId="3" fillId="12" borderId="0" xfId="0" applyFont="1" applyFill="1" applyAlignment="1">
      <alignment horizontal="center" vertical="center"/>
    </xf>
    <xf numFmtId="0" fontId="3" fillId="0" borderId="24" xfId="0" applyFont="1" applyBorder="1" applyAlignment="1">
      <alignment horizontal="center" vertical="center"/>
    </xf>
    <xf numFmtId="39" fontId="3" fillId="0" borderId="0" xfId="0" applyNumberFormat="1" applyFont="1">
      <alignment vertical="center"/>
    </xf>
    <xf numFmtId="0" fontId="3" fillId="0" borderId="24" xfId="0" applyFont="1" applyBorder="1">
      <alignment vertical="center"/>
    </xf>
    <xf numFmtId="0" fontId="3" fillId="12" borderId="0" xfId="0" applyFont="1" applyFill="1" applyAlignment="1">
      <alignment vertical="center" wrapText="1"/>
    </xf>
    <xf numFmtId="0" fontId="3" fillId="0" borderId="42" xfId="0" applyFont="1" applyBorder="1">
      <alignment vertical="center"/>
    </xf>
    <xf numFmtId="0" fontId="3" fillId="0" borderId="42" xfId="0" applyFont="1" applyBorder="1" applyAlignment="1">
      <alignment horizontal="center" vertical="center"/>
    </xf>
    <xf numFmtId="0" fontId="3" fillId="3" borderId="0" xfId="0" applyFont="1" applyFill="1">
      <alignment vertical="center"/>
    </xf>
    <xf numFmtId="0" fontId="3" fillId="0" borderId="0" xfId="0" applyFont="1" applyAlignment="1">
      <alignment horizontal="justify" vertical="top" wrapText="1"/>
    </xf>
    <xf numFmtId="0" fontId="3" fillId="0" borderId="0" xfId="0" applyFont="1" applyAlignment="1">
      <alignment vertical="center" wrapText="1"/>
    </xf>
    <xf numFmtId="37" fontId="46" fillId="0" borderId="0" xfId="0" applyNumberFormat="1" applyFont="1" applyAlignment="1" applyProtection="1">
      <alignment horizontal="center" vertical="center"/>
      <protection locked="0"/>
    </xf>
    <xf numFmtId="3" fontId="46" fillId="0" borderId="0" xfId="0" applyNumberFormat="1" applyFont="1" applyAlignment="1" applyProtection="1">
      <alignment horizontal="right" vertical="center"/>
      <protection locked="0"/>
    </xf>
    <xf numFmtId="39" fontId="46" fillId="0" borderId="0" xfId="0" applyNumberFormat="1" applyFont="1" applyAlignment="1" applyProtection="1">
      <alignment horizontal="justify" vertical="center" wrapText="1"/>
      <protection locked="0"/>
    </xf>
    <xf numFmtId="37" fontId="46" fillId="0" borderId="0" xfId="0" applyNumberFormat="1" applyFont="1" applyAlignment="1" applyProtection="1">
      <alignment horizontal="justify" vertical="center" wrapText="1"/>
      <protection locked="0"/>
    </xf>
    <xf numFmtId="0" fontId="3" fillId="12" borderId="5" xfId="0" applyFont="1" applyFill="1" applyBorder="1" applyAlignment="1">
      <alignment horizontal="center" vertical="center"/>
    </xf>
    <xf numFmtId="171" fontId="3" fillId="0" borderId="24" xfId="0" applyNumberFormat="1" applyFont="1" applyBorder="1" applyAlignment="1">
      <alignment horizontal="center" vertical="center"/>
    </xf>
    <xf numFmtId="171" fontId="3" fillId="12" borderId="24" xfId="0" applyNumberFormat="1" applyFont="1" applyFill="1" applyBorder="1" applyAlignment="1">
      <alignment horizontal="center" vertical="center"/>
    </xf>
    <xf numFmtId="171" fontId="3" fillId="0" borderId="41" xfId="0" applyNumberFormat="1" applyFont="1" applyBorder="1" applyAlignment="1">
      <alignment horizontal="center" vertical="center"/>
    </xf>
    <xf numFmtId="171" fontId="3" fillId="0" borderId="42" xfId="0" applyNumberFormat="1" applyFont="1" applyBorder="1" applyAlignment="1">
      <alignment horizontal="center" vertical="center"/>
    </xf>
    <xf numFmtId="171" fontId="3" fillId="12" borderId="42" xfId="0" applyNumberFormat="1" applyFont="1" applyFill="1" applyBorder="1" applyAlignment="1">
      <alignment horizontal="center" vertical="center"/>
    </xf>
    <xf numFmtId="171" fontId="3" fillId="3" borderId="0" xfId="0" applyNumberFormat="1" applyFont="1" applyFill="1" applyAlignment="1">
      <alignment horizontal="center" vertical="center"/>
    </xf>
    <xf numFmtId="171" fontId="3" fillId="3" borderId="42" xfId="0" applyNumberFormat="1" applyFont="1" applyFill="1" applyBorder="1" applyAlignment="1">
      <alignment horizontal="center" vertical="center"/>
    </xf>
    <xf numFmtId="167" fontId="46" fillId="0" borderId="0" xfId="0" applyNumberFormat="1" applyFont="1" applyAlignment="1" applyProtection="1">
      <alignment horizontal="center" vertical="center"/>
      <protection locked="0"/>
    </xf>
    <xf numFmtId="167" fontId="46" fillId="0" borderId="0" xfId="9" applyNumberFormat="1" applyFont="1" applyFill="1" applyBorder="1" applyAlignment="1" applyProtection="1">
      <alignment horizontal="center" vertical="center"/>
      <protection locked="0"/>
    </xf>
    <xf numFmtId="3" fontId="32" fillId="16" borderId="4" xfId="0" applyNumberFormat="1" applyFont="1" applyFill="1" applyBorder="1" applyAlignment="1">
      <alignment horizontal="center" vertical="center" wrapText="1"/>
    </xf>
    <xf numFmtId="0" fontId="36" fillId="2" borderId="1" xfId="0" applyFont="1" applyFill="1" applyBorder="1" applyAlignment="1">
      <alignment horizontal="left" vertical="center"/>
    </xf>
    <xf numFmtId="0" fontId="34" fillId="2" borderId="0" xfId="0" applyFont="1" applyFill="1" applyAlignment="1">
      <alignment horizontal="left" vertical="center"/>
    </xf>
    <xf numFmtId="0" fontId="34" fillId="2" borderId="0" xfId="0" applyFont="1" applyFill="1" applyAlignment="1">
      <alignment horizontal="center" vertical="center"/>
    </xf>
    <xf numFmtId="0" fontId="31" fillId="2" borderId="9" xfId="0" applyFont="1" applyFill="1" applyBorder="1" applyAlignment="1">
      <alignment horizontal="center" vertical="center"/>
    </xf>
    <xf numFmtId="0" fontId="32" fillId="16" borderId="10" xfId="0" applyFont="1" applyFill="1" applyBorder="1" applyAlignment="1">
      <alignment horizontal="center" vertical="center"/>
    </xf>
    <xf numFmtId="42" fontId="22" fillId="0" borderId="0" xfId="0" applyNumberFormat="1" applyFont="1" applyAlignment="1">
      <alignment horizontal="center" vertical="center"/>
    </xf>
    <xf numFmtId="39" fontId="3" fillId="12" borderId="42" xfId="0" applyNumberFormat="1" applyFont="1" applyFill="1" applyBorder="1" applyAlignment="1">
      <alignment horizontal="justify" vertical="center" wrapText="1"/>
    </xf>
    <xf numFmtId="0" fontId="9" fillId="12" borderId="42" xfId="0" applyFont="1" applyFill="1" applyBorder="1" applyAlignment="1">
      <alignment horizontal="justify" vertical="center" wrapText="1"/>
    </xf>
    <xf numFmtId="169" fontId="19" fillId="0" borderId="9" xfId="0" applyNumberFormat="1" applyFont="1" applyBorder="1" applyAlignment="1">
      <alignment horizontal="right" vertical="center"/>
    </xf>
    <xf numFmtId="169" fontId="19" fillId="12" borderId="9" xfId="0" applyNumberFormat="1" applyFont="1" applyFill="1" applyBorder="1" applyAlignment="1">
      <alignment horizontal="right" vertical="center"/>
    </xf>
    <xf numFmtId="0" fontId="14" fillId="12" borderId="9" xfId="0" applyFont="1" applyFill="1" applyBorder="1" applyAlignment="1">
      <alignment horizontal="center" vertical="center"/>
    </xf>
    <xf numFmtId="39" fontId="3" fillId="0" borderId="42" xfId="0" applyNumberFormat="1" applyFont="1" applyBorder="1" applyAlignment="1" applyProtection="1">
      <alignment horizontal="center" vertical="center"/>
      <protection locked="0"/>
    </xf>
    <xf numFmtId="3" fontId="3" fillId="0" borderId="43" xfId="0" applyNumberFormat="1" applyFont="1" applyBorder="1">
      <alignment vertical="center"/>
    </xf>
    <xf numFmtId="3" fontId="3" fillId="12" borderId="43" xfId="0" applyNumberFormat="1" applyFont="1" applyFill="1" applyBorder="1">
      <alignment vertical="center"/>
    </xf>
    <xf numFmtId="0" fontId="53" fillId="12" borderId="0" xfId="0" applyFont="1" applyFill="1" applyAlignment="1">
      <alignment horizontal="center" vertical="center"/>
    </xf>
    <xf numFmtId="0" fontId="49" fillId="12" borderId="14" xfId="0" applyFont="1" applyFill="1" applyBorder="1" applyAlignment="1">
      <alignment horizontal="justify" vertical="center" wrapText="1"/>
    </xf>
    <xf numFmtId="0" fontId="49" fillId="12" borderId="14" xfId="0" applyFont="1" applyFill="1" applyBorder="1" applyAlignment="1">
      <alignment horizontal="center" vertical="center"/>
    </xf>
    <xf numFmtId="0" fontId="53" fillId="12" borderId="0" xfId="0" applyFont="1" applyFill="1" applyAlignment="1">
      <alignment horizontal="justify" vertical="center" wrapText="1"/>
    </xf>
    <xf numFmtId="0" fontId="32" fillId="16" borderId="4" xfId="0" applyFont="1" applyFill="1" applyBorder="1" applyAlignment="1">
      <alignment horizontal="center" vertical="center"/>
    </xf>
    <xf numFmtId="0" fontId="3" fillId="12" borderId="0" xfId="0" applyFont="1" applyFill="1" applyAlignment="1">
      <alignment horizontal="justify" vertical="center" wrapText="1"/>
    </xf>
    <xf numFmtId="39" fontId="23" fillId="6" borderId="20" xfId="0"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4" borderId="26" xfId="1" applyNumberFormat="1" applyFont="1" applyFill="1" applyBorder="1" applyAlignment="1">
      <alignment horizontal="center" vertical="center"/>
    </xf>
    <xf numFmtId="171" fontId="3" fillId="0" borderId="0" xfId="0" applyNumberFormat="1" applyFont="1" applyBorder="1" applyAlignment="1">
      <alignment horizontal="center" vertical="center"/>
    </xf>
    <xf numFmtId="39" fontId="32" fillId="12" borderId="0" xfId="0" applyNumberFormat="1" applyFont="1" applyFill="1" applyBorder="1" applyAlignment="1">
      <alignment horizontal="justify" vertical="center" wrapText="1"/>
    </xf>
    <xf numFmtId="172" fontId="0" fillId="0" borderId="0" xfId="0" applyNumberFormat="1">
      <alignment vertical="center"/>
    </xf>
    <xf numFmtId="167" fontId="4" fillId="14" borderId="0" xfId="0" applyNumberFormat="1" applyFont="1" applyFill="1" applyAlignment="1">
      <alignment horizontal="center" vertical="center"/>
    </xf>
    <xf numFmtId="167" fontId="39" fillId="3" borderId="10" xfId="0" applyNumberFormat="1" applyFont="1" applyFill="1" applyBorder="1" applyAlignment="1">
      <alignment vertical="center" wrapText="1"/>
    </xf>
    <xf numFmtId="167" fontId="32" fillId="16" borderId="4" xfId="5" applyNumberFormat="1" applyFont="1" applyFill="1" applyBorder="1" applyAlignment="1">
      <alignment horizontal="center" vertical="center" wrapText="1"/>
    </xf>
    <xf numFmtId="167" fontId="3" fillId="0" borderId="24" xfId="5" applyNumberFormat="1" applyFont="1" applyFill="1" applyBorder="1" applyAlignment="1" applyProtection="1">
      <alignment horizontal="center" vertical="center"/>
    </xf>
    <xf numFmtId="167" fontId="3" fillId="12" borderId="0" xfId="5" applyNumberFormat="1" applyFont="1" applyFill="1" applyBorder="1" applyAlignment="1" applyProtection="1">
      <alignment horizontal="center" vertical="center"/>
    </xf>
    <xf numFmtId="167" fontId="3" fillId="12" borderId="24" xfId="5" applyNumberFormat="1" applyFont="1" applyFill="1" applyBorder="1" applyAlignment="1" applyProtection="1">
      <alignment horizontal="center" vertical="center"/>
    </xf>
    <xf numFmtId="167" fontId="3" fillId="0" borderId="0" xfId="5" applyNumberFormat="1" applyFont="1" applyFill="1" applyBorder="1" applyAlignment="1">
      <alignment horizontal="center" vertical="center"/>
    </xf>
    <xf numFmtId="167" fontId="3" fillId="0" borderId="24" xfId="5" applyNumberFormat="1" applyFont="1" applyFill="1" applyBorder="1" applyAlignment="1">
      <alignment horizontal="center" vertical="center"/>
    </xf>
    <xf numFmtId="167" fontId="3" fillId="12" borderId="0" xfId="5" applyNumberFormat="1" applyFont="1" applyFill="1" applyBorder="1" applyAlignment="1">
      <alignment horizontal="center" vertical="center"/>
    </xf>
    <xf numFmtId="167" fontId="3" fillId="12" borderId="24" xfId="5" applyNumberFormat="1" applyFont="1" applyFill="1" applyBorder="1" applyAlignment="1">
      <alignment horizontal="center" vertical="center"/>
    </xf>
    <xf numFmtId="167" fontId="3" fillId="0" borderId="42" xfId="5" applyNumberFormat="1" applyFont="1" applyFill="1" applyBorder="1" applyAlignment="1" applyProtection="1">
      <alignment horizontal="center" vertical="center"/>
    </xf>
    <xf numFmtId="167" fontId="3" fillId="12" borderId="42" xfId="5" applyNumberFormat="1" applyFont="1" applyFill="1" applyBorder="1" applyAlignment="1" applyProtection="1">
      <alignment horizontal="center" vertical="center"/>
    </xf>
    <xf numFmtId="167" fontId="3" fillId="0" borderId="0" xfId="5" applyNumberFormat="1" applyFont="1" applyFill="1" applyBorder="1" applyAlignment="1" applyProtection="1">
      <alignment horizontal="center" vertical="center"/>
      <protection locked="0"/>
    </xf>
    <xf numFmtId="167" fontId="3" fillId="0" borderId="42" xfId="5" applyNumberFormat="1" applyFont="1" applyFill="1" applyBorder="1" applyAlignment="1">
      <alignment horizontal="center" vertical="center"/>
    </xf>
    <xf numFmtId="167" fontId="3" fillId="0" borderId="41" xfId="5" applyNumberFormat="1" applyFont="1" applyFill="1" applyBorder="1" applyAlignment="1" applyProtection="1">
      <alignment horizontal="center" vertical="center"/>
    </xf>
    <xf numFmtId="167" fontId="3" fillId="12" borderId="0" xfId="13" applyNumberFormat="1" applyFont="1" applyFill="1" applyBorder="1" applyAlignment="1" applyProtection="1">
      <alignment horizontal="center" vertical="center"/>
    </xf>
    <xf numFmtId="167" fontId="3" fillId="12" borderId="42" xfId="5" applyNumberFormat="1" applyFont="1" applyFill="1" applyBorder="1" applyAlignment="1">
      <alignment horizontal="center" vertical="center"/>
    </xf>
    <xf numFmtId="167" fontId="3" fillId="3" borderId="0" xfId="5" applyNumberFormat="1" applyFont="1" applyFill="1" applyBorder="1" applyAlignment="1">
      <alignment horizontal="center" vertical="center"/>
    </xf>
    <xf numFmtId="167" fontId="3" fillId="3" borderId="42" xfId="5" applyNumberFormat="1" applyFont="1" applyFill="1" applyBorder="1" applyAlignment="1">
      <alignment horizontal="center" vertical="center"/>
    </xf>
    <xf numFmtId="167" fontId="32" fillId="19" borderId="4" xfId="5" applyNumberFormat="1" applyFont="1" applyFill="1" applyBorder="1" applyAlignment="1">
      <alignment horizontal="center" vertical="center"/>
    </xf>
    <xf numFmtId="167" fontId="0" fillId="0" borderId="0" xfId="0" applyNumberFormat="1" applyAlignment="1">
      <alignment horizontal="center" vertical="center"/>
    </xf>
    <xf numFmtId="39" fontId="23" fillId="7" borderId="20" xfId="2"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3" fillId="12" borderId="0" xfId="0" applyNumberFormat="1" applyFont="1" applyFill="1" applyBorder="1" applyAlignment="1">
      <alignment horizontal="justify" vertical="center"/>
    </xf>
    <xf numFmtId="39" fontId="3" fillId="12" borderId="0" xfId="0" applyNumberFormat="1" applyFont="1" applyFill="1" applyBorder="1" applyAlignment="1">
      <alignment horizontal="center" vertical="center"/>
    </xf>
    <xf numFmtId="171" fontId="3" fillId="12" borderId="0" xfId="0" applyNumberFormat="1" applyFont="1" applyFill="1" applyBorder="1" applyAlignment="1">
      <alignment horizontal="center" vertical="center"/>
    </xf>
    <xf numFmtId="39" fontId="3" fillId="12" borderId="49" xfId="0" applyNumberFormat="1" applyFont="1" applyFill="1" applyBorder="1" applyAlignment="1">
      <alignment horizontal="justify" vertical="center"/>
    </xf>
    <xf numFmtId="39" fontId="3" fillId="0" borderId="0" xfId="0" applyNumberFormat="1" applyFont="1" applyBorder="1" applyAlignment="1">
      <alignment horizontal="justify" vertical="center"/>
    </xf>
    <xf numFmtId="39" fontId="3" fillId="0" borderId="0" xfId="0" applyNumberFormat="1" applyFont="1" applyBorder="1" applyAlignment="1">
      <alignment horizontal="center" vertical="center"/>
    </xf>
    <xf numFmtId="3" fontId="3" fillId="0" borderId="0" xfId="0" applyNumberFormat="1" applyFont="1" applyBorder="1" applyAlignment="1">
      <alignment horizontal="right" vertical="center"/>
    </xf>
    <xf numFmtId="39" fontId="3" fillId="0" borderId="50" xfId="0" applyNumberFormat="1" applyFont="1" applyBorder="1" applyAlignment="1">
      <alignment horizontal="justify" vertical="center"/>
    </xf>
    <xf numFmtId="0" fontId="37" fillId="0" borderId="9" xfId="0" applyFont="1" applyBorder="1" applyAlignment="1">
      <alignment horizontal="center" vertical="center"/>
    </xf>
    <xf numFmtId="39" fontId="3" fillId="12" borderId="9" xfId="0" applyNumberFormat="1" applyFont="1" applyFill="1" applyBorder="1" applyAlignment="1">
      <alignment horizontal="left" vertical="center"/>
    </xf>
    <xf numFmtId="39" fontId="23" fillId="4" borderId="26" xfId="1" applyNumberFormat="1" applyFont="1" applyFill="1" applyBorder="1" applyAlignment="1">
      <alignment horizontal="center" vertical="center"/>
    </xf>
    <xf numFmtId="0" fontId="3" fillId="0" borderId="9" xfId="0" applyFont="1" applyBorder="1" applyAlignment="1">
      <alignment horizontal="center" vertical="center"/>
    </xf>
    <xf numFmtId="0" fontId="3" fillId="12" borderId="9" xfId="0" applyFont="1" applyFill="1" applyBorder="1" applyAlignment="1">
      <alignment horizontal="center" vertical="center"/>
    </xf>
    <xf numFmtId="42" fontId="31" fillId="2" borderId="0" xfId="17" applyFont="1" applyFill="1" applyAlignment="1">
      <alignment vertical="center"/>
    </xf>
    <xf numFmtId="42" fontId="31" fillId="2" borderId="9" xfId="17" applyFont="1" applyFill="1" applyBorder="1" applyAlignment="1">
      <alignment horizontal="center" vertical="center" wrapText="1"/>
    </xf>
    <xf numFmtId="42" fontId="4" fillId="0" borderId="0" xfId="17" applyFont="1" applyFill="1" applyAlignment="1">
      <alignment vertical="center"/>
    </xf>
    <xf numFmtId="39" fontId="3" fillId="12" borderId="9" xfId="0" applyNumberFormat="1" applyFont="1" applyFill="1" applyBorder="1" applyAlignment="1">
      <alignment horizontal="justify" vertical="center" wrapText="1"/>
    </xf>
    <xf numFmtId="0" fontId="3" fillId="16" borderId="9" xfId="0"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0" fontId="53" fillId="12" borderId="0" xfId="0" applyFont="1" applyFill="1" applyAlignment="1">
      <alignment horizontal="left" vertical="center"/>
    </xf>
    <xf numFmtId="0" fontId="3" fillId="0" borderId="0" xfId="0" applyFont="1" applyAlignment="1">
      <alignment horizontal="justify" vertical="center" wrapText="1"/>
    </xf>
    <xf numFmtId="39" fontId="37" fillId="0" borderId="0" xfId="0" applyNumberFormat="1" applyFont="1" applyAlignment="1">
      <alignment horizontal="justify" vertical="center"/>
    </xf>
    <xf numFmtId="39" fontId="37" fillId="0" borderId="9" xfId="0" applyNumberFormat="1" applyFont="1" applyBorder="1" applyAlignment="1">
      <alignment horizontal="center" vertical="center"/>
    </xf>
    <xf numFmtId="39" fontId="37" fillId="12" borderId="9" xfId="0" applyNumberFormat="1" applyFont="1" applyFill="1" applyBorder="1" applyAlignment="1">
      <alignment horizontal="center" vertical="center"/>
    </xf>
    <xf numFmtId="0" fontId="43" fillId="0" borderId="9" xfId="0" applyFont="1" applyBorder="1" applyAlignment="1">
      <alignment horizontal="center" vertical="center"/>
    </xf>
    <xf numFmtId="49" fontId="3" fillId="0" borderId="19" xfId="0" applyNumberFormat="1" applyFont="1" applyBorder="1" applyAlignment="1">
      <alignment horizontal="center" vertical="center"/>
    </xf>
    <xf numFmtId="39" fontId="3" fillId="12" borderId="44" xfId="0" applyNumberFormat="1" applyFont="1" applyFill="1" applyBorder="1" applyAlignment="1">
      <alignment horizontal="center" vertical="center"/>
    </xf>
    <xf numFmtId="39" fontId="3" fillId="12" borderId="19" xfId="0" applyNumberFormat="1" applyFont="1" applyFill="1" applyBorder="1" applyAlignment="1">
      <alignment horizontal="center" vertical="center"/>
    </xf>
    <xf numFmtId="49" fontId="3" fillId="12" borderId="19" xfId="0" applyNumberFormat="1" applyFont="1" applyFill="1" applyBorder="1" applyAlignment="1">
      <alignment horizontal="center" vertical="center"/>
    </xf>
    <xf numFmtId="39" fontId="52" fillId="4" borderId="20" xfId="1" applyNumberFormat="1" applyFont="1" applyFill="1" applyBorder="1" applyAlignment="1">
      <alignment horizontal="center" vertical="center"/>
    </xf>
    <xf numFmtId="39" fontId="47" fillId="4" borderId="20" xfId="1" applyNumberFormat="1" applyFont="1" applyFill="1" applyBorder="1" applyAlignment="1">
      <alignment horizontal="center" vertical="center"/>
    </xf>
    <xf numFmtId="39" fontId="52" fillId="7" borderId="20" xfId="2" applyNumberFormat="1" applyFont="1" applyFill="1" applyBorder="1" applyAlignment="1">
      <alignment horizontal="center" vertical="center"/>
    </xf>
    <xf numFmtId="0" fontId="3" fillId="0" borderId="0" xfId="0" applyFont="1" applyAlignment="1">
      <alignment vertical="justify" wrapText="1"/>
    </xf>
    <xf numFmtId="39" fontId="33" fillId="12" borderId="19" xfId="0" applyNumberFormat="1" applyFont="1" applyFill="1" applyBorder="1" applyAlignment="1" applyProtection="1">
      <alignment horizontal="center" vertical="center"/>
      <protection locked="0"/>
    </xf>
    <xf numFmtId="3" fontId="49" fillId="0" borderId="16" xfId="21" applyNumberFormat="1" applyFont="1" applyBorder="1" applyAlignment="1">
      <alignment horizontal="right" vertical="center"/>
    </xf>
    <xf numFmtId="3" fontId="53" fillId="0" borderId="0" xfId="21" applyNumberFormat="1" applyFont="1" applyBorder="1" applyAlignment="1">
      <alignment horizontal="right" vertical="center"/>
    </xf>
    <xf numFmtId="3" fontId="53" fillId="0" borderId="23" xfId="21" applyNumberFormat="1" applyFont="1" applyBorder="1" applyAlignment="1">
      <alignment horizontal="right" vertical="center"/>
    </xf>
    <xf numFmtId="3" fontId="53" fillId="12" borderId="0" xfId="21" applyNumberFormat="1" applyFont="1" applyFill="1" applyBorder="1" applyAlignment="1">
      <alignment horizontal="right" vertical="center"/>
    </xf>
    <xf numFmtId="3" fontId="49" fillId="12" borderId="16" xfId="21" applyNumberFormat="1" applyFont="1" applyFill="1" applyBorder="1" applyAlignment="1">
      <alignment horizontal="right" vertical="center"/>
    </xf>
    <xf numFmtId="3" fontId="53" fillId="0" borderId="43" xfId="21" applyNumberFormat="1" applyFont="1" applyBorder="1" applyAlignment="1">
      <alignment horizontal="right" vertical="center"/>
    </xf>
    <xf numFmtId="3" fontId="3" fillId="12" borderId="0" xfId="17" applyNumberFormat="1" applyFont="1" applyFill="1" applyBorder="1" applyAlignment="1" applyProtection="1">
      <alignment horizontal="right" vertical="center"/>
    </xf>
    <xf numFmtId="0" fontId="0" fillId="0" borderId="0" xfId="0" applyAlignment="1">
      <alignment vertical="center"/>
    </xf>
    <xf numFmtId="0" fontId="0" fillId="12" borderId="0" xfId="0" applyFill="1" applyAlignment="1">
      <alignment vertical="center"/>
    </xf>
    <xf numFmtId="3" fontId="49" fillId="0" borderId="14" xfId="21" applyNumberFormat="1" applyFont="1" applyFill="1" applyBorder="1" applyAlignment="1" applyProtection="1">
      <alignment horizontal="right" vertical="center"/>
    </xf>
    <xf numFmtId="167" fontId="49" fillId="0" borderId="14" xfId="21" applyNumberFormat="1" applyFont="1" applyFill="1" applyBorder="1" applyAlignment="1" applyProtection="1">
      <alignment vertical="center"/>
    </xf>
    <xf numFmtId="164" fontId="50" fillId="0" borderId="0" xfId="21" applyFont="1" applyFill="1" applyBorder="1" applyAlignment="1" applyProtection="1">
      <alignment horizontal="right" vertical="center"/>
    </xf>
    <xf numFmtId="164" fontId="50" fillId="0" borderId="0" xfId="21" applyFont="1" applyFill="1" applyBorder="1" applyAlignment="1" applyProtection="1">
      <alignment vertical="center"/>
    </xf>
    <xf numFmtId="167" fontId="53" fillId="0" borderId="0" xfId="0" applyNumberFormat="1" applyFont="1" applyAlignment="1">
      <alignment horizontal="right" vertical="center"/>
    </xf>
    <xf numFmtId="3" fontId="49" fillId="0" borderId="14" xfId="0" applyNumberFormat="1" applyFont="1" applyBorder="1" applyAlignment="1">
      <alignment horizontal="justify" vertical="center" wrapText="1"/>
    </xf>
    <xf numFmtId="3" fontId="49" fillId="0" borderId="14" xfId="0" applyNumberFormat="1" applyFont="1" applyBorder="1" applyAlignment="1">
      <alignment horizontal="center" vertical="center"/>
    </xf>
    <xf numFmtId="3" fontId="53" fillId="0" borderId="0" xfId="0" applyNumberFormat="1" applyFont="1" applyAlignment="1">
      <alignment horizontal="center" vertical="center"/>
    </xf>
    <xf numFmtId="3" fontId="52" fillId="7" borderId="20" xfId="2" applyNumberFormat="1" applyFont="1" applyFill="1" applyBorder="1" applyAlignment="1">
      <alignment horizontal="center" vertical="center"/>
    </xf>
    <xf numFmtId="3" fontId="53" fillId="12" borderId="0" xfId="0" applyNumberFormat="1" applyFont="1" applyFill="1" applyAlignment="1">
      <alignment horizontal="left" vertical="center"/>
    </xf>
    <xf numFmtId="3" fontId="53" fillId="12" borderId="0" xfId="0" applyNumberFormat="1" applyFont="1" applyFill="1" applyAlignment="1">
      <alignment horizontal="center" vertical="center"/>
    </xf>
    <xf numFmtId="3" fontId="49" fillId="0" borderId="31" xfId="0" applyNumberFormat="1" applyFont="1" applyBorder="1" applyAlignment="1">
      <alignment horizontal="center" vertical="center"/>
    </xf>
    <xf numFmtId="3" fontId="53" fillId="12" borderId="0" xfId="0" applyNumberFormat="1" applyFont="1" applyFill="1" applyAlignment="1">
      <alignment horizontal="justify" vertical="center" wrapText="1"/>
    </xf>
    <xf numFmtId="3" fontId="49" fillId="0" borderId="14" xfId="0" applyNumberFormat="1" applyFont="1" applyBorder="1" applyAlignment="1">
      <alignment vertical="center" wrapText="1"/>
    </xf>
    <xf numFmtId="3" fontId="46" fillId="0" borderId="0" xfId="0" applyNumberFormat="1" applyFont="1" applyAlignment="1">
      <alignment horizontal="center" vertical="center"/>
    </xf>
    <xf numFmtId="3" fontId="46" fillId="0" borderId="0" xfId="21" applyNumberFormat="1" applyFont="1" applyBorder="1" applyAlignment="1">
      <alignment horizontal="right" vertical="center"/>
    </xf>
    <xf numFmtId="3" fontId="58" fillId="0" borderId="14" xfId="0" applyNumberFormat="1" applyFont="1" applyBorder="1" applyAlignment="1">
      <alignment horizontal="justify" vertical="center" wrapText="1"/>
    </xf>
    <xf numFmtId="3" fontId="58" fillId="0" borderId="14" xfId="0" applyNumberFormat="1" applyFont="1" applyBorder="1" applyAlignment="1">
      <alignment horizontal="center" vertical="center"/>
    </xf>
    <xf numFmtId="3" fontId="58" fillId="0" borderId="16" xfId="21" applyNumberFormat="1" applyFont="1" applyBorder="1" applyAlignment="1">
      <alignment horizontal="right" vertical="center"/>
    </xf>
    <xf numFmtId="3" fontId="46" fillId="12" borderId="0" xfId="0" applyNumberFormat="1" applyFont="1" applyFill="1" applyAlignment="1">
      <alignment horizontal="center" vertical="center"/>
    </xf>
    <xf numFmtId="3" fontId="53" fillId="0" borderId="0" xfId="0" applyNumberFormat="1" applyFont="1" applyAlignment="1">
      <alignment horizontal="justify" vertical="center" wrapText="1"/>
    </xf>
    <xf numFmtId="3" fontId="47" fillId="7" borderId="20" xfId="2" applyNumberFormat="1" applyFont="1" applyFill="1" applyBorder="1" applyAlignment="1">
      <alignment horizontal="center" vertical="center"/>
    </xf>
    <xf numFmtId="3" fontId="46" fillId="0" borderId="0" xfId="0" applyNumberFormat="1" applyFont="1" applyAlignment="1">
      <alignment horizontal="justify" vertical="center" wrapText="1"/>
    </xf>
    <xf numFmtId="3" fontId="53" fillId="0" borderId="0" xfId="0" applyNumberFormat="1" applyFont="1" applyAlignment="1">
      <alignment vertical="center" wrapText="1"/>
    </xf>
    <xf numFmtId="3" fontId="50" fillId="0" borderId="0" xfId="0" applyNumberFormat="1" applyFont="1" applyAlignment="1">
      <alignment horizontal="center" vertical="center"/>
    </xf>
    <xf numFmtId="3" fontId="50" fillId="0" borderId="0" xfId="21" applyNumberFormat="1" applyFont="1" applyFill="1" applyBorder="1" applyAlignment="1" applyProtection="1">
      <alignment horizontal="right" vertical="center"/>
    </xf>
    <xf numFmtId="3" fontId="50" fillId="0" borderId="0" xfId="21" applyNumberFormat="1" applyFont="1" applyFill="1" applyBorder="1" applyAlignment="1" applyProtection="1">
      <alignment vertical="center"/>
    </xf>
    <xf numFmtId="3" fontId="49" fillId="0" borderId="53" xfId="0" applyNumberFormat="1" applyFont="1" applyBorder="1" applyAlignment="1">
      <alignment horizontal="justify" vertical="center" wrapText="1"/>
    </xf>
    <xf numFmtId="3" fontId="47" fillId="4" borderId="20" xfId="1" applyNumberFormat="1" applyFont="1" applyFill="1" applyBorder="1" applyAlignment="1">
      <alignment horizontal="center" vertical="center"/>
    </xf>
    <xf numFmtId="0" fontId="3" fillId="0" borderId="0" xfId="0" applyFont="1" applyBorder="1" applyAlignment="1">
      <alignment horizontal="center" vertical="center"/>
    </xf>
    <xf numFmtId="39" fontId="3" fillId="0" borderId="49" xfId="0" applyNumberFormat="1" applyFont="1" applyBorder="1" applyAlignment="1">
      <alignment horizontal="left" vertical="center"/>
    </xf>
    <xf numFmtId="167" fontId="32" fillId="16" borderId="4" xfId="0" applyNumberFormat="1" applyFont="1" applyFill="1" applyBorder="1" applyAlignment="1">
      <alignment horizontal="center" vertical="center" wrapText="1"/>
    </xf>
    <xf numFmtId="167" fontId="50" fillId="0" borderId="0" xfId="21" applyNumberFormat="1" applyFont="1" applyFill="1" applyBorder="1" applyAlignment="1" applyProtection="1">
      <alignment vertical="center"/>
    </xf>
    <xf numFmtId="3" fontId="49" fillId="0" borderId="31" xfId="0" applyNumberFormat="1" applyFont="1" applyBorder="1" applyAlignment="1">
      <alignment horizontal="center" vertical="center" wrapText="1"/>
    </xf>
    <xf numFmtId="0" fontId="49" fillId="0" borderId="15" xfId="0" applyFont="1" applyBorder="1" applyAlignment="1">
      <alignment horizontal="center" vertical="center" wrapText="1"/>
    </xf>
    <xf numFmtId="49" fontId="49" fillId="0" borderId="20" xfId="0" applyNumberFormat="1" applyFont="1" applyBorder="1" applyAlignment="1" applyProtection="1">
      <alignment horizontal="center" vertical="center"/>
      <protection locked="0"/>
    </xf>
    <xf numFmtId="39" fontId="58" fillId="0" borderId="0" xfId="0" applyNumberFormat="1" applyFont="1" applyAlignment="1" applyProtection="1">
      <alignment horizontal="justify" vertical="center"/>
      <protection locked="0"/>
    </xf>
    <xf numFmtId="39" fontId="58" fillId="0" borderId="0" xfId="0" applyNumberFormat="1" applyFont="1" applyAlignment="1" applyProtection="1">
      <alignment horizontal="center" vertical="center"/>
      <protection locked="0"/>
    </xf>
    <xf numFmtId="167" fontId="58" fillId="0" borderId="0" xfId="0" applyNumberFormat="1" applyFont="1" applyAlignment="1" applyProtection="1">
      <alignment horizontal="center" vertical="center"/>
      <protection locked="0"/>
    </xf>
    <xf numFmtId="3" fontId="58" fillId="0" borderId="0" xfId="5" applyNumberFormat="1" applyFont="1" applyFill="1" applyBorder="1" applyAlignment="1" applyProtection="1">
      <alignment horizontal="right" vertical="center"/>
    </xf>
    <xf numFmtId="39" fontId="58" fillId="0" borderId="23" xfId="0" applyNumberFormat="1" applyFont="1" applyBorder="1">
      <alignment vertical="center"/>
    </xf>
    <xf numFmtId="39" fontId="58" fillId="0" borderId="14" xfId="0" applyNumberFormat="1" applyFont="1" applyBorder="1" applyAlignment="1" applyProtection="1">
      <alignment horizontal="justify" vertical="center"/>
      <protection locked="0"/>
    </xf>
    <xf numFmtId="39" fontId="58" fillId="0" borderId="14" xfId="0" applyNumberFormat="1" applyFont="1" applyBorder="1" applyAlignment="1" applyProtection="1">
      <alignment horizontal="center" vertical="center"/>
      <protection locked="0"/>
    </xf>
    <xf numFmtId="167" fontId="58" fillId="0" borderId="14" xfId="0" applyNumberFormat="1" applyFont="1" applyBorder="1" applyAlignment="1" applyProtection="1">
      <alignment horizontal="center" vertical="center"/>
      <protection locked="0"/>
    </xf>
    <xf numFmtId="42" fontId="33" fillId="0" borderId="23" xfId="0" applyNumberFormat="1" applyFont="1" applyBorder="1">
      <alignment vertical="center"/>
    </xf>
    <xf numFmtId="167" fontId="61" fillId="0" borderId="0" xfId="13" applyNumberFormat="1" applyFont="1" applyFill="1" applyBorder="1" applyAlignment="1" applyProtection="1">
      <alignment horizontal="center" vertical="center"/>
    </xf>
    <xf numFmtId="39" fontId="58" fillId="0" borderId="0" xfId="0" applyNumberFormat="1" applyFont="1" applyAlignment="1" applyProtection="1">
      <alignment horizontal="justify" vertical="center" wrapText="1"/>
      <protection locked="0"/>
    </xf>
    <xf numFmtId="0" fontId="8" fillId="14" borderId="0" xfId="0" applyFont="1" applyFill="1" applyAlignment="1">
      <alignment horizontal="justify" vertical="center" wrapText="1"/>
    </xf>
    <xf numFmtId="39" fontId="9" fillId="12" borderId="0" xfId="0" applyNumberFormat="1" applyFont="1" applyFill="1" applyAlignment="1" applyProtection="1">
      <alignment horizontal="justify" vertical="center" wrapText="1"/>
      <protection locked="0"/>
    </xf>
    <xf numFmtId="39" fontId="3" fillId="12" borderId="6" xfId="0" applyNumberFormat="1" applyFont="1" applyFill="1" applyBorder="1" applyAlignment="1" applyProtection="1">
      <alignment horizontal="justify" vertical="center" wrapText="1"/>
      <protection locked="0"/>
    </xf>
    <xf numFmtId="0" fontId="3" fillId="12" borderId="5" xfId="0" applyFont="1" applyFill="1" applyBorder="1" applyAlignment="1">
      <alignment horizontal="justify" vertical="center" wrapText="1"/>
    </xf>
    <xf numFmtId="39" fontId="3" fillId="12" borderId="7" xfId="0" applyNumberFormat="1" applyFont="1" applyFill="1" applyBorder="1" applyAlignment="1">
      <alignment horizontal="justify" vertical="center" wrapText="1"/>
    </xf>
    <xf numFmtId="39" fontId="3" fillId="12" borderId="0" xfId="0" quotePrefix="1" applyNumberFormat="1" applyFont="1" applyFill="1" applyAlignment="1">
      <alignment horizontal="justify" vertical="center" wrapText="1"/>
    </xf>
    <xf numFmtId="0" fontId="37" fillId="0" borderId="0" xfId="0" applyFont="1" applyAlignment="1">
      <alignment horizontal="justify" vertical="center" wrapText="1"/>
    </xf>
    <xf numFmtId="167" fontId="4" fillId="14" borderId="0" xfId="0" applyNumberFormat="1" applyFont="1" applyFill="1" applyAlignment="1">
      <alignment horizontal="right" vertical="center"/>
    </xf>
    <xf numFmtId="167" fontId="3" fillId="12" borderId="42" xfId="0" applyNumberFormat="1" applyFont="1" applyFill="1" applyBorder="1" applyAlignment="1">
      <alignment horizontal="right" vertical="center"/>
    </xf>
    <xf numFmtId="167" fontId="3" fillId="0" borderId="0" xfId="0" applyNumberFormat="1" applyFont="1" applyAlignment="1">
      <alignment horizontal="right" vertical="center"/>
    </xf>
    <xf numFmtId="167" fontId="22" fillId="0" borderId="0" xfId="0" applyNumberFormat="1" applyFont="1" applyAlignment="1">
      <alignment horizontal="right" vertical="center"/>
    </xf>
    <xf numFmtId="167" fontId="3" fillId="12" borderId="42" xfId="5" applyNumberFormat="1" applyFont="1" applyFill="1" applyBorder="1" applyAlignment="1" applyProtection="1">
      <alignment horizontal="right" vertical="center"/>
    </xf>
    <xf numFmtId="167" fontId="22" fillId="0" borderId="0" xfId="5" applyNumberFormat="1" applyFont="1" applyFill="1" applyAlignment="1">
      <alignment horizontal="right" vertical="center"/>
    </xf>
    <xf numFmtId="3" fontId="4" fillId="14" borderId="0" xfId="0" applyNumberFormat="1" applyFont="1" applyFill="1" applyAlignment="1">
      <alignment vertical="center"/>
    </xf>
    <xf numFmtId="3" fontId="3" fillId="12" borderId="0" xfId="17" applyNumberFormat="1" applyFont="1" applyFill="1" applyBorder="1" applyAlignment="1" applyProtection="1">
      <alignment vertical="center"/>
    </xf>
    <xf numFmtId="3" fontId="3" fillId="12" borderId="42" xfId="17" applyNumberFormat="1" applyFont="1" applyFill="1" applyBorder="1" applyAlignment="1" applyProtection="1">
      <alignment vertical="center"/>
    </xf>
    <xf numFmtId="3" fontId="4" fillId="12" borderId="0" xfId="17" applyNumberFormat="1" applyFont="1" applyFill="1" applyBorder="1" applyAlignment="1" applyProtection="1">
      <alignment vertical="center"/>
    </xf>
    <xf numFmtId="3" fontId="22" fillId="0" borderId="0" xfId="17" applyNumberFormat="1" applyFont="1" applyFill="1" applyAlignment="1">
      <alignment vertical="center"/>
    </xf>
    <xf numFmtId="0" fontId="37" fillId="12" borderId="0" xfId="0" applyFont="1" applyFill="1">
      <alignment vertical="center"/>
    </xf>
    <xf numFmtId="39" fontId="32" fillId="12" borderId="0" xfId="0" applyNumberFormat="1" applyFont="1" applyFill="1" applyAlignment="1" applyProtection="1">
      <alignment horizontal="justify" vertical="center" wrapText="1"/>
      <protection locked="0"/>
    </xf>
    <xf numFmtId="39" fontId="32" fillId="12" borderId="0" xfId="0" applyNumberFormat="1" applyFont="1" applyFill="1" applyAlignment="1" applyProtection="1">
      <alignment horizontal="center" vertical="center"/>
      <protection locked="0"/>
    </xf>
    <xf numFmtId="167" fontId="32" fillId="12" borderId="14" xfId="5" applyNumberFormat="1" applyFont="1" applyFill="1" applyBorder="1" applyAlignment="1">
      <alignment horizontal="right" vertical="center"/>
    </xf>
    <xf numFmtId="3" fontId="32" fillId="12" borderId="14" xfId="17" applyNumberFormat="1" applyFont="1" applyFill="1" applyBorder="1" applyAlignment="1" applyProtection="1">
      <alignment vertical="center"/>
    </xf>
    <xf numFmtId="167" fontId="32" fillId="12" borderId="0" xfId="0" applyNumberFormat="1" applyFont="1" applyFill="1" applyAlignment="1">
      <alignment horizontal="right" vertical="center"/>
    </xf>
    <xf numFmtId="42" fontId="32" fillId="12" borderId="23" xfId="0" applyNumberFormat="1" applyFont="1" applyFill="1" applyBorder="1">
      <alignment vertical="center"/>
    </xf>
    <xf numFmtId="0" fontId="32" fillId="12" borderId="0" xfId="0" applyFont="1" applyFill="1">
      <alignment vertical="center"/>
    </xf>
    <xf numFmtId="39" fontId="40" fillId="12" borderId="0" xfId="0" applyNumberFormat="1" applyFont="1" applyFill="1" applyAlignment="1" applyProtection="1">
      <alignment horizontal="justify" vertical="center" wrapText="1"/>
      <protection locked="0"/>
    </xf>
    <xf numFmtId="39" fontId="40" fillId="12" borderId="0" xfId="0" applyNumberFormat="1" applyFont="1" applyFill="1" applyAlignment="1" applyProtection="1">
      <alignment horizontal="center" vertical="center"/>
      <protection locked="0"/>
    </xf>
    <xf numFmtId="42" fontId="40" fillId="12" borderId="16" xfId="0" applyNumberFormat="1" applyFont="1" applyFill="1" applyBorder="1">
      <alignment vertical="center"/>
    </xf>
    <xf numFmtId="39" fontId="32" fillId="12" borderId="14" xfId="0" applyNumberFormat="1" applyFont="1" applyFill="1" applyBorder="1" applyAlignment="1" applyProtection="1">
      <alignment horizontal="justify" vertical="center" wrapText="1"/>
      <protection locked="0"/>
    </xf>
    <xf numFmtId="39" fontId="32" fillId="12" borderId="14" xfId="0" applyNumberFormat="1" applyFont="1" applyFill="1" applyBorder="1" applyAlignment="1" applyProtection="1">
      <alignment horizontal="center" vertical="center"/>
      <protection locked="0"/>
    </xf>
    <xf numFmtId="167" fontId="32" fillId="12" borderId="14" xfId="0" applyNumberFormat="1" applyFont="1" applyFill="1" applyBorder="1" applyAlignment="1">
      <alignment horizontal="right" vertical="center"/>
    </xf>
    <xf numFmtId="42" fontId="32" fillId="12" borderId="16" xfId="0" applyNumberFormat="1" applyFont="1" applyFill="1" applyBorder="1">
      <alignment vertical="center"/>
    </xf>
    <xf numFmtId="0" fontId="33" fillId="12" borderId="0" xfId="0" applyFont="1" applyFill="1">
      <alignment vertical="center"/>
    </xf>
    <xf numFmtId="42" fontId="40" fillId="12" borderId="23" xfId="0" applyNumberFormat="1" applyFont="1" applyFill="1" applyBorder="1">
      <alignment vertical="center"/>
    </xf>
    <xf numFmtId="0" fontId="38" fillId="12" borderId="0" xfId="0" applyFont="1" applyFill="1">
      <alignment vertical="center"/>
    </xf>
    <xf numFmtId="0" fontId="9" fillId="12" borderId="42" xfId="0" applyFont="1" applyFill="1" applyBorder="1" applyAlignment="1">
      <alignment horizontal="center" vertical="center"/>
    </xf>
    <xf numFmtId="42" fontId="60" fillId="12" borderId="23" xfId="0" applyNumberFormat="1" applyFont="1" applyFill="1" applyBorder="1">
      <alignment vertical="center"/>
    </xf>
    <xf numFmtId="0" fontId="23" fillId="5" borderId="20" xfId="2" applyFont="1" applyFill="1" applyBorder="1" applyAlignment="1">
      <alignment horizontal="center" vertical="center" wrapText="1"/>
    </xf>
    <xf numFmtId="39" fontId="23" fillId="6" borderId="20" xfId="0" applyNumberFormat="1" applyFont="1" applyFill="1" applyBorder="1" applyAlignment="1" applyProtection="1">
      <alignment horizontal="center" vertical="center"/>
      <protection locked="0"/>
    </xf>
    <xf numFmtId="0" fontId="32" fillId="16" borderId="11" xfId="0" applyFont="1" applyFill="1" applyBorder="1" applyAlignment="1">
      <alignment horizontal="center" vertical="center"/>
    </xf>
    <xf numFmtId="0" fontId="32" fillId="16" borderId="4" xfId="0" applyFont="1" applyFill="1" applyBorder="1" applyAlignment="1">
      <alignment horizontal="center" vertical="center"/>
    </xf>
    <xf numFmtId="39" fontId="38" fillId="12" borderId="19" xfId="0" applyNumberFormat="1" applyFont="1" applyFill="1" applyBorder="1" applyAlignment="1" applyProtection="1">
      <alignment horizontal="center" vertical="center"/>
      <protection locked="0"/>
    </xf>
    <xf numFmtId="3" fontId="32" fillId="16" borderId="46" xfId="0" applyNumberFormat="1" applyFont="1" applyFill="1" applyBorder="1" applyAlignment="1">
      <alignment horizontal="center" vertical="center" wrapText="1"/>
    </xf>
    <xf numFmtId="39" fontId="37" fillId="12" borderId="0" xfId="0" applyNumberFormat="1" applyFont="1" applyFill="1" applyAlignment="1">
      <alignment horizontal="center" vertical="center"/>
    </xf>
    <xf numFmtId="167" fontId="32" fillId="16" borderId="10" xfId="5" applyNumberFormat="1" applyFont="1" applyFill="1" applyBorder="1" applyAlignment="1">
      <alignment horizontal="center" vertical="center" wrapText="1"/>
    </xf>
    <xf numFmtId="167" fontId="32" fillId="16" borderId="11" xfId="0" applyNumberFormat="1" applyFont="1" applyFill="1" applyBorder="1" applyAlignment="1">
      <alignment horizontal="center" vertical="center" wrapText="1"/>
    </xf>
    <xf numFmtId="49" fontId="59" fillId="0" borderId="20" xfId="0" applyNumberFormat="1" applyFont="1" applyBorder="1" applyAlignment="1" applyProtection="1">
      <alignment horizontal="center" vertical="center"/>
      <protection locked="0"/>
    </xf>
    <xf numFmtId="0" fontId="32" fillId="16" borderId="4" xfId="0" applyFont="1" applyFill="1" applyBorder="1" applyAlignment="1">
      <alignment horizontal="center" vertical="center"/>
    </xf>
    <xf numFmtId="3" fontId="3" fillId="12" borderId="24" xfId="17" applyNumberFormat="1" applyFont="1" applyFill="1" applyBorder="1" applyAlignment="1" applyProtection="1">
      <alignment vertical="center"/>
    </xf>
    <xf numFmtId="0" fontId="59" fillId="0" borderId="0" xfId="0" applyFont="1" applyAlignment="1">
      <alignment horizontal="justify" vertical="center" wrapText="1"/>
    </xf>
    <xf numFmtId="3" fontId="32" fillId="12" borderId="0" xfId="17" applyNumberFormat="1" applyFont="1" applyFill="1" applyBorder="1" applyAlignment="1" applyProtection="1">
      <alignment vertical="center"/>
    </xf>
    <xf numFmtId="39" fontId="59" fillId="12" borderId="0" xfId="0" applyNumberFormat="1" applyFont="1" applyFill="1" applyAlignment="1" applyProtection="1">
      <alignment horizontal="justify" vertical="center" wrapText="1"/>
      <protection locked="0"/>
    </xf>
    <xf numFmtId="39" fontId="32" fillId="0" borderId="0" xfId="0" applyNumberFormat="1" applyFont="1" applyAlignment="1" applyProtection="1">
      <alignment horizontal="justify" vertical="center" wrapText="1"/>
      <protection locked="0"/>
    </xf>
    <xf numFmtId="167" fontId="32" fillId="12" borderId="0" xfId="5" applyNumberFormat="1" applyFont="1" applyFill="1" applyBorder="1" applyAlignment="1">
      <alignment horizontal="right" vertical="center"/>
    </xf>
    <xf numFmtId="39" fontId="40" fillId="12" borderId="14" xfId="0" applyNumberFormat="1" applyFont="1" applyFill="1" applyBorder="1" applyAlignment="1" applyProtection="1">
      <alignment horizontal="justify" vertical="center" wrapText="1"/>
      <protection locked="0"/>
    </xf>
    <xf numFmtId="39" fontId="40" fillId="12" borderId="14" xfId="0" applyNumberFormat="1" applyFont="1" applyFill="1" applyBorder="1" applyAlignment="1" applyProtection="1">
      <alignment horizontal="center" vertical="center"/>
      <protection locked="0"/>
    </xf>
    <xf numFmtId="39" fontId="32" fillId="12" borderId="0" xfId="0" applyNumberFormat="1" applyFont="1" applyFill="1" applyAlignment="1">
      <alignment horizontal="justify" vertical="center" wrapText="1"/>
    </xf>
    <xf numFmtId="42" fontId="33" fillId="12" borderId="23" xfId="0" applyNumberFormat="1" applyFont="1" applyFill="1" applyBorder="1">
      <alignment vertical="center"/>
    </xf>
    <xf numFmtId="39" fontId="32" fillId="12" borderId="2" xfId="0" applyNumberFormat="1" applyFont="1" applyFill="1" applyBorder="1" applyAlignment="1" applyProtection="1">
      <alignment horizontal="justify" vertical="center" wrapText="1"/>
      <protection locked="0"/>
    </xf>
    <xf numFmtId="39" fontId="32" fillId="12" borderId="2" xfId="0" applyNumberFormat="1" applyFont="1" applyFill="1" applyBorder="1" applyAlignment="1" applyProtection="1">
      <alignment horizontal="center" vertical="center"/>
      <protection locked="0"/>
    </xf>
    <xf numFmtId="3" fontId="32" fillId="12" borderId="2" xfId="17" applyNumberFormat="1" applyFont="1" applyFill="1" applyBorder="1" applyAlignment="1" applyProtection="1">
      <alignment vertical="center"/>
    </xf>
    <xf numFmtId="42" fontId="32" fillId="12" borderId="34" xfId="0" applyNumberFormat="1" applyFont="1" applyFill="1" applyBorder="1">
      <alignment vertical="center"/>
    </xf>
    <xf numFmtId="39" fontId="32" fillId="12" borderId="0" xfId="0" applyNumberFormat="1" applyFont="1" applyFill="1" applyAlignment="1">
      <alignment horizontal="center" vertical="center"/>
    </xf>
    <xf numFmtId="3" fontId="50" fillId="0" borderId="23" xfId="21" applyNumberFormat="1" applyFont="1" applyBorder="1" applyAlignment="1">
      <alignment horizontal="right" vertical="center"/>
    </xf>
    <xf numFmtId="3" fontId="32" fillId="12" borderId="47" xfId="17" applyNumberFormat="1" applyFont="1" applyFill="1" applyBorder="1" applyAlignment="1" applyProtection="1">
      <alignment vertical="center"/>
    </xf>
    <xf numFmtId="39" fontId="59" fillId="12" borderId="0" xfId="0" applyNumberFormat="1" applyFont="1" applyFill="1" applyAlignment="1">
      <alignment horizontal="justify" vertical="center" wrapText="1"/>
    </xf>
    <xf numFmtId="0" fontId="8" fillId="12" borderId="0" xfId="0" applyFont="1" applyFill="1">
      <alignment vertical="center"/>
    </xf>
    <xf numFmtId="49" fontId="3" fillId="12" borderId="19" xfId="0" applyNumberFormat="1" applyFont="1" applyFill="1" applyBorder="1" applyAlignment="1" applyProtection="1">
      <alignment horizontal="center" vertical="center"/>
      <protection locked="0"/>
    </xf>
    <xf numFmtId="0" fontId="65" fillId="12" borderId="0" xfId="0" applyFont="1" applyFill="1">
      <alignment vertical="center"/>
    </xf>
    <xf numFmtId="0" fontId="8" fillId="0" borderId="0" xfId="0" applyFont="1" applyAlignment="1">
      <alignment horizontal="center" vertical="center"/>
    </xf>
    <xf numFmtId="0" fontId="37" fillId="0" borderId="0" xfId="0" applyFont="1" applyAlignment="1">
      <alignment horizontal="center" vertical="center"/>
    </xf>
    <xf numFmtId="167" fontId="3" fillId="0" borderId="0" xfId="5" applyNumberFormat="1" applyFont="1" applyFill="1" applyAlignment="1">
      <alignment horizontal="right" vertical="center"/>
    </xf>
    <xf numFmtId="3" fontId="3" fillId="0" borderId="0" xfId="17" applyNumberFormat="1" applyFont="1" applyFill="1" applyAlignment="1">
      <alignment vertical="center"/>
    </xf>
    <xf numFmtId="42" fontId="37" fillId="0" borderId="0" xfId="0" applyNumberFormat="1" applyFont="1">
      <alignment vertical="center"/>
    </xf>
    <xf numFmtId="39" fontId="23" fillId="12" borderId="40" xfId="0" applyNumberFormat="1" applyFont="1" applyFill="1" applyBorder="1" applyAlignment="1">
      <alignment horizontal="center" vertical="center"/>
    </xf>
    <xf numFmtId="39" fontId="3" fillId="12" borderId="0" xfId="0" applyNumberFormat="1" applyFont="1" applyFill="1" applyBorder="1" applyAlignment="1">
      <alignment horizontal="justify" vertical="top" wrapText="1"/>
    </xf>
    <xf numFmtId="0" fontId="3" fillId="12" borderId="0" xfId="0" applyFont="1" applyFill="1" applyBorder="1" applyAlignment="1">
      <alignment horizontal="center" vertical="center"/>
    </xf>
    <xf numFmtId="39" fontId="32" fillId="12" borderId="0" xfId="0" applyNumberFormat="1" applyFont="1" applyFill="1" applyBorder="1" applyAlignment="1" applyProtection="1">
      <alignment horizontal="justify" vertical="center" wrapText="1"/>
      <protection locked="0"/>
    </xf>
    <xf numFmtId="39" fontId="32" fillId="12" borderId="0" xfId="0" applyNumberFormat="1" applyFont="1" applyFill="1" applyBorder="1" applyAlignment="1" applyProtection="1">
      <alignment horizontal="center" vertical="center"/>
      <protection locked="0"/>
    </xf>
    <xf numFmtId="0" fontId="33" fillId="12" borderId="0" xfId="0" applyFont="1" applyFill="1" applyAlignment="1">
      <alignment horizontal="center" vertical="center"/>
    </xf>
    <xf numFmtId="49" fontId="40" fillId="0" borderId="40" xfId="0" applyNumberFormat="1" applyFont="1" applyBorder="1" applyAlignment="1" applyProtection="1">
      <alignment horizontal="center" vertical="center"/>
      <protection locked="0"/>
    </xf>
    <xf numFmtId="39" fontId="32" fillId="0" borderId="0" xfId="0" applyNumberFormat="1" applyFont="1" applyAlignment="1" applyProtection="1">
      <alignment horizontal="justify" vertical="center"/>
      <protection locked="0"/>
    </xf>
    <xf numFmtId="39" fontId="32" fillId="0" borderId="0" xfId="0" applyNumberFormat="1" applyFont="1" applyAlignment="1" applyProtection="1">
      <alignment horizontal="center" vertical="center"/>
      <protection locked="0"/>
    </xf>
    <xf numFmtId="167" fontId="32" fillId="0" borderId="0" xfId="5" applyNumberFormat="1" applyFont="1" applyFill="1" applyBorder="1" applyAlignment="1">
      <alignment horizontal="center" vertical="center"/>
    </xf>
    <xf numFmtId="3" fontId="32" fillId="0" borderId="0" xfId="0" applyNumberFormat="1" applyFont="1" applyAlignment="1">
      <alignment horizontal="right" vertical="center"/>
    </xf>
    <xf numFmtId="171" fontId="32" fillId="0" borderId="0" xfId="0" applyNumberFormat="1" applyFont="1" applyAlignment="1">
      <alignment horizontal="center" vertical="center"/>
    </xf>
    <xf numFmtId="42" fontId="32" fillId="0" borderId="23" xfId="0" applyNumberFormat="1" applyFont="1" applyBorder="1">
      <alignment vertical="center"/>
    </xf>
    <xf numFmtId="39" fontId="40" fillId="0" borderId="20" xfId="0" applyNumberFormat="1" applyFont="1" applyBorder="1" applyAlignment="1" applyProtection="1">
      <alignment horizontal="center" vertical="center"/>
      <protection locked="0"/>
    </xf>
    <xf numFmtId="167" fontId="32" fillId="0" borderId="0" xfId="5" applyNumberFormat="1" applyFont="1" applyFill="1" applyBorder="1" applyAlignment="1" applyProtection="1">
      <alignment horizontal="center" vertical="center"/>
    </xf>
    <xf numFmtId="39" fontId="32" fillId="0" borderId="0" xfId="0" applyNumberFormat="1" applyFont="1" applyAlignment="1">
      <alignment horizontal="center" vertical="center"/>
    </xf>
    <xf numFmtId="3" fontId="32" fillId="0" borderId="23" xfId="0" applyNumberFormat="1" applyFont="1" applyBorder="1">
      <alignment vertical="center"/>
    </xf>
    <xf numFmtId="39" fontId="40" fillId="0" borderId="15" xfId="0" applyNumberFormat="1" applyFont="1" applyBorder="1" applyAlignment="1" applyProtection="1">
      <alignment horizontal="center" vertical="center"/>
      <protection locked="0"/>
    </xf>
    <xf numFmtId="39" fontId="32" fillId="12" borderId="0" xfId="0" applyNumberFormat="1" applyFont="1" applyFill="1" applyAlignment="1" applyProtection="1">
      <alignment horizontal="justify" vertical="center"/>
      <protection locked="0"/>
    </xf>
    <xf numFmtId="167" fontId="32" fillId="12" borderId="0" xfId="5" applyNumberFormat="1" applyFont="1" applyFill="1" applyBorder="1" applyAlignment="1" applyProtection="1">
      <alignment horizontal="center" vertical="center"/>
    </xf>
    <xf numFmtId="3" fontId="32" fillId="12" borderId="0" xfId="0" applyNumberFormat="1" applyFont="1" applyFill="1" applyAlignment="1">
      <alignment horizontal="right" vertical="center"/>
    </xf>
    <xf numFmtId="171" fontId="32" fillId="12" borderId="0" xfId="0" applyNumberFormat="1" applyFont="1" applyFill="1" applyAlignment="1">
      <alignment horizontal="center" vertical="center"/>
    </xf>
    <xf numFmtId="39" fontId="32" fillId="0" borderId="0" xfId="0" applyNumberFormat="1" applyFont="1" applyAlignment="1">
      <alignment horizontal="justify" vertical="center"/>
    </xf>
    <xf numFmtId="167" fontId="33" fillId="12" borderId="0" xfId="0" applyNumberFormat="1" applyFont="1" applyFill="1">
      <alignment vertical="center"/>
    </xf>
    <xf numFmtId="3" fontId="32" fillId="0" borderId="2" xfId="0" applyNumberFormat="1" applyFont="1" applyBorder="1" applyAlignment="1">
      <alignment horizontal="right" vertical="center"/>
    </xf>
    <xf numFmtId="171" fontId="33" fillId="12" borderId="0" xfId="0" applyNumberFormat="1" applyFont="1" applyFill="1">
      <alignment vertical="center"/>
    </xf>
    <xf numFmtId="0" fontId="38" fillId="0" borderId="0" xfId="0" applyFont="1">
      <alignment vertical="center"/>
    </xf>
    <xf numFmtId="39" fontId="32" fillId="0" borderId="2" xfId="0" applyNumberFormat="1" applyFont="1" applyBorder="1" applyAlignment="1" applyProtection="1">
      <alignment horizontal="justify" vertical="center"/>
      <protection locked="0"/>
    </xf>
    <xf numFmtId="39" fontId="32" fillId="0" borderId="2" xfId="0" applyNumberFormat="1" applyFont="1" applyBorder="1" applyAlignment="1" applyProtection="1">
      <alignment horizontal="center" vertical="center"/>
      <protection locked="0"/>
    </xf>
    <xf numFmtId="167" fontId="32" fillId="0" borderId="2" xfId="5" applyNumberFormat="1" applyFont="1" applyFill="1" applyBorder="1" applyAlignment="1" applyProtection="1">
      <alignment horizontal="center" vertical="center"/>
    </xf>
    <xf numFmtId="171" fontId="32" fillId="0" borderId="2" xfId="0" applyNumberFormat="1" applyFont="1" applyBorder="1" applyAlignment="1">
      <alignment horizontal="center" vertical="center"/>
    </xf>
    <xf numFmtId="39" fontId="40" fillId="12" borderId="0" xfId="0" applyNumberFormat="1" applyFont="1" applyFill="1" applyAlignment="1" applyProtection="1">
      <alignment horizontal="justify" vertical="center"/>
      <protection locked="0"/>
    </xf>
    <xf numFmtId="3" fontId="40" fillId="12" borderId="23" xfId="0" applyNumberFormat="1" applyFont="1" applyFill="1" applyBorder="1">
      <alignment vertical="center"/>
    </xf>
    <xf numFmtId="167" fontId="32" fillId="12" borderId="0" xfId="5" applyNumberFormat="1" applyFont="1" applyFill="1" applyBorder="1" applyAlignment="1">
      <alignment horizontal="center" vertical="center"/>
    </xf>
    <xf numFmtId="39" fontId="40" fillId="0" borderId="0" xfId="0" applyNumberFormat="1" applyFont="1" applyAlignment="1" applyProtection="1">
      <alignment horizontal="justify" vertical="center"/>
      <protection locked="0"/>
    </xf>
    <xf numFmtId="39" fontId="40" fillId="0" borderId="0" xfId="0" applyNumberFormat="1" applyFont="1" applyAlignment="1">
      <alignment horizontal="center" vertical="center"/>
    </xf>
    <xf numFmtId="3" fontId="40" fillId="0" borderId="23" xfId="0" applyNumberFormat="1" applyFont="1" applyBorder="1">
      <alignment vertical="center"/>
    </xf>
    <xf numFmtId="39" fontId="32" fillId="0" borderId="14" xfId="0" applyNumberFormat="1" applyFont="1" applyBorder="1" applyAlignment="1" applyProtection="1">
      <alignment horizontal="justify" vertical="center"/>
      <protection locked="0"/>
    </xf>
    <xf numFmtId="39" fontId="32" fillId="0" borderId="14" xfId="0" applyNumberFormat="1" applyFont="1" applyBorder="1" applyAlignment="1" applyProtection="1">
      <alignment horizontal="center" vertical="center"/>
      <protection locked="0"/>
    </xf>
    <xf numFmtId="167" fontId="32" fillId="0" borderId="14" xfId="5" applyNumberFormat="1" applyFont="1" applyFill="1" applyBorder="1" applyAlignment="1">
      <alignment horizontal="center" vertical="center"/>
    </xf>
    <xf numFmtId="3" fontId="32" fillId="0" borderId="14" xfId="0" applyNumberFormat="1" applyFont="1" applyBorder="1" applyAlignment="1">
      <alignment horizontal="right" vertical="center"/>
    </xf>
    <xf numFmtId="171" fontId="32" fillId="0" borderId="14" xfId="0" applyNumberFormat="1" applyFont="1" applyBorder="1" applyAlignment="1">
      <alignment horizontal="center" vertical="center"/>
    </xf>
    <xf numFmtId="3" fontId="32" fillId="0" borderId="16" xfId="0" applyNumberFormat="1" applyFont="1" applyBorder="1">
      <alignment vertical="center"/>
    </xf>
    <xf numFmtId="39" fontId="59" fillId="12" borderId="14" xfId="0" applyNumberFormat="1" applyFont="1" applyFill="1" applyBorder="1" applyAlignment="1" applyProtection="1">
      <alignment horizontal="justify" vertical="center"/>
      <protection locked="0"/>
    </xf>
    <xf numFmtId="39" fontId="32" fillId="12" borderId="14" xfId="0" applyNumberFormat="1" applyFont="1" applyFill="1" applyBorder="1" applyAlignment="1" applyProtection="1">
      <alignment horizontal="justify" vertical="center"/>
      <protection locked="0"/>
    </xf>
    <xf numFmtId="167" fontId="32" fillId="12" borderId="14" xfId="5" applyNumberFormat="1" applyFont="1" applyFill="1" applyBorder="1" applyAlignment="1">
      <alignment horizontal="center" vertical="center"/>
    </xf>
    <xf numFmtId="3" fontId="32" fillId="12" borderId="14" xfId="0" applyNumberFormat="1" applyFont="1" applyFill="1" applyBorder="1" applyAlignment="1">
      <alignment horizontal="right" vertical="center"/>
    </xf>
    <xf numFmtId="171" fontId="32" fillId="12" borderId="14" xfId="0" applyNumberFormat="1" applyFont="1" applyFill="1" applyBorder="1" applyAlignment="1">
      <alignment horizontal="center" vertical="center"/>
    </xf>
    <xf numFmtId="3" fontId="32" fillId="12" borderId="16" xfId="0" applyNumberFormat="1" applyFont="1" applyFill="1" applyBorder="1">
      <alignment vertical="center"/>
    </xf>
    <xf numFmtId="39" fontId="40" fillId="12" borderId="15" xfId="0" applyNumberFormat="1" applyFont="1" applyFill="1" applyBorder="1" applyAlignment="1" applyProtection="1">
      <alignment horizontal="center" vertical="center"/>
      <protection locked="0"/>
    </xf>
    <xf numFmtId="39" fontId="23" fillId="6" borderId="20" xfId="0" applyNumberFormat="1" applyFont="1" applyFill="1" applyBorder="1" applyAlignment="1">
      <alignment horizontal="center" vertical="center"/>
    </xf>
    <xf numFmtId="39" fontId="23" fillId="4" borderId="40"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49" fontId="40" fillId="0" borderId="10" xfId="0" applyNumberFormat="1" applyFont="1" applyBorder="1" applyAlignment="1" applyProtection="1">
      <alignment horizontal="center" vertical="center"/>
      <protection locked="0"/>
    </xf>
    <xf numFmtId="0" fontId="32" fillId="0" borderId="0" xfId="0" applyFont="1">
      <alignment vertical="center"/>
    </xf>
    <xf numFmtId="167" fontId="33" fillId="0" borderId="0" xfId="5" applyNumberFormat="1" applyFont="1" applyFill="1" applyBorder="1" applyAlignment="1">
      <alignment horizontal="center" vertical="center"/>
    </xf>
    <xf numFmtId="171" fontId="33" fillId="0" borderId="0" xfId="0" applyNumberFormat="1" applyFont="1" applyAlignment="1">
      <alignment horizontal="center" vertical="center"/>
    </xf>
    <xf numFmtId="167" fontId="33" fillId="0" borderId="0" xfId="5" applyNumberFormat="1" applyFont="1" applyFill="1" applyBorder="1" applyAlignment="1" applyProtection="1">
      <alignment horizontal="center" vertical="center"/>
    </xf>
    <xf numFmtId="0" fontId="32" fillId="12" borderId="0" xfId="0" applyFont="1" applyFill="1" applyAlignment="1">
      <alignment vertical="center" wrapText="1"/>
    </xf>
    <xf numFmtId="0" fontId="32" fillId="0" borderId="14" xfId="0" applyFont="1" applyBorder="1" applyAlignment="1">
      <alignment horizontal="justify" vertical="center" wrapText="1"/>
    </xf>
    <xf numFmtId="39" fontId="40" fillId="0" borderId="0" xfId="0" applyNumberFormat="1" applyFont="1" applyAlignment="1" applyProtection="1">
      <alignment horizontal="center" vertical="center"/>
      <protection locked="0"/>
    </xf>
    <xf numFmtId="42" fontId="38" fillId="0" borderId="23" xfId="0" applyNumberFormat="1" applyFont="1" applyBorder="1">
      <alignment vertical="center"/>
    </xf>
    <xf numFmtId="171" fontId="33" fillId="12" borderId="0" xfId="0" applyNumberFormat="1" applyFont="1" applyFill="1" applyAlignment="1">
      <alignment horizontal="center" vertical="center"/>
    </xf>
    <xf numFmtId="42" fontId="38" fillId="12" borderId="23" xfId="0" applyNumberFormat="1" applyFont="1" applyFill="1" applyBorder="1">
      <alignment vertical="center"/>
    </xf>
    <xf numFmtId="39" fontId="32" fillId="12" borderId="0" xfId="0" applyNumberFormat="1" applyFont="1" applyFill="1" applyAlignment="1">
      <alignment horizontal="justify" vertical="center"/>
    </xf>
    <xf numFmtId="167" fontId="33" fillId="12" borderId="0" xfId="5" applyNumberFormat="1" applyFont="1" applyFill="1" applyBorder="1" applyAlignment="1">
      <alignment horizontal="center" vertical="center"/>
    </xf>
    <xf numFmtId="39" fontId="33" fillId="0" borderId="0" xfId="0" applyNumberFormat="1" applyFont="1" applyAlignment="1">
      <alignment horizontal="center" vertical="center"/>
    </xf>
    <xf numFmtId="39" fontId="32" fillId="3" borderId="0" xfId="0" applyNumberFormat="1" applyFont="1" applyFill="1" applyAlignment="1">
      <alignment horizontal="justify" vertical="center"/>
    </xf>
    <xf numFmtId="39" fontId="33" fillId="3" borderId="0" xfId="0" applyNumberFormat="1" applyFont="1" applyFill="1" applyAlignment="1">
      <alignment horizontal="center" vertical="center"/>
    </xf>
    <xf numFmtId="167" fontId="33" fillId="3" borderId="0" xfId="5" applyNumberFormat="1" applyFont="1" applyFill="1" applyBorder="1" applyAlignment="1">
      <alignment horizontal="center" vertical="center"/>
    </xf>
    <xf numFmtId="3" fontId="32" fillId="3" borderId="0" xfId="0" applyNumberFormat="1" applyFont="1" applyFill="1" applyAlignment="1">
      <alignment horizontal="right" vertical="center"/>
    </xf>
    <xf numFmtId="171" fontId="33" fillId="3" borderId="0" xfId="0" applyNumberFormat="1" applyFont="1" applyFill="1" applyAlignment="1">
      <alignment horizontal="center" vertical="center"/>
    </xf>
    <xf numFmtId="42" fontId="33" fillId="3" borderId="23" xfId="0" applyNumberFormat="1" applyFont="1" applyFill="1" applyBorder="1">
      <alignment vertical="center"/>
    </xf>
    <xf numFmtId="42" fontId="33" fillId="12" borderId="16" xfId="0" applyNumberFormat="1" applyFont="1" applyFill="1" applyBorder="1">
      <alignment vertical="center"/>
    </xf>
    <xf numFmtId="49" fontId="40" fillId="0" borderId="20" xfId="16" applyNumberFormat="1" applyFont="1" applyFill="1" applyBorder="1" applyAlignment="1" applyProtection="1">
      <alignment horizontal="center" vertical="center"/>
      <protection locked="0"/>
    </xf>
    <xf numFmtId="167" fontId="32" fillId="0" borderId="14" xfId="5" applyNumberFormat="1" applyFont="1" applyFill="1" applyBorder="1" applyAlignment="1" applyProtection="1">
      <alignment horizontal="center" vertical="center"/>
    </xf>
    <xf numFmtId="42" fontId="32" fillId="0" borderId="16" xfId="0" applyNumberFormat="1" applyFont="1" applyBorder="1">
      <alignment vertical="center"/>
    </xf>
    <xf numFmtId="49" fontId="32" fillId="0" borderId="20" xfId="0" applyNumberFormat="1" applyFont="1" applyBorder="1" applyAlignment="1" applyProtection="1">
      <alignment horizontal="center" vertical="center"/>
      <protection locked="0"/>
    </xf>
    <xf numFmtId="167" fontId="33" fillId="12" borderId="0" xfId="5" applyNumberFormat="1" applyFont="1" applyFill="1" applyBorder="1" applyAlignment="1" applyProtection="1">
      <alignment horizontal="center" vertical="center"/>
    </xf>
    <xf numFmtId="39" fontId="32" fillId="12" borderId="2" xfId="0" applyNumberFormat="1" applyFont="1" applyFill="1" applyBorder="1" applyAlignment="1" applyProtection="1">
      <alignment horizontal="justify" vertical="center"/>
      <protection locked="0"/>
    </xf>
    <xf numFmtId="167" fontId="32" fillId="12" borderId="2" xfId="5" applyNumberFormat="1" applyFont="1" applyFill="1" applyBorder="1" applyAlignment="1" applyProtection="1">
      <alignment horizontal="center" vertical="center"/>
    </xf>
    <xf numFmtId="171" fontId="32" fillId="12" borderId="2" xfId="0" applyNumberFormat="1" applyFont="1" applyFill="1" applyBorder="1" applyAlignment="1">
      <alignment horizontal="center" vertical="center"/>
    </xf>
    <xf numFmtId="0" fontId="33" fillId="0" borderId="0" xfId="0" applyFont="1">
      <alignment vertical="center"/>
    </xf>
    <xf numFmtId="49" fontId="32" fillId="12" borderId="20" xfId="0" applyNumberFormat="1" applyFont="1" applyFill="1" applyBorder="1" applyAlignment="1" applyProtection="1">
      <alignment horizontal="center" vertical="center"/>
      <protection locked="0"/>
    </xf>
    <xf numFmtId="39" fontId="32" fillId="0" borderId="0" xfId="0" applyNumberFormat="1" applyFont="1" applyAlignment="1">
      <alignment horizontal="left" vertical="center"/>
    </xf>
    <xf numFmtId="39" fontId="32" fillId="0" borderId="0" xfId="0" applyNumberFormat="1" applyFont="1" applyBorder="1" applyAlignment="1">
      <alignment horizontal="center" vertical="center"/>
    </xf>
    <xf numFmtId="171" fontId="33" fillId="0" borderId="0" xfId="0" applyNumberFormat="1" applyFont="1" applyBorder="1" applyAlignment="1">
      <alignment horizontal="center" vertical="center"/>
    </xf>
    <xf numFmtId="0" fontId="40" fillId="0" borderId="0" xfId="0" applyFont="1">
      <alignment vertical="center"/>
    </xf>
    <xf numFmtId="39" fontId="32" fillId="0" borderId="0" xfId="0" applyNumberFormat="1" applyFont="1" applyBorder="1" applyAlignment="1" applyProtection="1">
      <alignment horizontal="center" vertical="center"/>
      <protection locked="0"/>
    </xf>
    <xf numFmtId="49" fontId="32" fillId="0" borderId="15" xfId="0" applyNumberFormat="1" applyFont="1" applyBorder="1" applyAlignment="1" applyProtection="1">
      <alignment horizontal="center" vertical="center"/>
      <protection locked="0"/>
    </xf>
    <xf numFmtId="39" fontId="23" fillId="5" borderId="20"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4" borderId="40" xfId="0" applyNumberFormat="1" applyFont="1" applyFill="1" applyBorder="1" applyAlignment="1">
      <alignment horizontal="center" vertical="center"/>
    </xf>
    <xf numFmtId="39" fontId="3" fillId="12" borderId="0" xfId="0" applyNumberFormat="1" applyFont="1" applyFill="1" applyBorder="1" applyAlignment="1">
      <alignment horizontal="justify" vertical="center" wrapText="1"/>
    </xf>
    <xf numFmtId="39" fontId="23" fillId="4" borderId="26" xfId="1" applyNumberFormat="1" applyFont="1" applyFill="1" applyBorder="1" applyAlignment="1">
      <alignment horizontal="center" vertical="center"/>
    </xf>
    <xf numFmtId="39" fontId="32" fillId="0" borderId="0" xfId="0" applyNumberFormat="1" applyFont="1" applyBorder="1" applyAlignment="1">
      <alignment horizontal="justify" vertical="center"/>
    </xf>
    <xf numFmtId="39" fontId="23" fillId="7" borderId="20" xfId="2"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 fontId="53" fillId="0" borderId="25" xfId="21" applyNumberFormat="1" applyFont="1" applyBorder="1" applyAlignment="1">
      <alignment horizontal="right" vertical="center"/>
    </xf>
    <xf numFmtId="39" fontId="23" fillId="5" borderId="20"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169" fontId="3" fillId="12" borderId="9" xfId="17" applyNumberFormat="1" applyFont="1" applyFill="1" applyBorder="1" applyAlignment="1">
      <alignment vertical="center"/>
    </xf>
    <xf numFmtId="39" fontId="23" fillId="4" borderId="40"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4" borderId="20" xfId="1"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5" borderId="20" xfId="0" applyNumberFormat="1" applyFont="1" applyFill="1" applyBorder="1" applyAlignment="1">
      <alignment horizontal="center" vertical="center"/>
    </xf>
    <xf numFmtId="39" fontId="23" fillId="6" borderId="15"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0" fontId="32" fillId="16" borderId="4" xfId="0" applyFont="1" applyFill="1" applyBorder="1" applyAlignment="1">
      <alignment horizontal="center" vertical="center"/>
    </xf>
    <xf numFmtId="39" fontId="3" fillId="0" borderId="49" xfId="0" applyNumberFormat="1" applyFont="1" applyBorder="1" applyAlignment="1">
      <alignment horizontal="justify" vertical="center"/>
    </xf>
    <xf numFmtId="39" fontId="23" fillId="4" borderId="40"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5" borderId="20" xfId="0" applyNumberFormat="1" applyFont="1" applyFill="1" applyBorder="1" applyAlignment="1">
      <alignment horizontal="center" vertical="center"/>
    </xf>
    <xf numFmtId="39" fontId="23" fillId="4" borderId="40"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0" fontId="8" fillId="14" borderId="40" xfId="0" applyFont="1" applyFill="1" applyBorder="1" applyAlignment="1">
      <alignment horizontal="center" vertical="center"/>
    </xf>
    <xf numFmtId="39" fontId="23" fillId="6" borderId="20" xfId="0" applyNumberFormat="1" applyFont="1" applyFill="1" applyBorder="1" applyAlignment="1">
      <alignment horizontal="center" vertical="center"/>
    </xf>
    <xf numFmtId="39" fontId="23" fillId="4" borderId="20" xfId="1"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5" borderId="20" xfId="0" applyNumberFormat="1" applyFont="1" applyFill="1" applyBorder="1" applyAlignment="1">
      <alignment horizontal="center" vertical="center"/>
    </xf>
    <xf numFmtId="39" fontId="23" fillId="4" borderId="20" xfId="0" applyNumberFormat="1" applyFont="1" applyFill="1" applyBorder="1" applyAlignment="1">
      <alignment horizontal="center" vertical="center"/>
    </xf>
    <xf numFmtId="0" fontId="23" fillId="5" borderId="20" xfId="2" applyFont="1" applyFill="1" applyBorder="1" applyAlignment="1">
      <alignment horizontal="center" vertical="center" wrapText="1"/>
    </xf>
    <xf numFmtId="39" fontId="23" fillId="7" borderId="20" xfId="2" applyNumberFormat="1" applyFont="1" applyFill="1" applyBorder="1" applyAlignment="1">
      <alignment horizontal="center" vertical="center"/>
    </xf>
    <xf numFmtId="39" fontId="23" fillId="4" borderId="26" xfId="1" applyNumberFormat="1" applyFont="1" applyFill="1" applyBorder="1" applyAlignment="1">
      <alignment horizontal="center" vertical="center"/>
    </xf>
    <xf numFmtId="0" fontId="32" fillId="16" borderId="4" xfId="0" applyFont="1" applyFill="1" applyBorder="1" applyAlignment="1">
      <alignment horizontal="center" vertical="center"/>
    </xf>
    <xf numFmtId="39" fontId="23" fillId="5" borderId="40" xfId="0" applyNumberFormat="1" applyFont="1" applyFill="1" applyBorder="1" applyAlignment="1">
      <alignment horizontal="center" vertical="center"/>
    </xf>
    <xf numFmtId="39" fontId="23" fillId="7" borderId="40" xfId="2" applyNumberFormat="1" applyFont="1" applyFill="1" applyBorder="1" applyAlignment="1">
      <alignment horizontal="center" vertical="center"/>
    </xf>
    <xf numFmtId="3" fontId="52" fillId="6" borderId="20" xfId="0" applyNumberFormat="1" applyFont="1" applyFill="1" applyBorder="1" applyAlignment="1">
      <alignment horizontal="center" vertical="center"/>
    </xf>
    <xf numFmtId="39" fontId="47" fillId="6" borderId="20" xfId="0" applyNumberFormat="1" applyFont="1" applyFill="1" applyBorder="1" applyAlignment="1">
      <alignment horizontal="center" vertical="center"/>
    </xf>
    <xf numFmtId="39" fontId="3" fillId="12" borderId="49" xfId="0" applyNumberFormat="1" applyFont="1" applyFill="1" applyBorder="1" applyAlignment="1">
      <alignment horizontal="left" vertical="center"/>
    </xf>
    <xf numFmtId="39" fontId="23" fillId="6" borderId="20" xfId="0" applyNumberFormat="1" applyFont="1" applyFill="1" applyBorder="1" applyAlignment="1">
      <alignment horizontal="center" vertical="center"/>
    </xf>
    <xf numFmtId="39" fontId="23" fillId="5" borderId="20" xfId="0" applyNumberFormat="1" applyFont="1" applyFill="1" applyBorder="1" applyAlignment="1">
      <alignment horizontal="center" vertical="center"/>
    </xf>
    <xf numFmtId="39" fontId="23" fillId="4" borderId="26" xfId="1"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0" fontId="23" fillId="5" borderId="40" xfId="2" applyFont="1" applyFill="1" applyBorder="1" applyAlignment="1">
      <alignment horizontal="center" vertical="center" wrapText="1"/>
    </xf>
    <xf numFmtId="39" fontId="23" fillId="7" borderId="20" xfId="2" applyNumberFormat="1" applyFont="1" applyFill="1" applyBorder="1" applyAlignment="1">
      <alignment horizontal="center" vertical="center"/>
    </xf>
    <xf numFmtId="39" fontId="23" fillId="5" borderId="40" xfId="0" applyNumberFormat="1" applyFont="1" applyFill="1" applyBorder="1" applyAlignment="1">
      <alignment horizontal="center" vertical="center"/>
    </xf>
    <xf numFmtId="0" fontId="49" fillId="0" borderId="31" xfId="0" applyFont="1" applyBorder="1" applyAlignment="1">
      <alignment horizontal="center" vertical="center" wrapText="1"/>
    </xf>
    <xf numFmtId="3" fontId="49" fillId="0" borderId="15" xfId="0" applyNumberFormat="1" applyFont="1" applyBorder="1" applyAlignment="1">
      <alignment horizontal="center" vertical="center" wrapText="1"/>
    </xf>
    <xf numFmtId="49" fontId="33" fillId="12" borderId="19" xfId="0" applyNumberFormat="1" applyFont="1" applyFill="1" applyBorder="1" applyAlignment="1">
      <alignment horizontal="center" vertical="center"/>
    </xf>
    <xf numFmtId="49" fontId="33" fillId="12" borderId="19" xfId="0" applyNumberFormat="1" applyFont="1" applyFill="1" applyBorder="1" applyAlignment="1" applyProtection="1">
      <alignment horizontal="center" vertical="center"/>
      <protection locked="0"/>
    </xf>
    <xf numFmtId="49" fontId="33" fillId="0" borderId="36" xfId="0" applyNumberFormat="1" applyFont="1" applyBorder="1" applyAlignment="1" applyProtection="1">
      <alignment horizontal="center" vertical="center"/>
      <protection locked="0"/>
    </xf>
    <xf numFmtId="49" fontId="3" fillId="0" borderId="44" xfId="0" applyNumberFormat="1" applyFont="1" applyBorder="1" applyAlignment="1">
      <alignment horizontal="center" vertical="center"/>
    </xf>
    <xf numFmtId="49" fontId="33" fillId="0" borderId="19" xfId="0" applyNumberFormat="1" applyFont="1" applyBorder="1" applyAlignment="1" applyProtection="1">
      <alignment horizontal="center" vertical="center"/>
      <protection locked="0"/>
    </xf>
    <xf numFmtId="49" fontId="3" fillId="0" borderId="35" xfId="0" applyNumberFormat="1" applyFont="1" applyBorder="1" applyAlignment="1">
      <alignment horizontal="center" vertical="center"/>
    </xf>
    <xf numFmtId="49" fontId="3" fillId="12" borderId="35" xfId="0" applyNumberFormat="1" applyFont="1" applyFill="1" applyBorder="1" applyAlignment="1">
      <alignment horizontal="center" vertical="center"/>
    </xf>
    <xf numFmtId="0" fontId="3" fillId="12" borderId="0" xfId="0" applyFont="1" applyFill="1" applyBorder="1" applyAlignment="1">
      <alignment horizontal="justify" vertical="center" wrapText="1"/>
    </xf>
    <xf numFmtId="49" fontId="46" fillId="12" borderId="19" xfId="0" applyNumberFormat="1" applyFont="1" applyFill="1" applyBorder="1" applyAlignment="1">
      <alignment horizontal="center" vertical="center"/>
    </xf>
    <xf numFmtId="49" fontId="46" fillId="12" borderId="19" xfId="2" applyNumberFormat="1" applyFont="1" applyFill="1" applyBorder="1" applyAlignment="1">
      <alignment horizontal="center" vertical="center"/>
    </xf>
    <xf numFmtId="49" fontId="46" fillId="12" borderId="19" xfId="1" applyNumberFormat="1" applyFont="1" applyFill="1" applyBorder="1" applyAlignment="1">
      <alignment horizontal="center" vertical="center"/>
    </xf>
    <xf numFmtId="49" fontId="46" fillId="12" borderId="35" xfId="1" applyNumberFormat="1" applyFont="1" applyFill="1" applyBorder="1" applyAlignment="1">
      <alignment horizontal="center" vertical="center"/>
    </xf>
    <xf numFmtId="49" fontId="46" fillId="0" borderId="19" xfId="0" applyNumberFormat="1" applyFont="1" applyBorder="1" applyAlignment="1">
      <alignment horizontal="center" vertical="center"/>
    </xf>
    <xf numFmtId="49" fontId="43" fillId="0" borderId="19" xfId="0" applyNumberFormat="1" applyFont="1" applyBorder="1" applyAlignment="1">
      <alignment horizontal="center" vertical="center"/>
    </xf>
    <xf numFmtId="49" fontId="40" fillId="12" borderId="19" xfId="0" applyNumberFormat="1" applyFont="1" applyFill="1" applyBorder="1" applyAlignment="1" applyProtection="1">
      <alignment horizontal="center" vertical="center"/>
      <protection locked="0"/>
    </xf>
    <xf numFmtId="49" fontId="9" fillId="0" borderId="19" xfId="0" applyNumberFormat="1" applyFont="1" applyBorder="1" applyAlignment="1">
      <alignment horizontal="center" vertical="center"/>
    </xf>
    <xf numFmtId="49" fontId="38" fillId="12" borderId="19" xfId="0" applyNumberFormat="1" applyFont="1" applyFill="1" applyBorder="1" applyAlignment="1" applyProtection="1">
      <alignment horizontal="center" vertical="center"/>
      <protection locked="0"/>
    </xf>
    <xf numFmtId="49" fontId="33" fillId="12" borderId="36" xfId="0" applyNumberFormat="1" applyFont="1" applyFill="1" applyBorder="1" applyAlignment="1" applyProtection="1">
      <alignment horizontal="center" vertical="center"/>
      <protection locked="0"/>
    </xf>
    <xf numFmtId="49" fontId="3" fillId="12" borderId="44" xfId="0" applyNumberFormat="1" applyFont="1" applyFill="1" applyBorder="1" applyAlignment="1">
      <alignment horizontal="center" vertical="center"/>
    </xf>
    <xf numFmtId="49" fontId="38" fillId="12" borderId="19" xfId="0" applyNumberFormat="1" applyFont="1" applyFill="1" applyBorder="1" applyAlignment="1">
      <alignment horizontal="center" vertical="center"/>
    </xf>
    <xf numFmtId="49" fontId="9" fillId="12" borderId="19" xfId="0" applyNumberFormat="1" applyFont="1" applyFill="1" applyBorder="1" applyAlignment="1">
      <alignment horizontal="center" vertical="center"/>
    </xf>
    <xf numFmtId="49" fontId="9" fillId="12" borderId="44" xfId="0" applyNumberFormat="1" applyFont="1" applyFill="1" applyBorder="1" applyAlignment="1">
      <alignment horizontal="center" vertical="center"/>
    </xf>
    <xf numFmtId="49" fontId="37" fillId="12" borderId="19" xfId="0" applyNumberFormat="1" applyFont="1" applyFill="1" applyBorder="1" applyAlignment="1">
      <alignment horizontal="center" vertical="center"/>
    </xf>
    <xf numFmtId="49" fontId="32" fillId="12" borderId="36" xfId="0" applyNumberFormat="1" applyFont="1" applyFill="1" applyBorder="1" applyAlignment="1" applyProtection="1">
      <alignment horizontal="center" vertical="center"/>
      <protection locked="0"/>
    </xf>
    <xf numFmtId="49" fontId="9" fillId="12" borderId="19" xfId="0" applyNumberFormat="1" applyFont="1" applyFill="1" applyBorder="1" applyAlignment="1" applyProtection="1">
      <alignment horizontal="center" vertical="center"/>
      <protection locked="0"/>
    </xf>
    <xf numFmtId="49" fontId="32" fillId="12" borderId="19" xfId="0" applyNumberFormat="1" applyFont="1" applyFill="1" applyBorder="1" applyAlignment="1" applyProtection="1">
      <alignment horizontal="center" vertical="center"/>
      <protection locked="0"/>
    </xf>
    <xf numFmtId="49" fontId="32" fillId="12" borderId="36" xfId="0" applyNumberFormat="1" applyFont="1" applyFill="1" applyBorder="1" applyAlignment="1">
      <alignment horizontal="center" vertical="center"/>
    </xf>
    <xf numFmtId="49" fontId="3" fillId="12" borderId="37" xfId="0" applyNumberFormat="1" applyFont="1" applyFill="1" applyBorder="1" applyAlignment="1">
      <alignment horizontal="center" vertical="center"/>
    </xf>
    <xf numFmtId="49" fontId="32" fillId="12" borderId="19" xfId="0" applyNumberFormat="1" applyFont="1" applyFill="1" applyBorder="1" applyAlignment="1">
      <alignment horizontal="center" vertical="center"/>
    </xf>
    <xf numFmtId="49" fontId="41" fillId="12" borderId="19" xfId="0" applyNumberFormat="1" applyFont="1" applyFill="1" applyBorder="1" applyAlignment="1">
      <alignment horizontal="center" vertical="center"/>
    </xf>
    <xf numFmtId="49" fontId="3" fillId="12" borderId="38" xfId="0" applyNumberFormat="1" applyFont="1" applyFill="1" applyBorder="1" applyAlignment="1">
      <alignment horizontal="center" vertical="center"/>
    </xf>
    <xf numFmtId="49" fontId="33" fillId="12" borderId="21" xfId="0" applyNumberFormat="1" applyFont="1" applyFill="1" applyBorder="1" applyAlignment="1" applyProtection="1">
      <alignment horizontal="center" vertical="center"/>
      <protection locked="0"/>
    </xf>
    <xf numFmtId="49" fontId="33" fillId="12" borderId="19" xfId="0" applyNumberFormat="1" applyFont="1" applyFill="1" applyBorder="1">
      <alignment vertical="center"/>
    </xf>
    <xf numFmtId="49" fontId="33" fillId="0" borderId="21" xfId="0" applyNumberFormat="1" applyFont="1" applyBorder="1" applyAlignment="1" applyProtection="1">
      <alignment horizontal="center" vertical="center"/>
      <protection locked="0"/>
    </xf>
    <xf numFmtId="49" fontId="38" fillId="0" borderId="36" xfId="0" applyNumberFormat="1" applyFont="1" applyBorder="1" applyAlignment="1" applyProtection="1">
      <alignment horizontal="center" vertical="center"/>
      <protection locked="0"/>
    </xf>
    <xf numFmtId="49" fontId="38" fillId="0" borderId="19" xfId="0" applyNumberFormat="1" applyFont="1" applyBorder="1" applyAlignment="1" applyProtection="1">
      <alignment horizontal="center" vertical="center"/>
      <protection locked="0"/>
    </xf>
    <xf numFmtId="49" fontId="38" fillId="0" borderId="36" xfId="0" applyNumberFormat="1" applyFont="1" applyBorder="1" applyAlignment="1">
      <alignment horizontal="center" vertical="center"/>
    </xf>
    <xf numFmtId="49" fontId="33" fillId="0" borderId="36" xfId="0" applyNumberFormat="1" applyFont="1" applyBorder="1" applyAlignment="1" applyProtection="1">
      <alignment vertical="center"/>
      <protection locked="0"/>
    </xf>
    <xf numFmtId="49" fontId="3" fillId="0" borderId="35" xfId="0" applyNumberFormat="1" applyFont="1" applyBorder="1" applyAlignment="1" applyProtection="1">
      <alignment horizontal="center" vertical="center"/>
      <protection locked="0"/>
    </xf>
    <xf numFmtId="49" fontId="41" fillId="0" borderId="36" xfId="0" applyNumberFormat="1" applyFont="1" applyBorder="1" applyAlignment="1">
      <alignment horizontal="center" vertical="center"/>
    </xf>
    <xf numFmtId="49" fontId="33" fillId="0" borderId="19" xfId="0" applyNumberFormat="1" applyFont="1" applyBorder="1" applyAlignment="1">
      <alignment horizontal="center" vertical="center"/>
    </xf>
    <xf numFmtId="49" fontId="33" fillId="0" borderId="19" xfId="0" applyNumberFormat="1" applyFont="1" applyBorder="1" applyProtection="1">
      <alignment vertical="center"/>
      <protection locked="0"/>
    </xf>
    <xf numFmtId="49" fontId="3" fillId="0" borderId="39" xfId="0" applyNumberFormat="1" applyFont="1" applyBorder="1" applyAlignment="1">
      <alignment horizontal="center" vertical="center"/>
    </xf>
    <xf numFmtId="49" fontId="3" fillId="0" borderId="19" xfId="0" applyNumberFormat="1" applyFont="1" applyBorder="1" applyAlignment="1" applyProtection="1">
      <alignment horizontal="center" vertical="center"/>
      <protection locked="0"/>
    </xf>
    <xf numFmtId="49" fontId="33" fillId="12" borderId="36" xfId="0" applyNumberFormat="1" applyFont="1" applyFill="1" applyBorder="1" applyAlignment="1">
      <alignment horizontal="center" vertical="center"/>
    </xf>
    <xf numFmtId="49" fontId="37" fillId="0" borderId="19" xfId="0" applyNumberFormat="1" applyFont="1" applyBorder="1" applyAlignment="1">
      <alignment horizontal="center" vertical="center"/>
    </xf>
    <xf numFmtId="49" fontId="41" fillId="0" borderId="19" xfId="0" applyNumberFormat="1" applyFont="1" applyBorder="1" applyAlignment="1" applyProtection="1">
      <alignment horizontal="center" vertical="center"/>
      <protection locked="0"/>
    </xf>
    <xf numFmtId="49" fontId="37" fillId="0" borderId="44" xfId="0" applyNumberFormat="1" applyFont="1" applyBorder="1" applyAlignment="1">
      <alignment horizontal="center" vertical="center"/>
    </xf>
    <xf numFmtId="49" fontId="41" fillId="0" borderId="19" xfId="0" applyNumberFormat="1" applyFont="1" applyBorder="1" applyAlignment="1">
      <alignment horizontal="center" vertical="center"/>
    </xf>
    <xf numFmtId="49" fontId="41" fillId="3" borderId="19" xfId="0" applyNumberFormat="1" applyFont="1" applyFill="1" applyBorder="1" applyAlignment="1">
      <alignment horizontal="center" vertical="center"/>
    </xf>
    <xf numFmtId="49" fontId="37" fillId="3" borderId="19" xfId="0" applyNumberFormat="1" applyFont="1" applyFill="1" applyBorder="1" applyAlignment="1">
      <alignment horizontal="center" vertical="center"/>
    </xf>
    <xf numFmtId="49" fontId="37" fillId="3" borderId="44" xfId="0" applyNumberFormat="1" applyFont="1" applyFill="1" applyBorder="1" applyAlignment="1">
      <alignment horizontal="center" vertical="center"/>
    </xf>
    <xf numFmtId="49" fontId="37" fillId="12" borderId="44" xfId="0" applyNumberFormat="1" applyFont="1" applyFill="1" applyBorder="1" applyAlignment="1">
      <alignment horizontal="center" vertical="center"/>
    </xf>
    <xf numFmtId="49" fontId="41" fillId="0" borderId="36" xfId="0" applyNumberFormat="1" applyFont="1" applyBorder="1" applyAlignment="1" applyProtection="1">
      <alignment horizontal="center" vertical="center"/>
      <protection locked="0"/>
    </xf>
    <xf numFmtId="49" fontId="41" fillId="12" borderId="19" xfId="0" applyNumberFormat="1" applyFont="1" applyFill="1" applyBorder="1" applyAlignment="1" applyProtection="1">
      <alignment horizontal="center" vertical="center"/>
      <protection locked="0"/>
    </xf>
    <xf numFmtId="49" fontId="40" fillId="0" borderId="19" xfId="0" applyNumberFormat="1" applyFont="1" applyBorder="1" applyAlignment="1" applyProtection="1">
      <alignment horizontal="center" vertical="center"/>
      <protection locked="0"/>
    </xf>
    <xf numFmtId="49" fontId="3" fillId="12" borderId="19" xfId="0" applyNumberFormat="1" applyFont="1" applyFill="1" applyBorder="1" applyAlignment="1">
      <alignment horizontal="center" vertical="center" wrapText="1"/>
    </xf>
    <xf numFmtId="49" fontId="33" fillId="0" borderId="36" xfId="0" applyNumberFormat="1" applyFont="1" applyBorder="1" applyAlignment="1">
      <alignment horizontal="center" vertical="center"/>
    </xf>
    <xf numFmtId="0" fontId="37" fillId="12" borderId="9" xfId="0" applyFont="1" applyFill="1" applyBorder="1" applyAlignment="1">
      <alignment horizontal="center" vertical="center"/>
    </xf>
    <xf numFmtId="39" fontId="37" fillId="0" borderId="9" xfId="0" applyNumberFormat="1" applyFont="1" applyBorder="1" applyAlignment="1">
      <alignment horizontal="left" vertical="center"/>
    </xf>
    <xf numFmtId="37" fontId="43" fillId="0" borderId="9" xfId="0" applyNumberFormat="1" applyFont="1" applyBorder="1" applyAlignment="1">
      <alignment horizontal="center" vertical="center"/>
    </xf>
    <xf numFmtId="0" fontId="37" fillId="3" borderId="9" xfId="0" applyFont="1" applyFill="1" applyBorder="1" applyAlignment="1">
      <alignment horizontal="center" vertical="center"/>
    </xf>
    <xf numFmtId="39" fontId="37" fillId="0" borderId="9" xfId="0" applyNumberFormat="1" applyFont="1" applyBorder="1" applyAlignment="1" applyProtection="1">
      <alignment horizontal="center" vertical="center"/>
      <protection locked="0"/>
    </xf>
    <xf numFmtId="39" fontId="37" fillId="12" borderId="9" xfId="0" applyNumberFormat="1" applyFont="1" applyFill="1" applyBorder="1" applyAlignment="1">
      <alignment horizontal="center" vertical="center" wrapText="1"/>
    </xf>
    <xf numFmtId="39" fontId="23" fillId="6" borderId="20" xfId="0" applyNumberFormat="1" applyFont="1" applyFill="1" applyBorder="1" applyAlignment="1">
      <alignment horizontal="center" vertical="center"/>
    </xf>
    <xf numFmtId="0" fontId="23" fillId="7" borderId="20" xfId="2" applyFont="1" applyFill="1" applyBorder="1" applyAlignment="1">
      <alignment horizontal="center" vertical="center" wrapText="1"/>
    </xf>
    <xf numFmtId="39" fontId="23" fillId="7" borderId="20" xfId="2" applyNumberFormat="1" applyFont="1" applyFill="1" applyBorder="1" applyAlignment="1">
      <alignment horizontal="center" vertical="center"/>
    </xf>
    <xf numFmtId="0" fontId="23" fillId="13" borderId="20" xfId="2" applyFont="1" applyFill="1" applyBorder="1" applyAlignment="1">
      <alignment horizontal="center" vertical="center" wrapText="1"/>
    </xf>
    <xf numFmtId="39" fontId="3" fillId="12" borderId="0" xfId="0" applyNumberFormat="1" applyFont="1" applyFill="1" applyBorder="1" applyAlignment="1" applyProtection="1">
      <alignment horizontal="justify" vertical="center" wrapText="1"/>
      <protection locked="0"/>
    </xf>
    <xf numFmtId="0" fontId="3" fillId="12" borderId="24" xfId="0" applyFont="1" applyFill="1" applyBorder="1" applyAlignment="1">
      <alignment horizontal="justify" vertical="center" wrapText="1"/>
    </xf>
    <xf numFmtId="0" fontId="9" fillId="12" borderId="0" xfId="0" applyFont="1" applyFill="1" applyBorder="1" applyAlignment="1">
      <alignment horizontal="center" vertical="center"/>
    </xf>
    <xf numFmtId="39" fontId="3" fillId="0" borderId="0" xfId="0" applyNumberFormat="1" applyFont="1" applyBorder="1" applyAlignment="1">
      <alignment horizontal="justify" vertical="center" wrapText="1"/>
    </xf>
    <xf numFmtId="39" fontId="3" fillId="0" borderId="0" xfId="0" applyNumberFormat="1" applyFont="1" applyBorder="1" applyAlignment="1" applyProtection="1">
      <alignment horizontal="center" vertical="center"/>
      <protection locked="0"/>
    </xf>
    <xf numFmtId="3" fontId="3" fillId="12" borderId="0" xfId="0" applyNumberFormat="1" applyFont="1" applyFill="1" applyBorder="1" applyAlignment="1">
      <alignment horizontal="right" vertical="center"/>
    </xf>
    <xf numFmtId="0" fontId="3" fillId="0" borderId="0" xfId="0" applyFont="1" applyBorder="1">
      <alignment vertical="center"/>
    </xf>
    <xf numFmtId="0" fontId="3" fillId="12" borderId="0" xfId="0" applyFont="1" applyFill="1" applyBorder="1">
      <alignment vertical="center"/>
    </xf>
    <xf numFmtId="168" fontId="14" fillId="0" borderId="0" xfId="0" applyNumberFormat="1" applyFont="1" applyAlignment="1">
      <alignment horizontal="center" vertical="center"/>
    </xf>
    <xf numFmtId="0" fontId="34" fillId="2" borderId="9" xfId="0" applyFont="1" applyFill="1" applyBorder="1" applyAlignment="1">
      <alignment horizontal="center" vertical="center"/>
    </xf>
    <xf numFmtId="39" fontId="37" fillId="12" borderId="0" xfId="0" applyNumberFormat="1" applyFont="1" applyFill="1" applyAlignment="1">
      <alignment horizontal="justify" vertical="center"/>
    </xf>
    <xf numFmtId="39" fontId="37" fillId="0" borderId="24" xfId="0" applyNumberFormat="1" applyFont="1" applyBorder="1" applyAlignment="1">
      <alignment horizontal="justify" vertical="center"/>
    </xf>
    <xf numFmtId="39" fontId="59" fillId="0" borderId="2" xfId="0" applyNumberFormat="1" applyFont="1" applyBorder="1" applyAlignment="1" applyProtection="1">
      <alignment horizontal="justify" vertical="center"/>
      <protection locked="0"/>
    </xf>
    <xf numFmtId="49" fontId="46" fillId="0" borderId="54" xfId="0" applyNumberFormat="1" applyFont="1" applyBorder="1" applyAlignment="1">
      <alignment horizontal="center" vertical="center"/>
    </xf>
    <xf numFmtId="37" fontId="46" fillId="0" borderId="55" xfId="0" applyNumberFormat="1" applyFont="1" applyBorder="1" applyAlignment="1" applyProtection="1">
      <alignment horizontal="justify" vertical="center" wrapText="1"/>
      <protection locked="0"/>
    </xf>
    <xf numFmtId="37" fontId="46" fillId="0" borderId="55" xfId="0" applyNumberFormat="1" applyFont="1" applyBorder="1" applyAlignment="1" applyProtection="1">
      <alignment horizontal="center" vertical="center"/>
      <protection locked="0"/>
    </xf>
    <xf numFmtId="167" fontId="46" fillId="0" borderId="55" xfId="0" applyNumberFormat="1" applyFont="1" applyBorder="1" applyAlignment="1" applyProtection="1">
      <alignment horizontal="center" vertical="center"/>
      <protection locked="0"/>
    </xf>
    <xf numFmtId="3" fontId="46" fillId="0" borderId="55" xfId="0" applyNumberFormat="1" applyFont="1" applyBorder="1" applyAlignment="1" applyProtection="1">
      <alignment horizontal="right" vertical="center"/>
      <protection locked="0"/>
    </xf>
    <xf numFmtId="3" fontId="47" fillId="4" borderId="40" xfId="1" applyNumberFormat="1" applyFont="1" applyFill="1" applyBorder="1" applyAlignment="1">
      <alignment horizontal="center" vertical="center"/>
    </xf>
    <xf numFmtId="0" fontId="53" fillId="12" borderId="24" xfId="0" applyFont="1" applyFill="1" applyBorder="1" applyAlignment="1">
      <alignment horizontal="left" vertical="center"/>
    </xf>
    <xf numFmtId="0" fontId="53" fillId="12" borderId="24" xfId="0" applyFont="1" applyFill="1" applyBorder="1" applyAlignment="1">
      <alignment horizontal="center" vertical="center"/>
    </xf>
    <xf numFmtId="3" fontId="53" fillId="0" borderId="24" xfId="21" applyNumberFormat="1" applyFont="1" applyBorder="1" applyAlignment="1">
      <alignment horizontal="right" vertical="center"/>
    </xf>
    <xf numFmtId="49" fontId="46" fillId="0" borderId="35" xfId="0" applyNumberFormat="1" applyFont="1" applyBorder="1" applyAlignment="1">
      <alignment horizontal="center" vertical="center"/>
    </xf>
    <xf numFmtId="37" fontId="46" fillId="0" borderId="24" xfId="0" applyNumberFormat="1" applyFont="1" applyBorder="1" applyAlignment="1" applyProtection="1">
      <alignment horizontal="justify" vertical="center" wrapText="1"/>
      <protection locked="0"/>
    </xf>
    <xf numFmtId="37" fontId="46" fillId="0" borderId="24" xfId="0" applyNumberFormat="1" applyFont="1" applyBorder="1" applyAlignment="1" applyProtection="1">
      <alignment horizontal="center" vertical="center"/>
      <protection locked="0"/>
    </xf>
    <xf numFmtId="167" fontId="46" fillId="0" borderId="24" xfId="0" applyNumberFormat="1" applyFont="1" applyBorder="1" applyAlignment="1" applyProtection="1">
      <alignment horizontal="center" vertical="center"/>
      <protection locked="0"/>
    </xf>
    <xf numFmtId="39" fontId="23" fillId="4" borderId="40"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3" fillId="12" borderId="9" xfId="0" applyNumberFormat="1" applyFont="1" applyFill="1" applyBorder="1" applyAlignment="1">
      <alignment horizontal="center" vertical="center"/>
    </xf>
    <xf numFmtId="39" fontId="23" fillId="6" borderId="20" xfId="0" applyNumberFormat="1" applyFont="1" applyFill="1" applyBorder="1" applyAlignment="1">
      <alignment horizontal="center" vertical="center" textRotation="90"/>
    </xf>
    <xf numFmtId="39" fontId="23" fillId="6" borderId="20" xfId="0"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0" fontId="46" fillId="0" borderId="9" xfId="0" applyFont="1" applyBorder="1">
      <alignment vertical="center"/>
    </xf>
    <xf numFmtId="39" fontId="3" fillId="0" borderId="9" xfId="0" applyNumberFormat="1" applyFont="1" applyBorder="1" applyAlignment="1">
      <alignment horizontal="justify" vertical="center"/>
    </xf>
    <xf numFmtId="39" fontId="3" fillId="0" borderId="9" xfId="0" applyNumberFormat="1" applyFont="1" applyBorder="1" applyAlignment="1">
      <alignment horizontal="center" vertical="center"/>
    </xf>
    <xf numFmtId="37" fontId="46" fillId="0" borderId="9" xfId="0" applyNumberFormat="1" applyFont="1" applyBorder="1" applyAlignment="1" applyProtection="1">
      <alignment horizontal="left" vertical="center" wrapText="1"/>
      <protection locked="0"/>
    </xf>
    <xf numFmtId="37" fontId="46" fillId="0" borderId="9" xfId="0" applyNumberFormat="1" applyFont="1" applyBorder="1" applyAlignment="1" applyProtection="1">
      <alignment horizontal="center" vertical="center"/>
      <protection locked="0"/>
    </xf>
    <xf numFmtId="0" fontId="46" fillId="0" borderId="9" xfId="0" applyFont="1" applyBorder="1" applyAlignment="1">
      <alignment horizontal="center" vertical="center"/>
    </xf>
    <xf numFmtId="0" fontId="46" fillId="0" borderId="9" xfId="0" applyFont="1" applyBorder="1" applyAlignment="1">
      <alignment horizontal="justify" vertical="center" wrapText="1"/>
    </xf>
    <xf numFmtId="39" fontId="3" fillId="0" borderId="9" xfId="0" applyNumberFormat="1" applyFont="1" applyBorder="1" applyAlignment="1">
      <alignment horizontal="left" vertical="center"/>
    </xf>
    <xf numFmtId="39" fontId="3" fillId="12" borderId="9" xfId="0" applyNumberFormat="1" applyFont="1" applyFill="1" applyBorder="1" applyAlignment="1" applyProtection="1">
      <alignment horizontal="justify" vertical="center"/>
      <protection locked="0"/>
    </xf>
    <xf numFmtId="0" fontId="3" fillId="0" borderId="9" xfId="0" applyFont="1" applyBorder="1">
      <alignment vertical="center"/>
    </xf>
    <xf numFmtId="39" fontId="3" fillId="0" borderId="9" xfId="0" applyNumberFormat="1" applyFont="1" applyBorder="1" applyAlignment="1">
      <alignment horizontal="justify" vertical="center" wrapText="1"/>
    </xf>
    <xf numFmtId="0" fontId="3" fillId="0" borderId="9" xfId="0" applyFont="1" applyBorder="1" applyAlignment="1">
      <alignment horizontal="justify" vertical="center" wrapText="1"/>
    </xf>
    <xf numFmtId="39" fontId="46" fillId="0" borderId="9" xfId="0" applyNumberFormat="1" applyFont="1" applyBorder="1" applyAlignment="1">
      <alignment horizontal="justify" vertical="center"/>
    </xf>
    <xf numFmtId="39" fontId="46" fillId="0" borderId="9" xfId="0" applyNumberFormat="1" applyFont="1" applyBorder="1" applyAlignment="1">
      <alignment horizontal="center" vertical="center"/>
    </xf>
    <xf numFmtId="39" fontId="3" fillId="12" borderId="9" xfId="0" applyNumberFormat="1" applyFont="1" applyFill="1" applyBorder="1" applyAlignment="1">
      <alignment horizontal="justify" vertical="center"/>
    </xf>
    <xf numFmtId="0" fontId="46" fillId="12" borderId="9" xfId="0" applyFont="1" applyFill="1" applyBorder="1" applyAlignment="1">
      <alignment horizontal="center" vertical="center"/>
    </xf>
    <xf numFmtId="39" fontId="3" fillId="12" borderId="9" xfId="0" applyNumberFormat="1" applyFont="1" applyFill="1" applyBorder="1" applyAlignment="1" applyProtection="1">
      <alignment horizontal="center" vertical="center"/>
      <protection locked="0"/>
    </xf>
    <xf numFmtId="39" fontId="3" fillId="0" borderId="9" xfId="0" applyNumberFormat="1" applyFont="1" applyBorder="1" applyAlignment="1">
      <alignment horizontal="left" vertical="center" wrapText="1"/>
    </xf>
    <xf numFmtId="0" fontId="3" fillId="12" borderId="9" xfId="0" applyFont="1" applyFill="1" applyBorder="1">
      <alignment vertical="center"/>
    </xf>
    <xf numFmtId="0" fontId="3" fillId="12" borderId="9" xfId="0" applyFont="1" applyFill="1" applyBorder="1" applyAlignment="1">
      <alignment horizontal="justify" vertical="center" wrapText="1"/>
    </xf>
    <xf numFmtId="0" fontId="3" fillId="3" borderId="9" xfId="0" applyFont="1" applyFill="1" applyBorder="1" applyAlignment="1">
      <alignment horizontal="justify" vertical="center" wrapText="1"/>
    </xf>
    <xf numFmtId="39" fontId="3" fillId="3" borderId="9" xfId="0" applyNumberFormat="1" applyFont="1" applyFill="1" applyBorder="1" applyAlignment="1">
      <alignment horizontal="center" vertical="center"/>
    </xf>
    <xf numFmtId="39" fontId="3" fillId="0" borderId="9" xfId="0" applyNumberFormat="1" applyFont="1" applyBorder="1">
      <alignment vertical="center"/>
    </xf>
    <xf numFmtId="37" fontId="46" fillId="0" borderId="9" xfId="0" applyNumberFormat="1" applyFont="1" applyBorder="1" applyAlignment="1" applyProtection="1">
      <alignment horizontal="justify" vertical="center" wrapText="1"/>
      <protection locked="0"/>
    </xf>
    <xf numFmtId="0" fontId="46" fillId="0" borderId="9" xfId="0" applyFont="1" applyBorder="1" applyAlignment="1">
      <alignment horizontal="center" vertical="center" wrapText="1"/>
    </xf>
    <xf numFmtId="39" fontId="3" fillId="0" borderId="9" xfId="0" applyNumberFormat="1" applyFont="1" applyBorder="1" applyAlignment="1" applyProtection="1">
      <alignment horizontal="justify" vertical="center"/>
      <protection locked="0"/>
    </xf>
    <xf numFmtId="166" fontId="3" fillId="12" borderId="9" xfId="5" applyFont="1" applyFill="1" applyBorder="1" applyAlignment="1" applyProtection="1">
      <alignment horizontal="center" vertical="center"/>
    </xf>
    <xf numFmtId="39" fontId="3" fillId="12" borderId="9" xfId="0" applyNumberFormat="1" applyFont="1" applyFill="1" applyBorder="1" applyAlignment="1">
      <alignment horizontal="justify" vertical="top" wrapText="1"/>
    </xf>
    <xf numFmtId="39" fontId="23" fillId="6" borderId="20"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0" fontId="46" fillId="12" borderId="24" xfId="0" applyFont="1" applyFill="1" applyBorder="1" applyAlignment="1">
      <alignment horizontal="left" vertical="center"/>
    </xf>
    <xf numFmtId="39" fontId="3" fillId="12" borderId="0" xfId="0" applyNumberFormat="1" applyFont="1" applyFill="1" applyAlignment="1">
      <alignment horizontal="justify" vertical="justify" wrapText="1"/>
    </xf>
    <xf numFmtId="39" fontId="23" fillId="6" borderId="20" xfId="0" applyNumberFormat="1" applyFont="1" applyFill="1" applyBorder="1" applyAlignment="1">
      <alignment horizontal="center" vertical="center"/>
    </xf>
    <xf numFmtId="3" fontId="3" fillId="0" borderId="9" xfId="0" applyNumberFormat="1" applyFont="1" applyBorder="1" applyAlignment="1">
      <alignment horizontal="right" vertical="center"/>
    </xf>
    <xf numFmtId="3" fontId="46" fillId="0" borderId="9" xfId="21" applyNumberFormat="1" applyFont="1" applyBorder="1" applyAlignment="1">
      <alignment horizontal="right" vertical="center"/>
    </xf>
    <xf numFmtId="3" fontId="46" fillId="12" borderId="9" xfId="21" applyNumberFormat="1" applyFont="1" applyFill="1" applyBorder="1" applyAlignment="1">
      <alignment horizontal="right" vertical="center"/>
    </xf>
    <xf numFmtId="0" fontId="3" fillId="0" borderId="9" xfId="0" applyFont="1" applyBorder="1" applyAlignment="1">
      <alignment horizontal="justify" vertical="top" wrapText="1"/>
    </xf>
    <xf numFmtId="49" fontId="68" fillId="0" borderId="20" xfId="0" applyNumberFormat="1" applyFont="1" applyBorder="1" applyAlignment="1" applyProtection="1">
      <alignment horizontal="center" vertical="center"/>
      <protection locked="0"/>
    </xf>
    <xf numFmtId="39" fontId="23" fillId="6" borderId="20" xfId="0" applyNumberFormat="1" applyFont="1" applyFill="1" applyBorder="1" applyAlignment="1">
      <alignment horizontal="center" vertical="center" textRotation="90"/>
    </xf>
    <xf numFmtId="3" fontId="37" fillId="0" borderId="0" xfId="0" applyNumberFormat="1" applyFont="1" applyAlignment="1">
      <alignment horizontal="right" vertical="center"/>
    </xf>
    <xf numFmtId="39" fontId="3" fillId="12" borderId="49" xfId="0" applyNumberFormat="1" applyFont="1" applyFill="1" applyBorder="1" applyAlignment="1" applyProtection="1">
      <alignment horizontal="justify" vertical="center" wrapText="1"/>
      <protection locked="0"/>
    </xf>
    <xf numFmtId="0" fontId="3" fillId="12" borderId="56" xfId="0" applyFont="1" applyFill="1" applyBorder="1" applyAlignment="1">
      <alignment horizontal="justify" vertical="center" wrapText="1"/>
    </xf>
    <xf numFmtId="39" fontId="3" fillId="12" borderId="49" xfId="0" applyNumberFormat="1" applyFont="1" applyFill="1" applyBorder="1" applyAlignment="1">
      <alignment horizontal="justify" vertical="center" wrapText="1"/>
    </xf>
    <xf numFmtId="0" fontId="43" fillId="0" borderId="0" xfId="0" applyFont="1" applyAlignment="1">
      <alignment horizontal="center" vertical="center"/>
    </xf>
    <xf numFmtId="0" fontId="51" fillId="0" borderId="0" xfId="0" applyFont="1" applyAlignment="1">
      <alignment horizontal="center" vertical="center"/>
    </xf>
    <xf numFmtId="39" fontId="23" fillId="7" borderId="20" xfId="2" applyNumberFormat="1" applyFont="1" applyFill="1" applyBorder="1" applyAlignment="1">
      <alignment horizontal="center" vertical="center"/>
    </xf>
    <xf numFmtId="39" fontId="23" fillId="4" borderId="26" xfId="1" applyNumberFormat="1" applyFont="1" applyFill="1" applyBorder="1" applyAlignment="1">
      <alignment horizontal="center" vertical="center"/>
    </xf>
    <xf numFmtId="39" fontId="23" fillId="5" borderId="20"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4" borderId="20" xfId="1" applyNumberFormat="1" applyFont="1" applyFill="1" applyBorder="1" applyAlignment="1">
      <alignment vertical="center"/>
    </xf>
    <xf numFmtId="39" fontId="23" fillId="4" borderId="40" xfId="1" applyNumberFormat="1" applyFont="1" applyFill="1" applyBorder="1" applyAlignment="1">
      <alignment vertical="center"/>
    </xf>
    <xf numFmtId="167" fontId="32" fillId="12" borderId="14" xfId="5" applyNumberFormat="1" applyFont="1" applyFill="1" applyBorder="1" applyAlignment="1" applyProtection="1">
      <alignment horizontal="center" vertical="center"/>
    </xf>
    <xf numFmtId="167" fontId="33" fillId="12" borderId="14" xfId="5" applyNumberFormat="1" applyFont="1" applyFill="1" applyBorder="1" applyAlignment="1" applyProtection="1">
      <alignment horizontal="center" vertical="center"/>
    </xf>
    <xf numFmtId="167" fontId="3" fillId="12" borderId="0" xfId="0" applyNumberFormat="1" applyFont="1" applyFill="1" applyAlignment="1">
      <alignment horizontal="center" vertical="center"/>
    </xf>
    <xf numFmtId="167" fontId="3" fillId="12" borderId="24" xfId="0" applyNumberFormat="1" applyFont="1" applyFill="1" applyBorder="1" applyAlignment="1">
      <alignment horizontal="center" vertical="center"/>
    </xf>
    <xf numFmtId="167" fontId="32" fillId="12" borderId="0" xfId="0" applyNumberFormat="1" applyFont="1" applyFill="1" applyAlignment="1">
      <alignment horizontal="center" vertical="center"/>
    </xf>
    <xf numFmtId="167" fontId="3" fillId="12" borderId="0" xfId="0" applyNumberFormat="1" applyFont="1" applyFill="1" applyBorder="1" applyAlignment="1">
      <alignment horizontal="center" vertical="center"/>
    </xf>
    <xf numFmtId="167" fontId="32" fillId="12" borderId="14" xfId="0" applyNumberFormat="1" applyFont="1" applyFill="1" applyBorder="1" applyAlignment="1">
      <alignment horizontal="center" vertical="center"/>
    </xf>
    <xf numFmtId="167" fontId="3" fillId="12" borderId="42" xfId="0" applyNumberFormat="1" applyFont="1" applyFill="1" applyBorder="1" applyAlignment="1">
      <alignment horizontal="center" vertical="center"/>
    </xf>
    <xf numFmtId="167" fontId="33" fillId="12" borderId="0" xfId="0" applyNumberFormat="1" applyFont="1" applyFill="1" applyAlignment="1">
      <alignment horizontal="center" vertical="center"/>
    </xf>
    <xf numFmtId="167" fontId="37" fillId="12" borderId="0" xfId="0" applyNumberFormat="1" applyFont="1" applyFill="1" applyAlignment="1">
      <alignment horizontal="center" vertical="center"/>
    </xf>
    <xf numFmtId="167" fontId="74" fillId="12" borderId="0" xfId="0" applyNumberFormat="1" applyFont="1" applyFill="1" applyAlignment="1">
      <alignment horizontal="center" vertical="center"/>
    </xf>
    <xf numFmtId="167" fontId="37" fillId="12" borderId="24" xfId="0" applyNumberFormat="1" applyFont="1" applyFill="1" applyBorder="1" applyAlignment="1">
      <alignment horizontal="center" vertical="center"/>
    </xf>
    <xf numFmtId="167" fontId="32" fillId="12" borderId="2" xfId="0" applyNumberFormat="1" applyFont="1" applyFill="1" applyBorder="1" applyAlignment="1">
      <alignment horizontal="center" vertical="center"/>
    </xf>
    <xf numFmtId="167" fontId="37" fillId="12" borderId="0" xfId="5" applyNumberFormat="1" applyFont="1" applyFill="1" applyBorder="1" applyAlignment="1" applyProtection="1">
      <alignment horizontal="center" vertical="center"/>
    </xf>
    <xf numFmtId="167" fontId="3" fillId="12" borderId="6" xfId="5" applyNumberFormat="1" applyFont="1" applyFill="1" applyBorder="1" applyAlignment="1" applyProtection="1">
      <alignment horizontal="center" vertical="center"/>
    </xf>
    <xf numFmtId="167" fontId="3" fillId="12" borderId="5" xfId="5" applyNumberFormat="1" applyFont="1" applyFill="1" applyBorder="1" applyAlignment="1" applyProtection="1">
      <alignment horizontal="center" vertical="center"/>
    </xf>
    <xf numFmtId="167" fontId="3" fillId="12" borderId="7" xfId="5" applyNumberFormat="1" applyFont="1" applyFill="1" applyBorder="1" applyAlignment="1" applyProtection="1">
      <alignment horizontal="center" vertical="center"/>
    </xf>
    <xf numFmtId="167" fontId="32" fillId="12" borderId="0" xfId="17" applyNumberFormat="1" applyFont="1" applyFill="1" applyBorder="1" applyAlignment="1" applyProtection="1">
      <alignment horizontal="center" vertical="center"/>
    </xf>
    <xf numFmtId="167" fontId="3" fillId="12" borderId="6" xfId="0" applyNumberFormat="1" applyFont="1" applyFill="1" applyBorder="1" applyAlignment="1">
      <alignment horizontal="center" vertical="center"/>
    </xf>
    <xf numFmtId="167" fontId="3" fillId="12" borderId="5" xfId="0" applyNumberFormat="1" applyFont="1" applyFill="1" applyBorder="1" applyAlignment="1">
      <alignment horizontal="center" vertical="center"/>
    </xf>
    <xf numFmtId="167" fontId="3" fillId="0" borderId="0" xfId="0" applyNumberFormat="1" applyFont="1" applyAlignment="1">
      <alignment horizontal="center" vertical="center"/>
    </xf>
    <xf numFmtId="167" fontId="3" fillId="12" borderId="7" xfId="0" applyNumberFormat="1" applyFont="1" applyFill="1" applyBorder="1" applyAlignment="1">
      <alignment horizontal="center" vertical="center"/>
    </xf>
    <xf numFmtId="167" fontId="4" fillId="12" borderId="0" xfId="5" applyNumberFormat="1" applyFont="1" applyFill="1" applyBorder="1" applyAlignment="1" applyProtection="1">
      <alignment horizontal="center" vertical="center"/>
    </xf>
    <xf numFmtId="167" fontId="4" fillId="12" borderId="0" xfId="0" applyNumberFormat="1" applyFont="1" applyFill="1" applyAlignment="1">
      <alignment horizontal="center" vertical="center"/>
    </xf>
    <xf numFmtId="167" fontId="32" fillId="12" borderId="0" xfId="0" applyNumberFormat="1" applyFont="1" applyFill="1" applyBorder="1" applyAlignment="1">
      <alignment horizontal="center" vertical="center"/>
    </xf>
    <xf numFmtId="167" fontId="53" fillId="0" borderId="0" xfId="0" applyNumberFormat="1" applyFont="1" applyAlignment="1">
      <alignment horizontal="center" vertical="center"/>
    </xf>
    <xf numFmtId="167" fontId="53" fillId="12" borderId="0" xfId="0" applyNumberFormat="1" applyFont="1" applyFill="1" applyAlignment="1">
      <alignment horizontal="center" vertical="center"/>
    </xf>
    <xf numFmtId="167" fontId="49" fillId="12" borderId="14" xfId="0" applyNumberFormat="1" applyFont="1" applyFill="1" applyBorder="1" applyAlignment="1">
      <alignment horizontal="center" vertical="center"/>
    </xf>
    <xf numFmtId="167" fontId="49" fillId="0" borderId="14" xfId="0" applyNumberFormat="1" applyFont="1" applyBorder="1" applyAlignment="1">
      <alignment horizontal="center" vertical="center"/>
    </xf>
    <xf numFmtId="167" fontId="53" fillId="0" borderId="0" xfId="21" applyNumberFormat="1" applyFont="1" applyBorder="1" applyAlignment="1">
      <alignment horizontal="center" vertical="center"/>
    </xf>
    <xf numFmtId="167" fontId="53" fillId="12" borderId="0" xfId="21" applyNumberFormat="1" applyFont="1" applyFill="1" applyBorder="1" applyAlignment="1">
      <alignment horizontal="center" vertical="center"/>
    </xf>
    <xf numFmtId="167" fontId="49" fillId="12" borderId="14" xfId="21" applyNumberFormat="1" applyFont="1" applyFill="1" applyBorder="1" applyAlignment="1" applyProtection="1">
      <alignment horizontal="center" vertical="center"/>
    </xf>
    <xf numFmtId="167" fontId="49" fillId="0" borderId="14" xfId="21" applyNumberFormat="1" applyFont="1" applyFill="1" applyBorder="1" applyAlignment="1" applyProtection="1">
      <alignment horizontal="center" vertical="center"/>
    </xf>
    <xf numFmtId="167" fontId="46" fillId="0" borderId="0" xfId="0" applyNumberFormat="1" applyFont="1" applyAlignment="1">
      <alignment horizontal="center" vertical="center"/>
    </xf>
    <xf numFmtId="167" fontId="58" fillId="0" borderId="14" xfId="0" applyNumberFormat="1" applyFont="1" applyBorder="1" applyAlignment="1">
      <alignment horizontal="center" vertical="center"/>
    </xf>
    <xf numFmtId="167" fontId="46" fillId="12" borderId="0" xfId="0" applyNumberFormat="1" applyFont="1" applyFill="1" applyAlignment="1">
      <alignment horizontal="center" vertical="center"/>
    </xf>
    <xf numFmtId="167" fontId="46" fillId="0" borderId="0" xfId="21" applyNumberFormat="1" applyFont="1" applyBorder="1" applyAlignment="1">
      <alignment horizontal="center" vertical="center"/>
    </xf>
    <xf numFmtId="167" fontId="58" fillId="0" borderId="14" xfId="21" applyNumberFormat="1" applyFont="1" applyFill="1" applyBorder="1" applyAlignment="1" applyProtection="1">
      <alignment horizontal="center" vertical="center"/>
    </xf>
    <xf numFmtId="167" fontId="46" fillId="12" borderId="0" xfId="21" applyNumberFormat="1" applyFont="1" applyFill="1" applyBorder="1" applyAlignment="1">
      <alignment horizontal="center" vertical="center"/>
    </xf>
    <xf numFmtId="3" fontId="49" fillId="0" borderId="14" xfId="21" applyNumberFormat="1" applyFont="1" applyFill="1" applyBorder="1" applyAlignment="1" applyProtection="1">
      <alignment horizontal="center" vertical="center"/>
    </xf>
    <xf numFmtId="3" fontId="49" fillId="0" borderId="16" xfId="21" applyNumberFormat="1" applyFont="1" applyBorder="1" applyAlignment="1">
      <alignment horizontal="center" vertical="center"/>
    </xf>
    <xf numFmtId="3" fontId="3" fillId="12" borderId="0" xfId="17" applyNumberFormat="1" applyFont="1" applyFill="1" applyBorder="1" applyAlignment="1" applyProtection="1">
      <alignment horizontal="center" vertical="center"/>
    </xf>
    <xf numFmtId="3" fontId="53" fillId="0" borderId="23" xfId="21" applyNumberFormat="1" applyFont="1" applyBorder="1" applyAlignment="1">
      <alignment horizontal="center" vertical="center"/>
    </xf>
    <xf numFmtId="167" fontId="58" fillId="0" borderId="0" xfId="0" applyNumberFormat="1" applyFont="1" applyAlignment="1">
      <alignment horizontal="center" vertical="center"/>
    </xf>
    <xf numFmtId="167" fontId="53" fillId="0" borderId="24" xfId="21" applyNumberFormat="1" applyFont="1" applyBorder="1" applyAlignment="1">
      <alignment horizontal="center" vertical="center"/>
    </xf>
    <xf numFmtId="167" fontId="53" fillId="0" borderId="24" xfId="0" applyNumberFormat="1" applyFont="1" applyBorder="1" applyAlignment="1">
      <alignment horizontal="center" vertical="center"/>
    </xf>
    <xf numFmtId="167" fontId="46" fillId="0" borderId="24" xfId="0" applyNumberFormat="1" applyFont="1" applyBorder="1" applyAlignment="1">
      <alignment horizontal="center" vertical="center"/>
    </xf>
    <xf numFmtId="0" fontId="75" fillId="0" borderId="9" xfId="0" applyFont="1" applyBorder="1" applyAlignment="1">
      <alignment horizontal="justify" vertical="center" wrapText="1"/>
    </xf>
    <xf numFmtId="39" fontId="72" fillId="0" borderId="9" xfId="0" applyNumberFormat="1" applyFont="1" applyBorder="1" applyAlignment="1">
      <alignment horizontal="center" vertical="center"/>
    </xf>
    <xf numFmtId="39" fontId="23" fillId="7" borderId="20" xfId="2" applyNumberFormat="1" applyFont="1" applyFill="1" applyBorder="1" applyAlignment="1">
      <alignment horizontal="center" vertical="center"/>
    </xf>
    <xf numFmtId="0" fontId="0" fillId="0" borderId="0" xfId="0" applyFont="1" applyAlignment="1">
      <alignment horizontal="left" vertical="center"/>
    </xf>
    <xf numFmtId="39" fontId="23" fillId="7" borderId="20" xfId="2" applyNumberFormat="1" applyFont="1" applyFill="1" applyBorder="1" applyAlignment="1">
      <alignment horizontal="center" vertical="center"/>
    </xf>
    <xf numFmtId="0" fontId="37" fillId="0" borderId="9" xfId="0" applyFont="1" applyBorder="1" applyAlignment="1">
      <alignment horizontal="justify" vertical="center" wrapText="1"/>
    </xf>
    <xf numFmtId="39" fontId="23" fillId="4" borderId="26" xfId="1" applyNumberFormat="1" applyFont="1" applyFill="1" applyBorder="1" applyAlignment="1">
      <alignment horizontal="center" vertical="center"/>
    </xf>
    <xf numFmtId="0" fontId="15" fillId="0" borderId="9" xfId="0" applyFont="1" applyBorder="1" applyAlignment="1">
      <alignment horizontal="center" vertical="center"/>
    </xf>
    <xf numFmtId="3" fontId="53" fillId="0" borderId="0" xfId="0" applyNumberFormat="1" applyFont="1" applyAlignment="1">
      <alignment horizontal="left" vertical="center"/>
    </xf>
    <xf numFmtId="0" fontId="72" fillId="12" borderId="9" xfId="0" applyFont="1" applyFill="1" applyBorder="1" applyAlignment="1">
      <alignment horizontal="center" vertical="center"/>
    </xf>
    <xf numFmtId="3" fontId="0" fillId="0" borderId="0" xfId="0" applyNumberFormat="1" applyFont="1">
      <alignment vertical="center"/>
    </xf>
    <xf numFmtId="39" fontId="3" fillId="0" borderId="49" xfId="0" applyNumberFormat="1" applyFont="1" applyBorder="1" applyAlignment="1" applyProtection="1">
      <alignment horizontal="justify" vertical="center"/>
      <protection locked="0"/>
    </xf>
    <xf numFmtId="0" fontId="0" fillId="0" borderId="0" xfId="0" applyFont="1">
      <alignment vertical="center"/>
    </xf>
    <xf numFmtId="0" fontId="0" fillId="12" borderId="0" xfId="0" applyFont="1" applyFill="1">
      <alignment vertical="center"/>
    </xf>
    <xf numFmtId="0" fontId="79" fillId="0" borderId="0" xfId="0" applyFont="1">
      <alignment vertical="center"/>
    </xf>
    <xf numFmtId="169" fontId="0" fillId="0" borderId="0" xfId="0" applyNumberFormat="1" applyFont="1">
      <alignment vertical="center"/>
    </xf>
    <xf numFmtId="3" fontId="22" fillId="0" borderId="0" xfId="0" applyNumberFormat="1" applyFont="1" applyAlignment="1">
      <alignment horizontal="right" vertical="center"/>
    </xf>
    <xf numFmtId="39" fontId="22" fillId="12" borderId="0" xfId="0" applyNumberFormat="1" applyFont="1" applyFill="1" applyAlignment="1">
      <alignment horizontal="justify" vertical="center" wrapText="1"/>
    </xf>
    <xf numFmtId="39" fontId="22" fillId="12" borderId="20" xfId="0" applyNumberFormat="1" applyFont="1" applyFill="1" applyBorder="1" applyAlignment="1">
      <alignment horizontal="justify" vertical="center" wrapText="1"/>
    </xf>
    <xf numFmtId="42" fontId="0" fillId="0" borderId="0" xfId="0" applyNumberFormat="1" applyFont="1">
      <alignment vertical="center"/>
    </xf>
    <xf numFmtId="0" fontId="0" fillId="0" borderId="0" xfId="0" applyFont="1" applyAlignment="1">
      <alignment horizontal="center" vertical="center"/>
    </xf>
    <xf numFmtId="0" fontId="18" fillId="0" borderId="9" xfId="7" applyFont="1" applyBorder="1" applyAlignment="1">
      <alignment horizontal="justify" vertical="center" wrapText="1"/>
    </xf>
    <xf numFmtId="0" fontId="7" fillId="0" borderId="9" xfId="7" applyFont="1" applyBorder="1" applyAlignment="1">
      <alignment horizontal="justify" vertical="center" wrapText="1"/>
    </xf>
    <xf numFmtId="0" fontId="17" fillId="0" borderId="9" xfId="7" applyFont="1" applyBorder="1" applyAlignment="1">
      <alignment horizontal="justify" vertical="center" wrapText="1"/>
    </xf>
    <xf numFmtId="0" fontId="7" fillId="0" borderId="0" xfId="7" applyFont="1" applyAlignment="1">
      <alignment vertical="center"/>
    </xf>
    <xf numFmtId="168" fontId="18" fillId="12" borderId="0" xfId="6" applyNumberFormat="1" applyFont="1" applyFill="1" applyAlignment="1">
      <alignment vertical="center"/>
    </xf>
    <xf numFmtId="0" fontId="14" fillId="0" borderId="0" xfId="0" applyFont="1" applyAlignment="1">
      <alignment vertical="center"/>
    </xf>
    <xf numFmtId="0" fontId="17" fillId="0" borderId="0" xfId="7" applyFont="1" applyAlignment="1">
      <alignment vertical="center"/>
    </xf>
    <xf numFmtId="0" fontId="8" fillId="0" borderId="0" xfId="0" applyFont="1" applyAlignment="1">
      <alignment vertical="center"/>
    </xf>
    <xf numFmtId="0" fontId="17" fillId="0" borderId="9" xfId="7" applyFont="1" applyBorder="1" applyAlignment="1">
      <alignment vertical="center"/>
    </xf>
    <xf numFmtId="168" fontId="0" fillId="0" borderId="0" xfId="0" applyNumberFormat="1" applyAlignment="1">
      <alignment vertical="center"/>
    </xf>
    <xf numFmtId="10" fontId="17" fillId="0" borderId="9" xfId="10" applyNumberFormat="1" applyFont="1" applyFill="1" applyBorder="1" applyAlignment="1">
      <alignment vertical="center"/>
    </xf>
    <xf numFmtId="10" fontId="80" fillId="0" borderId="9" xfId="10" applyNumberFormat="1" applyFont="1" applyFill="1" applyBorder="1" applyAlignment="1">
      <alignment vertical="center"/>
    </xf>
    <xf numFmtId="10" fontId="20" fillId="0" borderId="9" xfId="10" applyNumberFormat="1" applyFont="1" applyFill="1" applyBorder="1" applyAlignment="1">
      <alignment vertical="center"/>
    </xf>
    <xf numFmtId="168" fontId="14" fillId="0" borderId="0" xfId="0" applyNumberFormat="1" applyFont="1" applyAlignment="1">
      <alignment vertical="center"/>
    </xf>
    <xf numFmtId="0" fontId="7" fillId="0" borderId="9" xfId="0" applyFont="1" applyBorder="1" applyAlignment="1">
      <alignment vertical="center"/>
    </xf>
    <xf numFmtId="169" fontId="19" fillId="12" borderId="9" xfId="0" applyNumberFormat="1" applyFont="1" applyFill="1" applyBorder="1" applyAlignment="1">
      <alignment vertical="center"/>
    </xf>
    <xf numFmtId="169" fontId="19" fillId="0" borderId="9" xfId="0" applyNumberFormat="1" applyFont="1" applyBorder="1" applyAlignment="1">
      <alignment vertical="center"/>
    </xf>
    <xf numFmtId="3" fontId="19" fillId="0" borderId="9" xfId="0" applyNumberFormat="1" applyFont="1" applyBorder="1" applyAlignment="1">
      <alignment vertical="center"/>
    </xf>
    <xf numFmtId="3" fontId="0" fillId="0" borderId="0" xfId="0" applyNumberFormat="1" applyAlignment="1">
      <alignment vertical="center"/>
    </xf>
    <xf numFmtId="0" fontId="7" fillId="12" borderId="9" xfId="0" applyFont="1" applyFill="1" applyBorder="1" applyAlignment="1">
      <alignment vertical="center"/>
    </xf>
    <xf numFmtId="3" fontId="19" fillId="12" borderId="9" xfId="0" applyNumberFormat="1" applyFont="1" applyFill="1" applyBorder="1" applyAlignment="1">
      <alignment vertical="center"/>
    </xf>
    <xf numFmtId="0" fontId="19" fillId="12" borderId="9" xfId="0" applyFont="1" applyFill="1" applyBorder="1" applyAlignment="1">
      <alignment vertical="center"/>
    </xf>
    <xf numFmtId="0" fontId="14" fillId="12" borderId="9" xfId="0" applyFont="1" applyFill="1" applyBorder="1" applyAlignment="1">
      <alignment vertical="center"/>
    </xf>
    <xf numFmtId="3" fontId="19" fillId="12" borderId="0" xfId="0" applyNumberFormat="1" applyFont="1" applyFill="1" applyAlignment="1">
      <alignment vertical="center"/>
    </xf>
    <xf numFmtId="0" fontId="14" fillId="12" borderId="0" xfId="0" applyFont="1" applyFill="1" applyAlignment="1">
      <alignment vertical="center"/>
    </xf>
    <xf numFmtId="39" fontId="23" fillId="6" borderId="20"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5" borderId="20"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6" borderId="20"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3" fillId="0" borderId="49" xfId="0" applyNumberFormat="1" applyFont="1" applyBorder="1" applyAlignment="1">
      <alignment horizontal="justify" vertical="center" wrapText="1"/>
    </xf>
    <xf numFmtId="39" fontId="23" fillId="6" borderId="20" xfId="0"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6" borderId="20"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33" fillId="0" borderId="0" xfId="0" applyNumberFormat="1" applyFont="1" applyAlignment="1" applyProtection="1">
      <alignment horizontal="justify" vertical="center"/>
      <protection locked="0"/>
    </xf>
    <xf numFmtId="39" fontId="33" fillId="0" borderId="0" xfId="0" applyNumberFormat="1" applyFont="1" applyAlignment="1" applyProtection="1">
      <alignment horizontal="center" vertical="center"/>
      <protection locked="0"/>
    </xf>
    <xf numFmtId="39" fontId="23" fillId="6" borderId="20" xfId="0" applyNumberFormat="1" applyFont="1" applyFill="1" applyBorder="1" applyAlignment="1">
      <alignment horizontal="center" vertical="center"/>
    </xf>
    <xf numFmtId="39" fontId="23" fillId="6" borderId="20" xfId="0"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4" borderId="26" xfId="1"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23" fillId="6" borderId="20" xfId="0" applyNumberFormat="1" applyFont="1" applyFill="1" applyBorder="1" applyAlignment="1">
      <alignment horizontal="center" vertical="center" wrapText="1"/>
    </xf>
    <xf numFmtId="0" fontId="3" fillId="0" borderId="9" xfId="0" applyFont="1" applyBorder="1" applyAlignment="1">
      <alignment horizontal="left" vertical="center"/>
    </xf>
    <xf numFmtId="39" fontId="23" fillId="4" borderId="40" xfId="1" applyNumberFormat="1" applyFont="1" applyFill="1" applyBorder="1" applyAlignment="1">
      <alignment horizontal="center" vertical="center"/>
    </xf>
    <xf numFmtId="39" fontId="23" fillId="5" borderId="20" xfId="0" applyNumberFormat="1" applyFont="1" applyFill="1" applyBorder="1" applyAlignment="1">
      <alignment horizontal="center" vertical="center"/>
    </xf>
    <xf numFmtId="0" fontId="32" fillId="16" borderId="4" xfId="0" applyFont="1" applyFill="1" applyBorder="1" applyAlignment="1">
      <alignment horizontal="center" vertical="center"/>
    </xf>
    <xf numFmtId="39" fontId="23" fillId="7" borderId="20" xfId="2" applyNumberFormat="1" applyFont="1" applyFill="1" applyBorder="1" applyAlignment="1">
      <alignment horizontal="center" vertical="center"/>
    </xf>
    <xf numFmtId="3" fontId="47" fillId="6" borderId="33" xfId="0" applyNumberFormat="1" applyFont="1" applyFill="1" applyBorder="1" applyAlignment="1">
      <alignment horizontal="center" vertical="center"/>
    </xf>
    <xf numFmtId="3" fontId="47" fillId="6" borderId="20" xfId="0" applyNumberFormat="1" applyFont="1" applyFill="1" applyBorder="1" applyAlignment="1">
      <alignment horizontal="center" vertical="center"/>
    </xf>
    <xf numFmtId="0" fontId="42" fillId="17" borderId="20" xfId="0" applyFont="1" applyFill="1" applyBorder="1" applyAlignment="1">
      <alignment horizontal="center" vertical="center"/>
    </xf>
    <xf numFmtId="3" fontId="47" fillId="15" borderId="20" xfId="0" applyNumberFormat="1" applyFont="1" applyFill="1" applyBorder="1" applyAlignment="1">
      <alignment horizontal="center" vertical="center"/>
    </xf>
    <xf numFmtId="0" fontId="42" fillId="17" borderId="20" xfId="0" applyFont="1" applyFill="1" applyBorder="1" applyAlignment="1">
      <alignment horizontal="center" vertical="center" wrapText="1"/>
    </xf>
    <xf numFmtId="37" fontId="46" fillId="0" borderId="9" xfId="0" applyNumberFormat="1" applyFont="1" applyBorder="1" applyAlignment="1">
      <alignment horizontal="center" vertical="center"/>
    </xf>
    <xf numFmtId="0" fontId="46" fillId="0" borderId="2" xfId="0" applyFont="1" applyBorder="1" applyAlignment="1">
      <alignment horizontal="center" vertical="center"/>
    </xf>
    <xf numFmtId="0" fontId="4" fillId="14" borderId="24" xfId="0" applyFont="1" applyFill="1" applyBorder="1" applyAlignment="1">
      <alignment horizontal="center" vertical="center"/>
    </xf>
    <xf numFmtId="0" fontId="8" fillId="14" borderId="24" xfId="0" applyFont="1" applyFill="1" applyBorder="1" applyAlignment="1">
      <alignment horizontal="center" vertical="center"/>
    </xf>
    <xf numFmtId="167" fontId="8" fillId="14" borderId="24" xfId="0" applyNumberFormat="1" applyFont="1" applyFill="1" applyBorder="1" applyAlignment="1">
      <alignment horizontal="center" vertical="center"/>
    </xf>
    <xf numFmtId="0" fontId="4" fillId="14" borderId="24" xfId="0" applyFont="1" applyFill="1" applyBorder="1" applyAlignment="1">
      <alignment horizontal="right" vertical="center"/>
    </xf>
    <xf numFmtId="167" fontId="4" fillId="14" borderId="24" xfId="0" applyNumberFormat="1" applyFont="1" applyFill="1" applyBorder="1" applyAlignment="1">
      <alignment horizontal="center" vertical="center"/>
    </xf>
    <xf numFmtId="3" fontId="4" fillId="14" borderId="25" xfId="0" applyNumberFormat="1" applyFont="1" applyFill="1" applyBorder="1" applyAlignment="1">
      <alignment horizontal="right" vertical="center"/>
    </xf>
    <xf numFmtId="167" fontId="49" fillId="0" borderId="14" xfId="0" applyNumberFormat="1" applyFont="1" applyBorder="1">
      <alignment vertical="center"/>
    </xf>
    <xf numFmtId="0" fontId="44" fillId="0" borderId="0" xfId="0" applyFont="1">
      <alignment vertical="center"/>
    </xf>
    <xf numFmtId="49" fontId="46" fillId="12" borderId="0" xfId="0" applyNumberFormat="1" applyFont="1" applyFill="1" applyAlignment="1">
      <alignment horizontal="center" vertical="center"/>
    </xf>
    <xf numFmtId="0" fontId="53" fillId="0" borderId="0" xfId="0" applyFont="1">
      <alignment vertical="center"/>
    </xf>
    <xf numFmtId="0" fontId="1" fillId="0" borderId="0" xfId="0" applyFont="1">
      <alignment vertical="center"/>
    </xf>
    <xf numFmtId="0" fontId="43" fillId="0" borderId="0" xfId="0" applyFont="1">
      <alignment vertical="center"/>
    </xf>
    <xf numFmtId="49" fontId="46" fillId="12" borderId="0" xfId="2" applyNumberFormat="1" applyFont="1" applyFill="1" applyBorder="1" applyAlignment="1">
      <alignment horizontal="center" vertical="center"/>
    </xf>
    <xf numFmtId="0" fontId="51" fillId="0" borderId="0" xfId="0" applyFont="1">
      <alignment vertical="center"/>
    </xf>
    <xf numFmtId="0" fontId="53" fillId="12" borderId="0" xfId="0" applyFont="1" applyFill="1">
      <alignment vertical="center"/>
    </xf>
    <xf numFmtId="3" fontId="53" fillId="0" borderId="0" xfId="0" applyNumberFormat="1" applyFont="1">
      <alignment vertical="center"/>
    </xf>
    <xf numFmtId="3" fontId="46" fillId="0" borderId="0" xfId="0" applyNumberFormat="1" applyFont="1">
      <alignment vertical="center"/>
    </xf>
    <xf numFmtId="3" fontId="46" fillId="12" borderId="0" xfId="0" applyNumberFormat="1" applyFont="1" applyFill="1">
      <alignment vertical="center"/>
    </xf>
    <xf numFmtId="0" fontId="43" fillId="12" borderId="0" xfId="0" applyFont="1" applyFill="1">
      <alignment vertical="center"/>
    </xf>
    <xf numFmtId="0" fontId="41" fillId="0" borderId="0" xfId="0" applyFont="1" applyFill="1" applyBorder="1">
      <alignment vertical="center"/>
    </xf>
    <xf numFmtId="3" fontId="53" fillId="0" borderId="0" xfId="0" applyNumberFormat="1" applyFont="1" applyBorder="1">
      <alignment vertical="center"/>
    </xf>
    <xf numFmtId="3" fontId="53" fillId="0" borderId="0" xfId="0" applyNumberFormat="1" applyFont="1" applyBorder="1" applyAlignment="1">
      <alignment horizontal="center" vertical="center"/>
    </xf>
    <xf numFmtId="167" fontId="53" fillId="0" borderId="0" xfId="0" applyNumberFormat="1" applyFont="1" applyBorder="1" applyAlignment="1">
      <alignment horizontal="center" vertical="center"/>
    </xf>
    <xf numFmtId="3" fontId="3" fillId="12" borderId="24" xfId="17" applyNumberFormat="1" applyFont="1" applyFill="1" applyBorder="1" applyAlignment="1" applyProtection="1">
      <alignment horizontal="right" vertical="center"/>
    </xf>
    <xf numFmtId="0" fontId="43" fillId="0" borderId="0" xfId="0" applyFont="1" applyFill="1">
      <alignment vertical="center"/>
    </xf>
    <xf numFmtId="3" fontId="53" fillId="0" borderId="0" xfId="0" applyNumberFormat="1" applyFont="1" applyBorder="1" applyAlignment="1">
      <alignment horizontal="justify" vertical="center" wrapText="1"/>
    </xf>
    <xf numFmtId="0" fontId="53" fillId="12" borderId="50" xfId="0" applyFont="1" applyFill="1" applyBorder="1" applyAlignment="1">
      <alignment horizontal="left" vertical="center"/>
    </xf>
    <xf numFmtId="3" fontId="44" fillId="0" borderId="0" xfId="0" applyNumberFormat="1" applyFont="1" applyBorder="1" applyAlignment="1">
      <alignment horizontal="justify" vertical="center" wrapText="1"/>
    </xf>
    <xf numFmtId="0" fontId="51" fillId="0" borderId="0" xfId="0" applyFont="1" applyFill="1">
      <alignment vertical="center"/>
    </xf>
    <xf numFmtId="0" fontId="53" fillId="12" borderId="0" xfId="0" applyFont="1" applyFill="1" applyBorder="1" applyAlignment="1">
      <alignment horizontal="center" vertical="center"/>
    </xf>
    <xf numFmtId="3" fontId="53" fillId="0" borderId="24" xfId="0" applyNumberFormat="1" applyFont="1" applyBorder="1">
      <alignment vertical="center"/>
    </xf>
    <xf numFmtId="3" fontId="53" fillId="0" borderId="24" xfId="0" applyNumberFormat="1" applyFont="1" applyBorder="1" applyAlignment="1">
      <alignment horizontal="center" vertical="center"/>
    </xf>
    <xf numFmtId="3" fontId="53" fillId="12" borderId="0" xfId="0" applyNumberFormat="1" applyFont="1" applyFill="1">
      <alignment vertical="center"/>
    </xf>
    <xf numFmtId="39" fontId="58" fillId="0" borderId="0" xfId="0" applyNumberFormat="1" applyFont="1" applyBorder="1" applyAlignment="1" applyProtection="1">
      <alignment horizontal="justify" vertical="center"/>
      <protection locked="0"/>
    </xf>
    <xf numFmtId="39" fontId="58" fillId="0" borderId="0" xfId="0" applyNumberFormat="1" applyFont="1" applyBorder="1" applyAlignment="1" applyProtection="1">
      <alignment horizontal="center" vertical="center"/>
      <protection locked="0"/>
    </xf>
    <xf numFmtId="167" fontId="58" fillId="0" borderId="0" xfId="0" applyNumberFormat="1" applyFont="1" applyBorder="1" applyAlignment="1" applyProtection="1">
      <alignment horizontal="center" vertical="center"/>
      <protection locked="0"/>
    </xf>
    <xf numFmtId="3" fontId="49" fillId="0" borderId="0" xfId="21" applyNumberFormat="1" applyFont="1" applyFill="1" applyBorder="1" applyAlignment="1" applyProtection="1">
      <alignment horizontal="right" vertical="center"/>
    </xf>
    <xf numFmtId="167" fontId="58" fillId="0" borderId="0" xfId="0" applyNumberFormat="1" applyFont="1" applyBorder="1" applyAlignment="1">
      <alignment horizontal="center" vertical="center"/>
    </xf>
    <xf numFmtId="3" fontId="46" fillId="0" borderId="24" xfId="0" applyNumberFormat="1" applyFont="1" applyBorder="1" applyAlignment="1" applyProtection="1">
      <alignment horizontal="right" vertical="center"/>
      <protection locked="0"/>
    </xf>
    <xf numFmtId="49" fontId="3" fillId="0" borderId="0" xfId="0" applyNumberFormat="1" applyFont="1" applyAlignment="1">
      <alignment horizontal="center" vertical="center"/>
    </xf>
    <xf numFmtId="167" fontId="46" fillId="0" borderId="0" xfId="0" applyNumberFormat="1" applyFont="1" applyBorder="1" applyAlignment="1">
      <alignment horizontal="center" vertical="center"/>
    </xf>
    <xf numFmtId="0" fontId="50" fillId="0" borderId="0" xfId="0" applyFont="1">
      <alignment vertical="center"/>
    </xf>
    <xf numFmtId="3" fontId="44" fillId="0" borderId="0" xfId="0" applyNumberFormat="1" applyFont="1" applyAlignment="1">
      <alignment horizontal="justify" vertical="center" wrapText="1"/>
    </xf>
    <xf numFmtId="3" fontId="49" fillId="0" borderId="14" xfId="0" applyNumberFormat="1" applyFont="1" applyBorder="1" applyAlignment="1">
      <alignment horizontal="left" vertical="center" wrapText="1"/>
    </xf>
    <xf numFmtId="37" fontId="46" fillId="0" borderId="24" xfId="0" applyNumberFormat="1" applyFont="1" applyBorder="1" applyAlignment="1" applyProtection="1">
      <alignment horizontal="left" vertical="center" wrapText="1"/>
      <protection locked="0"/>
    </xf>
    <xf numFmtId="167" fontId="46" fillId="0" borderId="24" xfId="9" applyNumberFormat="1" applyFont="1" applyFill="1" applyBorder="1" applyAlignment="1" applyProtection="1">
      <alignment horizontal="center" vertical="center"/>
      <protection locked="0"/>
    </xf>
    <xf numFmtId="39" fontId="46" fillId="0" borderId="24" xfId="0" applyNumberFormat="1" applyFont="1" applyBorder="1" applyAlignment="1">
      <alignment horizontal="justify" vertical="center"/>
    </xf>
    <xf numFmtId="39" fontId="46" fillId="0" borderId="24" xfId="0" applyNumberFormat="1" applyFont="1" applyBorder="1" applyAlignment="1">
      <alignment horizontal="center" vertical="center"/>
    </xf>
    <xf numFmtId="3" fontId="46" fillId="0" borderId="24" xfId="0" applyNumberFormat="1" applyFont="1" applyBorder="1" applyAlignment="1">
      <alignment horizontal="right" vertical="center"/>
    </xf>
    <xf numFmtId="0" fontId="46" fillId="0" borderId="0" xfId="0" applyFont="1" applyAlignment="1">
      <alignment horizontal="justify" vertical="center"/>
    </xf>
    <xf numFmtId="3" fontId="50" fillId="0" borderId="0" xfId="0" applyNumberFormat="1" applyFont="1">
      <alignment vertical="center"/>
    </xf>
    <xf numFmtId="167" fontId="50" fillId="0" borderId="0" xfId="0" applyNumberFormat="1" applyFont="1">
      <alignment vertical="center"/>
    </xf>
    <xf numFmtId="3" fontId="49" fillId="12" borderId="31" xfId="0" applyNumberFormat="1" applyFont="1" applyFill="1" applyBorder="1" applyAlignment="1">
      <alignment horizontal="center" vertical="center"/>
    </xf>
    <xf numFmtId="37" fontId="43" fillId="0" borderId="13" xfId="0" applyNumberFormat="1" applyFont="1" applyBorder="1" applyAlignment="1">
      <alignment horizontal="center" vertical="center"/>
    </xf>
    <xf numFmtId="3" fontId="49" fillId="12" borderId="31" xfId="0" applyNumberFormat="1" applyFont="1" applyFill="1" applyBorder="1" applyAlignment="1">
      <alignment horizontal="center" vertical="center" wrapText="1"/>
    </xf>
    <xf numFmtId="39" fontId="23" fillId="4" borderId="40" xfId="1" applyNumberFormat="1" applyFont="1" applyFill="1" applyBorder="1" applyAlignment="1">
      <alignment horizontal="center" vertical="center"/>
    </xf>
    <xf numFmtId="3" fontId="58" fillId="12" borderId="15" xfId="0" applyNumberFormat="1" applyFont="1" applyFill="1" applyBorder="1" applyAlignment="1">
      <alignment horizontal="center" vertical="center" wrapText="1"/>
    </xf>
    <xf numFmtId="3" fontId="49" fillId="12" borderId="15" xfId="0" applyNumberFormat="1" applyFont="1" applyFill="1" applyBorder="1" applyAlignment="1">
      <alignment horizontal="center" vertical="center" wrapText="1"/>
    </xf>
    <xf numFmtId="0" fontId="51" fillId="12" borderId="0" xfId="0" applyFont="1" applyFill="1">
      <alignment vertical="center"/>
    </xf>
    <xf numFmtId="0" fontId="4" fillId="16" borderId="4" xfId="0" applyFont="1" applyFill="1" applyBorder="1" applyAlignment="1">
      <alignment horizontal="center" vertical="center"/>
    </xf>
    <xf numFmtId="49" fontId="83" fillId="0" borderId="36" xfId="0" applyNumberFormat="1" applyFont="1" applyBorder="1" applyAlignment="1">
      <alignment horizontal="center" vertical="center" wrapText="1"/>
    </xf>
    <xf numFmtId="49" fontId="46" fillId="12" borderId="36" xfId="0" applyNumberFormat="1" applyFont="1" applyFill="1" applyBorder="1" applyAlignment="1">
      <alignment horizontal="center" vertical="center" wrapText="1"/>
    </xf>
    <xf numFmtId="49" fontId="83" fillId="12" borderId="19" xfId="1" applyNumberFormat="1" applyFont="1" applyFill="1" applyBorder="1" applyAlignment="1">
      <alignment horizontal="center" vertical="center"/>
    </xf>
    <xf numFmtId="49" fontId="46" fillId="12" borderId="36" xfId="0" applyNumberFormat="1" applyFont="1" applyFill="1" applyBorder="1" applyAlignment="1">
      <alignment horizontal="center" vertical="center"/>
    </xf>
    <xf numFmtId="49" fontId="83" fillId="12" borderId="36" xfId="0" applyNumberFormat="1" applyFont="1" applyFill="1" applyBorder="1" applyAlignment="1">
      <alignment horizontal="center" vertical="center" wrapText="1"/>
    </xf>
    <xf numFmtId="49" fontId="46" fillId="12" borderId="36" xfId="0" applyNumberFormat="1" applyFont="1" applyFill="1" applyBorder="1" applyAlignment="1">
      <alignment vertical="center" wrapText="1"/>
    </xf>
    <xf numFmtId="49" fontId="46" fillId="12" borderId="36" xfId="0" applyNumberFormat="1" applyFont="1" applyFill="1" applyBorder="1" applyAlignment="1">
      <alignment horizontal="justify" vertical="center" wrapText="1"/>
    </xf>
    <xf numFmtId="49" fontId="83" fillId="12" borderId="36" xfId="0" applyNumberFormat="1" applyFont="1" applyFill="1" applyBorder="1" applyAlignment="1">
      <alignment horizontal="center" vertical="center"/>
    </xf>
    <xf numFmtId="49" fontId="46" fillId="0" borderId="19" xfId="0" applyNumberFormat="1" applyFont="1" applyBorder="1" applyAlignment="1" applyProtection="1">
      <alignment horizontal="center" vertical="center"/>
      <protection locked="0"/>
    </xf>
    <xf numFmtId="49" fontId="46" fillId="0" borderId="36" xfId="0" applyNumberFormat="1" applyFont="1" applyBorder="1" applyAlignment="1" applyProtection="1">
      <alignment horizontal="center" vertical="center"/>
      <protection locked="0"/>
    </xf>
    <xf numFmtId="49" fontId="46" fillId="0" borderId="14" xfId="0" applyNumberFormat="1" applyFont="1" applyBorder="1" applyAlignment="1">
      <alignment horizontal="center" vertical="center" wrapText="1"/>
    </xf>
    <xf numFmtId="49" fontId="83" fillId="12" borderId="36" xfId="0" applyNumberFormat="1" applyFont="1" applyFill="1" applyBorder="1" applyAlignment="1">
      <alignment vertical="center" wrapText="1"/>
    </xf>
    <xf numFmtId="3" fontId="83" fillId="12" borderId="36" xfId="0" applyNumberFormat="1" applyFont="1" applyFill="1" applyBorder="1" applyAlignment="1">
      <alignment vertical="center" wrapText="1"/>
    </xf>
    <xf numFmtId="0" fontId="4" fillId="19" borderId="4" xfId="0" applyFont="1" applyFill="1" applyBorder="1" applyAlignment="1">
      <alignment horizontal="center" vertical="center"/>
    </xf>
    <xf numFmtId="49" fontId="46" fillId="0" borderId="36" xfId="0" applyNumberFormat="1" applyFont="1" applyBorder="1" applyAlignment="1">
      <alignment horizontal="center" vertical="center"/>
    </xf>
    <xf numFmtId="0" fontId="46" fillId="0" borderId="0" xfId="0" applyFont="1">
      <alignment vertical="center"/>
    </xf>
    <xf numFmtId="39" fontId="3" fillId="0" borderId="2" xfId="0" applyNumberFormat="1" applyFont="1" applyBorder="1" applyAlignment="1">
      <alignment horizontal="justify" vertical="center"/>
    </xf>
    <xf numFmtId="39" fontId="3" fillId="0" borderId="2" xfId="0" applyNumberFormat="1" applyFont="1" applyBorder="1" applyAlignment="1">
      <alignment horizontal="center" vertical="center"/>
    </xf>
    <xf numFmtId="39" fontId="3" fillId="12" borderId="2" xfId="0" applyNumberFormat="1" applyFont="1" applyFill="1" applyBorder="1" applyAlignment="1">
      <alignment horizontal="center" vertical="center"/>
    </xf>
    <xf numFmtId="0" fontId="3" fillId="0" borderId="2" xfId="0" applyFont="1" applyBorder="1" applyAlignment="1">
      <alignment horizontal="center" vertical="center"/>
    </xf>
    <xf numFmtId="169" fontId="3" fillId="0" borderId="9" xfId="17" applyNumberFormat="1" applyFont="1" applyFill="1" applyBorder="1" applyAlignment="1">
      <alignment vertical="center"/>
    </xf>
    <xf numFmtId="3" fontId="3" fillId="12" borderId="9" xfId="0" applyNumberFormat="1" applyFont="1" applyFill="1" applyBorder="1" applyAlignment="1">
      <alignment horizontal="right" vertical="center"/>
    </xf>
    <xf numFmtId="3" fontId="46" fillId="0" borderId="9" xfId="0" applyNumberFormat="1" applyFont="1" applyBorder="1" applyAlignment="1">
      <alignment horizontal="right" vertical="center"/>
    </xf>
    <xf numFmtId="3" fontId="46" fillId="12" borderId="9" xfId="0" applyNumberFormat="1" applyFont="1" applyFill="1" applyBorder="1" applyAlignment="1">
      <alignment horizontal="right" vertical="center"/>
    </xf>
    <xf numFmtId="3" fontId="46" fillId="0" borderId="9" xfId="21" applyNumberFormat="1" applyFont="1" applyBorder="1" applyAlignment="1">
      <alignment horizontal="right" vertical="center" wrapText="1"/>
    </xf>
    <xf numFmtId="3" fontId="46" fillId="12" borderId="9" xfId="21" applyNumberFormat="1" applyFont="1" applyFill="1" applyBorder="1" applyAlignment="1">
      <alignment horizontal="right" vertical="center" wrapText="1"/>
    </xf>
    <xf numFmtId="0" fontId="84" fillId="0" borderId="9" xfId="0" applyFont="1" applyBorder="1">
      <alignment vertical="center"/>
    </xf>
    <xf numFmtId="0" fontId="84" fillId="0" borderId="9" xfId="0" applyFont="1" applyBorder="1" applyAlignment="1">
      <alignment horizontal="justify" vertical="center" wrapText="1"/>
    </xf>
    <xf numFmtId="37" fontId="84" fillId="0" borderId="9" xfId="0" applyNumberFormat="1" applyFont="1" applyBorder="1" applyAlignment="1" applyProtection="1">
      <alignment horizontal="left" vertical="center" wrapText="1"/>
      <protection locked="0"/>
    </xf>
    <xf numFmtId="39" fontId="84" fillId="0" borderId="9" xfId="0" applyNumberFormat="1" applyFont="1" applyBorder="1" applyAlignment="1">
      <alignment horizontal="justify" vertical="center"/>
    </xf>
    <xf numFmtId="39" fontId="74" fillId="0" borderId="9" xfId="0" applyNumberFormat="1" applyFont="1" applyBorder="1" applyAlignment="1">
      <alignment horizontal="left" vertical="center"/>
    </xf>
    <xf numFmtId="39" fontId="74" fillId="12" borderId="9" xfId="0" applyNumberFormat="1" applyFont="1" applyFill="1" applyBorder="1" applyAlignment="1">
      <alignment horizontal="justify" vertical="center"/>
    </xf>
    <xf numFmtId="0" fontId="84" fillId="0" borderId="9" xfId="0" applyFont="1" applyBorder="1" applyAlignment="1">
      <alignment vertical="center" wrapText="1"/>
    </xf>
    <xf numFmtId="39" fontId="74" fillId="0" borderId="9" xfId="0" applyNumberFormat="1" applyFont="1" applyBorder="1" applyAlignment="1">
      <alignment horizontal="justify" vertical="center"/>
    </xf>
    <xf numFmtId="0" fontId="84" fillId="12" borderId="9" xfId="0" applyFont="1" applyFill="1" applyBorder="1">
      <alignment vertical="center"/>
    </xf>
    <xf numFmtId="0" fontId="46" fillId="12" borderId="9" xfId="0" applyFont="1" applyFill="1" applyBorder="1">
      <alignment vertical="center"/>
    </xf>
    <xf numFmtId="39" fontId="84" fillId="0" borderId="9" xfId="0" applyNumberFormat="1" applyFont="1" applyBorder="1" applyAlignment="1" applyProtection="1">
      <alignment horizontal="justify" vertical="center" wrapText="1"/>
      <protection locked="0"/>
    </xf>
    <xf numFmtId="0" fontId="84" fillId="0" borderId="9" xfId="0" applyFont="1" applyBorder="1" applyAlignment="1">
      <alignment horizontal="justify" vertical="justify" wrapText="1"/>
    </xf>
    <xf numFmtId="0" fontId="84" fillId="12" borderId="9" xfId="0" applyFont="1" applyFill="1" applyBorder="1" applyAlignment="1">
      <alignment horizontal="justify" vertical="center" wrapText="1"/>
    </xf>
    <xf numFmtId="37" fontId="84" fillId="0" borderId="9" xfId="0" applyNumberFormat="1" applyFont="1" applyBorder="1" applyAlignment="1">
      <alignment horizontal="justify" vertical="center" wrapText="1"/>
    </xf>
    <xf numFmtId="37" fontId="84" fillId="0" borderId="9" xfId="0" applyNumberFormat="1" applyFont="1" applyBorder="1" applyAlignment="1" applyProtection="1">
      <alignment horizontal="justify" vertical="center" wrapText="1"/>
      <protection locked="0"/>
    </xf>
    <xf numFmtId="37" fontId="46" fillId="21" borderId="9" xfId="0" applyNumberFormat="1" applyFont="1" applyFill="1" applyBorder="1" applyAlignment="1">
      <alignment horizontal="center" vertical="center"/>
    </xf>
    <xf numFmtId="0" fontId="37" fillId="22" borderId="9" xfId="0" applyFont="1" applyFill="1" applyBorder="1" applyAlignment="1">
      <alignment horizontal="center" vertical="center"/>
    </xf>
    <xf numFmtId="0" fontId="4" fillId="12" borderId="9" xfId="0" applyFont="1" applyFill="1" applyBorder="1" applyAlignment="1">
      <alignment horizontal="center" vertical="center"/>
    </xf>
    <xf numFmtId="0" fontId="3" fillId="12" borderId="9" xfId="0" applyFont="1" applyFill="1" applyBorder="1" applyAlignment="1">
      <alignment horizontal="left" vertical="center"/>
    </xf>
    <xf numFmtId="44" fontId="9" fillId="0" borderId="0" xfId="0" applyNumberFormat="1" applyFont="1" applyAlignment="1">
      <alignment horizontal="left" vertical="center"/>
    </xf>
    <xf numFmtId="0" fontId="86" fillId="0" borderId="0" xfId="0" applyFont="1">
      <alignment vertical="center"/>
    </xf>
    <xf numFmtId="0" fontId="86" fillId="12" borderId="0" xfId="0" applyFont="1" applyFill="1">
      <alignment vertical="center"/>
    </xf>
    <xf numFmtId="0" fontId="87" fillId="12" borderId="0" xfId="0" applyFont="1" applyFill="1">
      <alignment vertical="center"/>
    </xf>
    <xf numFmtId="0" fontId="88" fillId="12" borderId="0" xfId="0" applyFont="1" applyFill="1">
      <alignment vertical="center"/>
    </xf>
    <xf numFmtId="0" fontId="89" fillId="12" borderId="0" xfId="0" applyFont="1" applyFill="1">
      <alignment vertical="center"/>
    </xf>
    <xf numFmtId="0" fontId="87" fillId="0" borderId="0" xfId="0" applyFont="1">
      <alignment vertical="center"/>
    </xf>
    <xf numFmtId="0" fontId="90" fillId="12" borderId="0" xfId="0" applyFont="1" applyFill="1">
      <alignment vertical="center"/>
    </xf>
    <xf numFmtId="39" fontId="91" fillId="12" borderId="0" xfId="0" applyNumberFormat="1" applyFont="1" applyFill="1" applyAlignment="1" applyProtection="1">
      <alignment vertical="center" wrapText="1"/>
      <protection locked="0"/>
    </xf>
    <xf numFmtId="0" fontId="92" fillId="12" borderId="0" xfId="0" applyFont="1" applyFill="1">
      <alignment vertical="center"/>
    </xf>
    <xf numFmtId="0" fontId="89" fillId="12" borderId="0" xfId="0" applyFont="1" applyFill="1" applyAlignment="1">
      <alignment horizontal="justify" vertical="center" wrapText="1"/>
    </xf>
    <xf numFmtId="0" fontId="93" fillId="12" borderId="0" xfId="0" applyFont="1" applyFill="1">
      <alignment vertical="center"/>
    </xf>
    <xf numFmtId="0" fontId="94" fillId="12" borderId="0" xfId="0" applyFont="1" applyFill="1">
      <alignment vertical="center"/>
    </xf>
    <xf numFmtId="0" fontId="95" fillId="12" borderId="0" xfId="0" applyFont="1" applyFill="1">
      <alignment vertical="center"/>
    </xf>
    <xf numFmtId="0" fontId="86" fillId="12" borderId="0" xfId="0" applyFont="1" applyFill="1" applyBorder="1">
      <alignment vertical="center"/>
    </xf>
    <xf numFmtId="0" fontId="24" fillId="8" borderId="0" xfId="0" applyFont="1" applyFill="1" applyAlignment="1">
      <alignment horizontal="center" vertical="center"/>
    </xf>
    <xf numFmtId="0" fontId="35" fillId="18" borderId="0" xfId="0" applyFont="1" applyFill="1" applyAlignment="1">
      <alignment horizontal="center" vertical="center"/>
    </xf>
    <xf numFmtId="0" fontId="35" fillId="18" borderId="9" xfId="0" applyFont="1" applyFill="1" applyBorder="1" applyAlignment="1">
      <alignment horizontal="center" vertical="center" wrapText="1"/>
    </xf>
    <xf numFmtId="0" fontId="35" fillId="18" borderId="51" xfId="0" applyFont="1" applyFill="1" applyBorder="1" applyAlignment="1">
      <alignment horizontal="center" vertical="center"/>
    </xf>
    <xf numFmtId="0" fontId="35" fillId="18" borderId="2" xfId="0" applyFont="1" applyFill="1" applyBorder="1" applyAlignment="1">
      <alignment horizontal="center" vertical="center"/>
    </xf>
    <xf numFmtId="0" fontId="35" fillId="18" borderId="21" xfId="0" applyFont="1" applyFill="1" applyBorder="1" applyAlignment="1">
      <alignment horizontal="center" vertical="center"/>
    </xf>
    <xf numFmtId="0" fontId="35" fillId="18" borderId="52" xfId="0" applyFont="1" applyFill="1" applyBorder="1" applyAlignment="1">
      <alignment horizontal="center" vertical="center"/>
    </xf>
    <xf numFmtId="0" fontId="35" fillId="18" borderId="12" xfId="0" applyFont="1" applyFill="1" applyBorder="1" applyAlignment="1">
      <alignment horizontal="center" vertical="center"/>
    </xf>
    <xf numFmtId="0" fontId="35" fillId="18" borderId="22" xfId="0" applyFont="1" applyFill="1" applyBorder="1" applyAlignment="1">
      <alignment horizontal="center" vertical="center"/>
    </xf>
    <xf numFmtId="39" fontId="23" fillId="6" borderId="20" xfId="0" applyNumberFormat="1" applyFont="1" applyFill="1" applyBorder="1" applyAlignment="1">
      <alignment horizontal="center" vertical="center"/>
    </xf>
    <xf numFmtId="39" fontId="23" fillId="4" borderId="20" xfId="1" applyNumberFormat="1" applyFont="1" applyFill="1" applyBorder="1" applyAlignment="1">
      <alignment horizontal="center" vertical="center"/>
    </xf>
    <xf numFmtId="39" fontId="23" fillId="4" borderId="40" xfId="1" applyNumberFormat="1" applyFont="1" applyFill="1" applyBorder="1" applyAlignment="1">
      <alignment horizontal="center" vertical="center"/>
    </xf>
    <xf numFmtId="39" fontId="23" fillId="6" borderId="20" xfId="0" applyNumberFormat="1" applyFont="1" applyFill="1" applyBorder="1" applyAlignment="1">
      <alignment horizontal="center" vertical="center" textRotation="90"/>
    </xf>
    <xf numFmtId="0" fontId="23" fillId="5" borderId="20" xfId="2" applyFont="1" applyFill="1" applyBorder="1" applyAlignment="1">
      <alignment horizontal="center" vertical="center" textRotation="90" wrapText="1"/>
    </xf>
    <xf numFmtId="39" fontId="18" fillId="12" borderId="10" xfId="0" applyNumberFormat="1" applyFont="1" applyFill="1" applyBorder="1" applyAlignment="1">
      <alignment horizontal="center" vertical="center"/>
    </xf>
    <xf numFmtId="39" fontId="18" fillId="12" borderId="8" xfId="0" applyNumberFormat="1" applyFont="1" applyFill="1" applyBorder="1" applyAlignment="1">
      <alignment horizontal="center" vertical="center"/>
    </xf>
    <xf numFmtId="39" fontId="18" fillId="12" borderId="11" xfId="0" applyNumberFormat="1" applyFont="1" applyFill="1" applyBorder="1" applyAlignment="1">
      <alignment horizontal="center" vertical="center"/>
    </xf>
    <xf numFmtId="39" fontId="23" fillId="4" borderId="20" xfId="0" applyNumberFormat="1" applyFont="1" applyFill="1" applyBorder="1" applyAlignment="1">
      <alignment horizontal="center" vertical="center"/>
    </xf>
    <xf numFmtId="39" fontId="23" fillId="4" borderId="40" xfId="0" applyNumberFormat="1" applyFont="1" applyFill="1" applyBorder="1" applyAlignment="1">
      <alignment horizontal="center" vertical="center"/>
    </xf>
    <xf numFmtId="39" fontId="23" fillId="5" borderId="20" xfId="0" applyNumberFormat="1" applyFont="1" applyFill="1" applyBorder="1" applyAlignment="1">
      <alignment horizontal="center" vertical="center"/>
    </xf>
    <xf numFmtId="0" fontId="23" fillId="7" borderId="20" xfId="2" applyFont="1" applyFill="1" applyBorder="1" applyAlignment="1">
      <alignment horizontal="center" vertical="center" wrapText="1"/>
    </xf>
    <xf numFmtId="39" fontId="23" fillId="5" borderId="20" xfId="0" applyNumberFormat="1" applyFont="1" applyFill="1" applyBorder="1" applyAlignment="1">
      <alignment horizontal="center" vertical="center" textRotation="90"/>
    </xf>
    <xf numFmtId="39" fontId="23" fillId="7" borderId="20" xfId="0" applyNumberFormat="1" applyFont="1" applyFill="1" applyBorder="1" applyAlignment="1">
      <alignment horizontal="center" vertical="center"/>
    </xf>
    <xf numFmtId="39" fontId="32" fillId="16" borderId="10" xfId="0" applyNumberFormat="1" applyFont="1" applyFill="1" applyBorder="1" applyAlignment="1">
      <alignment horizontal="center" vertical="center"/>
    </xf>
    <xf numFmtId="39" fontId="32" fillId="16" borderId="8" xfId="0" applyNumberFormat="1" applyFont="1" applyFill="1" applyBorder="1" applyAlignment="1">
      <alignment horizontal="center" vertical="center"/>
    </xf>
    <xf numFmtId="39" fontId="32" fillId="16" borderId="11" xfId="0" applyNumberFormat="1" applyFont="1" applyFill="1" applyBorder="1" applyAlignment="1">
      <alignment horizontal="center" vertical="center"/>
    </xf>
    <xf numFmtId="0" fontId="23" fillId="5" borderId="20" xfId="2" applyFont="1" applyFill="1" applyBorder="1" applyAlignment="1">
      <alignment horizontal="center" vertical="center" wrapText="1"/>
    </xf>
    <xf numFmtId="39" fontId="23" fillId="4" borderId="20" xfId="1" applyNumberFormat="1" applyFont="1" applyFill="1" applyBorder="1" applyAlignment="1">
      <alignment horizontal="center" vertical="center" textRotation="90"/>
    </xf>
    <xf numFmtId="39" fontId="23" fillId="4" borderId="40" xfId="1" applyNumberFormat="1" applyFont="1" applyFill="1" applyBorder="1" applyAlignment="1">
      <alignment horizontal="center" vertical="center" textRotation="90"/>
    </xf>
    <xf numFmtId="39" fontId="32" fillId="16" borderId="15" xfId="0" applyNumberFormat="1" applyFont="1" applyFill="1" applyBorder="1" applyAlignment="1">
      <alignment horizontal="center" vertical="center"/>
    </xf>
    <xf numFmtId="39" fontId="32" fillId="16" borderId="14" xfId="0" applyNumberFormat="1" applyFont="1" applyFill="1" applyBorder="1" applyAlignment="1">
      <alignment horizontal="center" vertical="center"/>
    </xf>
    <xf numFmtId="42" fontId="32" fillId="16" borderId="14" xfId="0" applyNumberFormat="1" applyFont="1" applyFill="1" applyBorder="1" applyAlignment="1">
      <alignment horizontal="right" vertical="center"/>
    </xf>
    <xf numFmtId="42" fontId="32" fillId="16" borderId="16" xfId="0" applyNumberFormat="1" applyFont="1" applyFill="1" applyBorder="1" applyAlignment="1">
      <alignment horizontal="center" vertical="center"/>
    </xf>
    <xf numFmtId="39" fontId="23" fillId="4" borderId="26" xfId="1" applyNumberFormat="1" applyFont="1" applyFill="1" applyBorder="1" applyAlignment="1">
      <alignment horizontal="center" vertical="center"/>
    </xf>
    <xf numFmtId="39" fontId="18" fillId="0" borderId="15" xfId="0" applyNumberFormat="1" applyFont="1" applyBorder="1" applyAlignment="1">
      <alignment horizontal="center" vertical="center" wrapText="1"/>
    </xf>
    <xf numFmtId="39" fontId="18" fillId="0" borderId="14" xfId="0" applyNumberFormat="1" applyFont="1" applyBorder="1" applyAlignment="1">
      <alignment horizontal="center" vertical="center" wrapText="1"/>
    </xf>
    <xf numFmtId="39" fontId="18" fillId="0" borderId="16" xfId="0" applyNumberFormat="1" applyFont="1" applyBorder="1" applyAlignment="1">
      <alignment horizontal="center" vertical="center" wrapText="1"/>
    </xf>
    <xf numFmtId="39" fontId="18" fillId="0" borderId="20" xfId="0" applyNumberFormat="1" applyFont="1" applyBorder="1" applyAlignment="1">
      <alignment horizontal="center" vertical="center" wrapText="1"/>
    </xf>
    <xf numFmtId="39" fontId="18" fillId="0" borderId="0" xfId="0" applyNumberFormat="1" applyFont="1" applyAlignment="1">
      <alignment horizontal="center" vertical="center" wrapText="1"/>
    </xf>
    <xf numFmtId="39" fontId="18" fillId="0" borderId="23" xfId="0" applyNumberFormat="1" applyFont="1" applyBorder="1" applyAlignment="1">
      <alignment horizontal="center" vertical="center" wrapText="1"/>
    </xf>
    <xf numFmtId="0" fontId="20" fillId="16" borderId="20" xfId="0" applyFont="1" applyFill="1" applyBorder="1" applyAlignment="1">
      <alignment horizontal="center" vertical="center" wrapText="1"/>
    </xf>
    <xf numFmtId="0" fontId="20" fillId="16" borderId="19" xfId="0" applyFont="1" applyFill="1" applyBorder="1" applyAlignment="1">
      <alignment horizontal="center" vertical="center" wrapText="1"/>
    </xf>
    <xf numFmtId="0" fontId="20" fillId="16" borderId="13" xfId="0" applyFont="1" applyFill="1" applyBorder="1" applyAlignment="1">
      <alignment horizontal="center" vertical="center" wrapText="1"/>
    </xf>
    <xf numFmtId="42" fontId="20" fillId="16" borderId="13" xfId="0" applyNumberFormat="1" applyFont="1" applyFill="1" applyBorder="1" applyAlignment="1">
      <alignment horizontal="right" vertical="center" wrapText="1"/>
    </xf>
    <xf numFmtId="42" fontId="20" fillId="16" borderId="48" xfId="0" applyNumberFormat="1" applyFont="1" applyFill="1" applyBorder="1" applyAlignment="1">
      <alignment horizontal="center" vertical="center" wrapText="1"/>
    </xf>
    <xf numFmtId="0" fontId="32" fillId="16" borderId="10" xfId="0" applyFont="1" applyFill="1" applyBorder="1" applyAlignment="1">
      <alignment horizontal="center" vertical="center"/>
    </xf>
    <xf numFmtId="0" fontId="32" fillId="16" borderId="11" xfId="0" applyFont="1" applyFill="1" applyBorder="1" applyAlignment="1">
      <alignment horizontal="center" vertical="center"/>
    </xf>
    <xf numFmtId="0" fontId="32" fillId="16" borderId="4" xfId="0" applyFont="1" applyFill="1" applyBorder="1" applyAlignment="1">
      <alignment horizontal="center" vertical="center"/>
    </xf>
    <xf numFmtId="42" fontId="32" fillId="16" borderId="4" xfId="0" applyNumberFormat="1" applyFont="1" applyFill="1" applyBorder="1" applyAlignment="1">
      <alignment horizontal="right" vertical="center"/>
    </xf>
    <xf numFmtId="42" fontId="32" fillId="16" borderId="4" xfId="0" applyNumberFormat="1" applyFont="1" applyFill="1" applyBorder="1" applyAlignment="1">
      <alignment horizontal="center" vertical="center"/>
    </xf>
    <xf numFmtId="0" fontId="23" fillId="5" borderId="40" xfId="2" applyFont="1" applyFill="1" applyBorder="1" applyAlignment="1">
      <alignment horizontal="center" vertical="center" wrapText="1"/>
    </xf>
    <xf numFmtId="39" fontId="23" fillId="4" borderId="26" xfId="0" applyNumberFormat="1" applyFont="1" applyFill="1" applyBorder="1" applyAlignment="1">
      <alignment horizontal="center" vertical="center"/>
    </xf>
    <xf numFmtId="39" fontId="23" fillId="7" borderId="20" xfId="2" applyNumberFormat="1" applyFont="1" applyFill="1" applyBorder="1" applyAlignment="1">
      <alignment horizontal="center" vertical="center"/>
    </xf>
    <xf numFmtId="39" fontId="32" fillId="16" borderId="15" xfId="1" applyNumberFormat="1" applyFont="1" applyFill="1" applyBorder="1" applyAlignment="1">
      <alignment horizontal="center" vertical="center"/>
    </xf>
    <xf numFmtId="39" fontId="32" fillId="16" borderId="14" xfId="1" applyNumberFormat="1" applyFont="1" applyFill="1" applyBorder="1" applyAlignment="1">
      <alignment horizontal="center" vertical="center"/>
    </xf>
    <xf numFmtId="42" fontId="32" fillId="16" borderId="14" xfId="1" applyNumberFormat="1" applyFont="1" applyFill="1" applyBorder="1" applyAlignment="1">
      <alignment horizontal="right" vertical="center"/>
    </xf>
    <xf numFmtId="42" fontId="32" fillId="16" borderId="16" xfId="1" applyNumberFormat="1" applyFont="1" applyFill="1" applyBorder="1" applyAlignment="1">
      <alignment horizontal="center" vertical="center"/>
    </xf>
    <xf numFmtId="0" fontId="23" fillId="7" borderId="20" xfId="2" applyFont="1" applyFill="1" applyBorder="1" applyAlignment="1">
      <alignment horizontal="center" vertical="center" textRotation="90" wrapText="1"/>
    </xf>
    <xf numFmtId="39" fontId="25" fillId="4" borderId="20" xfId="0" applyNumberFormat="1" applyFont="1" applyFill="1" applyBorder="1" applyAlignment="1">
      <alignment horizontal="center" vertical="center"/>
    </xf>
    <xf numFmtId="39" fontId="23" fillId="6" borderId="20" xfId="0" applyNumberFormat="1" applyFont="1" applyFill="1" applyBorder="1" applyAlignment="1" applyProtection="1">
      <alignment horizontal="center" vertical="center"/>
      <protection locked="0"/>
    </xf>
    <xf numFmtId="39" fontId="23" fillId="4" borderId="20" xfId="0" applyNumberFormat="1" applyFont="1" applyFill="1" applyBorder="1" applyAlignment="1" applyProtection="1">
      <alignment horizontal="center" vertical="center" textRotation="90"/>
      <protection locked="0"/>
    </xf>
    <xf numFmtId="39" fontId="23" fillId="4" borderId="20" xfId="0" applyNumberFormat="1" applyFont="1" applyFill="1" applyBorder="1" applyAlignment="1">
      <alignment horizontal="center" vertical="center" textRotation="90"/>
    </xf>
    <xf numFmtId="39" fontId="18" fillId="12" borderId="10" xfId="1" applyNumberFormat="1" applyFont="1" applyFill="1" applyBorder="1" applyAlignment="1">
      <alignment horizontal="center" vertical="center"/>
    </xf>
    <xf numFmtId="39" fontId="18" fillId="12" borderId="8" xfId="1" applyNumberFormat="1" applyFont="1" applyFill="1" applyBorder="1" applyAlignment="1">
      <alignment horizontal="center" vertical="center"/>
    </xf>
    <xf numFmtId="39" fontId="18" fillId="12" borderId="11" xfId="1" applyNumberFormat="1" applyFont="1" applyFill="1" applyBorder="1" applyAlignment="1">
      <alignment horizontal="center" vertical="center"/>
    </xf>
    <xf numFmtId="0" fontId="32" fillId="12" borderId="10" xfId="0" applyFont="1" applyFill="1" applyBorder="1" applyAlignment="1">
      <alignment horizontal="center" vertical="center" wrapText="1"/>
    </xf>
    <xf numFmtId="0" fontId="32" fillId="12" borderId="8" xfId="0" applyFont="1" applyFill="1" applyBorder="1" applyAlignment="1">
      <alignment horizontal="center" vertical="center" wrapText="1"/>
    </xf>
    <xf numFmtId="0" fontId="32" fillId="12" borderId="11" xfId="0" applyFont="1" applyFill="1" applyBorder="1" applyAlignment="1">
      <alignment horizontal="center" vertical="center" wrapText="1"/>
    </xf>
    <xf numFmtId="39" fontId="32" fillId="16" borderId="4" xfId="1" applyNumberFormat="1" applyFont="1" applyFill="1" applyBorder="1" applyAlignment="1">
      <alignment horizontal="center" vertical="center"/>
    </xf>
    <xf numFmtId="42" fontId="32" fillId="16" borderId="4" xfId="1" applyNumberFormat="1" applyFont="1" applyFill="1" applyBorder="1" applyAlignment="1">
      <alignment horizontal="right" vertical="center"/>
    </xf>
    <xf numFmtId="42" fontId="32" fillId="16" borderId="4" xfId="1" applyNumberFormat="1" applyFont="1" applyFill="1" applyBorder="1" applyAlignment="1">
      <alignment horizontal="center" vertical="center"/>
    </xf>
    <xf numFmtId="39" fontId="32" fillId="19" borderId="20" xfId="0" applyNumberFormat="1" applyFont="1" applyFill="1" applyBorder="1" applyAlignment="1">
      <alignment horizontal="center" vertical="center"/>
    </xf>
    <xf numFmtId="39" fontId="32" fillId="19" borderId="14" xfId="0" applyNumberFormat="1" applyFont="1" applyFill="1" applyBorder="1" applyAlignment="1">
      <alignment horizontal="center" vertical="center"/>
    </xf>
    <xf numFmtId="42" fontId="32" fillId="19" borderId="14" xfId="0" applyNumberFormat="1" applyFont="1" applyFill="1" applyBorder="1" applyAlignment="1">
      <alignment horizontal="right" vertical="center"/>
    </xf>
    <xf numFmtId="42" fontId="32" fillId="19" borderId="16" xfId="0" applyNumberFormat="1" applyFont="1" applyFill="1" applyBorder="1" applyAlignment="1">
      <alignment horizontal="center" vertical="center"/>
    </xf>
    <xf numFmtId="39" fontId="32" fillId="16" borderId="15" xfId="2" applyNumberFormat="1" applyFont="1" applyFill="1" applyBorder="1" applyAlignment="1">
      <alignment horizontal="center" vertical="center"/>
    </xf>
    <xf numFmtId="39" fontId="32" fillId="16" borderId="14" xfId="2" applyNumberFormat="1" applyFont="1" applyFill="1" applyBorder="1" applyAlignment="1">
      <alignment horizontal="center" vertical="center"/>
    </xf>
    <xf numFmtId="42" fontId="32" fillId="16" borderId="14" xfId="2" applyNumberFormat="1" applyFont="1" applyFill="1" applyBorder="1" applyAlignment="1">
      <alignment horizontal="right" vertical="center"/>
    </xf>
    <xf numFmtId="42" fontId="32" fillId="16" borderId="16" xfId="2" applyNumberFormat="1" applyFont="1" applyFill="1" applyBorder="1" applyAlignment="1">
      <alignment horizontal="center" vertical="center"/>
    </xf>
    <xf numFmtId="39" fontId="23" fillId="4" borderId="15" xfId="1" applyNumberFormat="1" applyFont="1" applyFill="1" applyBorder="1" applyAlignment="1">
      <alignment horizontal="center" vertical="center"/>
    </xf>
    <xf numFmtId="39" fontId="23" fillId="6" borderId="40" xfId="0" applyNumberFormat="1" applyFont="1" applyFill="1" applyBorder="1" applyAlignment="1">
      <alignment horizontal="center" vertical="center"/>
    </xf>
    <xf numFmtId="39" fontId="23" fillId="4" borderId="40" xfId="0" applyNumberFormat="1" applyFont="1" applyFill="1" applyBorder="1" applyAlignment="1">
      <alignment horizontal="center" vertical="center" textRotation="90"/>
    </xf>
    <xf numFmtId="39" fontId="32" fillId="16" borderId="20" xfId="1" applyNumberFormat="1" applyFont="1" applyFill="1" applyBorder="1" applyAlignment="1">
      <alignment horizontal="center" vertical="center"/>
    </xf>
    <xf numFmtId="39" fontId="32" fillId="16" borderId="45" xfId="1" applyNumberFormat="1" applyFont="1" applyFill="1" applyBorder="1" applyAlignment="1">
      <alignment horizontal="center" vertical="center"/>
    </xf>
    <xf numFmtId="42" fontId="32" fillId="16" borderId="45" xfId="1" applyNumberFormat="1" applyFont="1" applyFill="1" applyBorder="1" applyAlignment="1">
      <alignment horizontal="right" vertical="center"/>
    </xf>
    <xf numFmtId="42" fontId="32" fillId="16" borderId="45" xfId="1" applyNumberFormat="1" applyFont="1" applyFill="1" applyBorder="1" applyAlignment="1">
      <alignment horizontal="center" vertical="center"/>
    </xf>
    <xf numFmtId="39" fontId="23" fillId="6" borderId="20" xfId="0" applyNumberFormat="1" applyFont="1" applyFill="1" applyBorder="1" applyAlignment="1" applyProtection="1">
      <alignment horizontal="center" vertical="center" textRotation="90"/>
      <protection locked="0"/>
    </xf>
    <xf numFmtId="0" fontId="24" fillId="3" borderId="10" xfId="0" applyFont="1" applyFill="1" applyBorder="1" applyAlignment="1">
      <alignment horizontal="center" vertical="center" wrapText="1"/>
    </xf>
    <xf numFmtId="0" fontId="24" fillId="3" borderId="8" xfId="0" applyFont="1" applyFill="1" applyBorder="1" applyAlignment="1">
      <alignment horizontal="center" vertical="center" wrapText="1"/>
    </xf>
    <xf numFmtId="0" fontId="24" fillId="3" borderId="11" xfId="0" applyFont="1" applyFill="1" applyBorder="1" applyAlignment="1">
      <alignment horizontal="center" vertical="center" wrapText="1"/>
    </xf>
    <xf numFmtId="0" fontId="37" fillId="3" borderId="8" xfId="0" applyFont="1" applyFill="1" applyBorder="1" applyAlignment="1">
      <alignment horizontal="center" vertical="center"/>
    </xf>
    <xf numFmtId="0" fontId="37" fillId="3" borderId="11" xfId="0" applyFont="1" applyFill="1" applyBorder="1" applyAlignment="1">
      <alignment horizontal="center" vertical="center"/>
    </xf>
    <xf numFmtId="0" fontId="18" fillId="16" borderId="15" xfId="0" applyFont="1" applyFill="1" applyBorder="1" applyAlignment="1">
      <alignment horizontal="center" vertical="center"/>
    </xf>
    <xf numFmtId="0" fontId="18" fillId="16" borderId="14" xfId="0" applyFont="1" applyFill="1" applyBorder="1" applyAlignment="1">
      <alignment horizontal="center" vertical="center"/>
    </xf>
    <xf numFmtId="0" fontId="18" fillId="16" borderId="16" xfId="0" applyFont="1" applyFill="1" applyBorder="1" applyAlignment="1">
      <alignment horizontal="center" vertical="center"/>
    </xf>
    <xf numFmtId="39" fontId="32" fillId="16" borderId="10" xfId="1" applyNumberFormat="1" applyFont="1" applyFill="1" applyBorder="1" applyAlignment="1">
      <alignment horizontal="center" vertical="center"/>
    </xf>
    <xf numFmtId="39" fontId="32" fillId="16" borderId="8" xfId="1" applyNumberFormat="1" applyFont="1" applyFill="1" applyBorder="1" applyAlignment="1">
      <alignment horizontal="center" vertical="center"/>
    </xf>
    <xf numFmtId="39" fontId="32" fillId="16" borderId="11" xfId="1" applyNumberFormat="1" applyFont="1" applyFill="1" applyBorder="1" applyAlignment="1">
      <alignment horizontal="center" vertical="center"/>
    </xf>
    <xf numFmtId="39" fontId="32" fillId="16" borderId="4" xfId="0" applyNumberFormat="1" applyFont="1" applyFill="1" applyBorder="1" applyAlignment="1">
      <alignment horizontal="center" vertical="center"/>
    </xf>
    <xf numFmtId="39" fontId="32" fillId="16" borderId="16" xfId="1" applyNumberFormat="1" applyFont="1" applyFill="1" applyBorder="1" applyAlignment="1">
      <alignment horizontal="center" vertical="center"/>
    </xf>
    <xf numFmtId="39" fontId="23" fillId="6" borderId="20" xfId="0" applyNumberFormat="1" applyFont="1" applyFill="1" applyBorder="1" applyAlignment="1">
      <alignment horizontal="center" vertical="center" textRotation="90" wrapText="1"/>
    </xf>
    <xf numFmtId="39" fontId="18" fillId="12" borderId="4" xfId="1" applyNumberFormat="1" applyFont="1" applyFill="1" applyBorder="1" applyAlignment="1">
      <alignment horizontal="center" vertical="center"/>
    </xf>
    <xf numFmtId="42" fontId="18" fillId="12" borderId="4" xfId="1" applyNumberFormat="1" applyFont="1" applyFill="1" applyBorder="1" applyAlignment="1">
      <alignment horizontal="right" vertical="center"/>
    </xf>
    <xf numFmtId="42" fontId="18" fillId="12" borderId="4" xfId="1" applyNumberFormat="1" applyFont="1" applyFill="1" applyBorder="1" applyAlignment="1">
      <alignment horizontal="center" vertical="center"/>
    </xf>
    <xf numFmtId="0" fontId="18" fillId="12" borderId="10" xfId="0" applyFont="1" applyFill="1" applyBorder="1" applyAlignment="1">
      <alignment horizontal="center" vertical="center"/>
    </xf>
    <xf numFmtId="0" fontId="18" fillId="12" borderId="8" xfId="0" applyFont="1" applyFill="1" applyBorder="1" applyAlignment="1">
      <alignment horizontal="center" vertical="center"/>
    </xf>
    <xf numFmtId="0" fontId="18" fillId="12" borderId="11" xfId="0" applyFont="1" applyFill="1" applyBorder="1" applyAlignment="1">
      <alignment horizontal="center" vertical="center"/>
    </xf>
    <xf numFmtId="39" fontId="18" fillId="12" borderId="10" xfId="2" applyNumberFormat="1" applyFont="1" applyFill="1" applyBorder="1" applyAlignment="1">
      <alignment horizontal="center" vertical="center"/>
    </xf>
    <xf numFmtId="39" fontId="18" fillId="12" borderId="8" xfId="2" applyNumberFormat="1" applyFont="1" applyFill="1" applyBorder="1" applyAlignment="1">
      <alignment horizontal="center" vertical="center"/>
    </xf>
    <xf numFmtId="39" fontId="18" fillId="12" borderId="11" xfId="2" applyNumberFormat="1" applyFont="1" applyFill="1" applyBorder="1" applyAlignment="1">
      <alignment horizontal="center" vertical="center"/>
    </xf>
    <xf numFmtId="39" fontId="23" fillId="7" borderId="40" xfId="2" applyNumberFormat="1" applyFont="1" applyFill="1" applyBorder="1" applyAlignment="1">
      <alignment horizontal="center" vertical="center"/>
    </xf>
    <xf numFmtId="39" fontId="23" fillId="7" borderId="20" xfId="2" applyNumberFormat="1" applyFont="1" applyFill="1" applyBorder="1" applyAlignment="1">
      <alignment horizontal="center" vertical="center" textRotation="90"/>
    </xf>
    <xf numFmtId="39" fontId="23" fillId="6" borderId="20" xfId="0" applyNumberFormat="1" applyFont="1" applyFill="1" applyBorder="1" applyAlignment="1">
      <alignment horizontal="center" vertical="center" textRotation="91"/>
    </xf>
    <xf numFmtId="39" fontId="23" fillId="6" borderId="20" xfId="1" applyNumberFormat="1" applyFont="1" applyFill="1" applyBorder="1" applyAlignment="1">
      <alignment horizontal="center" vertical="center" textRotation="90"/>
    </xf>
    <xf numFmtId="0" fontId="23" fillId="4" borderId="20" xfId="0" applyFont="1" applyFill="1" applyBorder="1" applyAlignment="1">
      <alignment horizontal="center" vertical="center" textRotation="90"/>
    </xf>
    <xf numFmtId="0" fontId="23" fillId="4" borderId="40" xfId="0" applyFont="1" applyFill="1" applyBorder="1" applyAlignment="1">
      <alignment horizontal="center" vertical="center" textRotation="90"/>
    </xf>
    <xf numFmtId="39" fontId="32" fillId="16" borderId="42" xfId="0" applyNumberFormat="1" applyFont="1" applyFill="1" applyBorder="1" applyAlignment="1">
      <alignment horizontal="center" vertical="center"/>
    </xf>
    <xf numFmtId="39" fontId="23" fillId="4" borderId="40" xfId="0" applyNumberFormat="1" applyFont="1" applyFill="1" applyBorder="1" applyAlignment="1" applyProtection="1">
      <alignment horizontal="center" vertical="center" textRotation="90"/>
      <protection locked="0"/>
    </xf>
    <xf numFmtId="39" fontId="3" fillId="12" borderId="50" xfId="0" applyNumberFormat="1" applyFont="1" applyFill="1" applyBorder="1" applyAlignment="1">
      <alignment horizontal="justify" vertical="center" wrapText="1"/>
    </xf>
    <xf numFmtId="39" fontId="3" fillId="12" borderId="42" xfId="0" applyNumberFormat="1" applyFont="1" applyFill="1" applyBorder="1" applyAlignment="1">
      <alignment horizontal="justify" vertical="center" wrapText="1"/>
    </xf>
    <xf numFmtId="39" fontId="3" fillId="12" borderId="43" xfId="0" applyNumberFormat="1" applyFont="1" applyFill="1" applyBorder="1" applyAlignment="1">
      <alignment horizontal="justify" vertical="center" wrapText="1"/>
    </xf>
    <xf numFmtId="0" fontId="23" fillId="5" borderId="20" xfId="0" applyFont="1" applyFill="1" applyBorder="1" applyAlignment="1">
      <alignment horizontal="center" vertical="center"/>
    </xf>
    <xf numFmtId="0" fontId="18" fillId="12" borderId="15" xfId="0" applyFont="1" applyFill="1" applyBorder="1" applyAlignment="1">
      <alignment horizontal="center" vertical="center"/>
    </xf>
    <xf numFmtId="0" fontId="18" fillId="12" borderId="27" xfId="0" applyFont="1" applyFill="1" applyBorder="1" applyAlignment="1">
      <alignment horizontal="center" vertical="center"/>
    </xf>
    <xf numFmtId="0" fontId="18" fillId="12" borderId="17" xfId="0" applyFont="1" applyFill="1" applyBorder="1" applyAlignment="1">
      <alignment horizontal="center" vertical="center"/>
    </xf>
    <xf numFmtId="0" fontId="18" fillId="12" borderId="18" xfId="0" applyFont="1" applyFill="1" applyBorder="1" applyAlignment="1">
      <alignment horizontal="center" vertical="center"/>
    </xf>
    <xf numFmtId="0" fontId="23" fillId="13" borderId="20" xfId="2" applyFont="1" applyFill="1" applyBorder="1" applyAlignment="1">
      <alignment horizontal="center" vertical="center" wrapText="1"/>
    </xf>
    <xf numFmtId="0" fontId="23" fillId="13" borderId="40" xfId="2" applyFont="1" applyFill="1" applyBorder="1" applyAlignment="1">
      <alignment horizontal="center" vertical="center" wrapText="1"/>
    </xf>
    <xf numFmtId="39" fontId="23" fillId="5" borderId="20" xfId="0" applyNumberFormat="1" applyFont="1" applyFill="1" applyBorder="1" applyAlignment="1" applyProtection="1">
      <alignment horizontal="center" vertical="center"/>
      <protection locked="0"/>
    </xf>
    <xf numFmtId="39" fontId="23" fillId="13" borderId="20" xfId="0" applyNumberFormat="1" applyFont="1" applyFill="1" applyBorder="1" applyAlignment="1">
      <alignment horizontal="center" vertical="center" textRotation="90"/>
    </xf>
    <xf numFmtId="39" fontId="23" fillId="13" borderId="40" xfId="0" applyNumberFormat="1" applyFont="1" applyFill="1" applyBorder="1" applyAlignment="1">
      <alignment horizontal="center" vertical="center" textRotation="90"/>
    </xf>
    <xf numFmtId="39" fontId="23" fillId="6" borderId="15" xfId="0" applyNumberFormat="1" applyFont="1" applyFill="1" applyBorder="1" applyAlignment="1">
      <alignment horizontal="center" vertical="center" textRotation="90"/>
    </xf>
    <xf numFmtId="39" fontId="32" fillId="16" borderId="31" xfId="0" applyNumberFormat="1" applyFont="1" applyFill="1" applyBorder="1" applyAlignment="1">
      <alignment horizontal="center" vertical="center"/>
    </xf>
    <xf numFmtId="39" fontId="32" fillId="16" borderId="28" xfId="0" applyNumberFormat="1" applyFont="1" applyFill="1" applyBorder="1" applyAlignment="1">
      <alignment horizontal="center" vertical="center"/>
    </xf>
    <xf numFmtId="39" fontId="32" fillId="16" borderId="32" xfId="0" applyNumberFormat="1" applyFont="1" applyFill="1" applyBorder="1" applyAlignment="1">
      <alignment horizontal="center" vertical="center"/>
    </xf>
    <xf numFmtId="0" fontId="18" fillId="0" borderId="3" xfId="7" applyFont="1" applyBorder="1" applyAlignment="1">
      <alignment horizontal="center" vertical="center"/>
    </xf>
    <xf numFmtId="0" fontId="18" fillId="0" borderId="13" xfId="7" applyFont="1" applyBorder="1" applyAlignment="1">
      <alignment horizontal="center" vertical="center"/>
    </xf>
    <xf numFmtId="0" fontId="48" fillId="8" borderId="0" xfId="0" applyFont="1" applyFill="1" applyAlignment="1">
      <alignment horizontal="center" vertical="center" wrapText="1"/>
    </xf>
    <xf numFmtId="0" fontId="0" fillId="3" borderId="0" xfId="0" applyFill="1" applyAlignment="1">
      <alignment horizontal="center" vertical="center"/>
    </xf>
    <xf numFmtId="0" fontId="12" fillId="2" borderId="1" xfId="0" applyFont="1" applyFill="1" applyBorder="1" applyAlignment="1">
      <alignment horizontal="center" vertical="center"/>
    </xf>
    <xf numFmtId="0" fontId="12" fillId="2" borderId="0" xfId="0" applyFont="1" applyFill="1" applyAlignment="1">
      <alignment horizontal="center" vertical="center"/>
    </xf>
    <xf numFmtId="0" fontId="0" fillId="2" borderId="1" xfId="0" applyFill="1" applyBorder="1" applyAlignment="1">
      <alignment horizontal="center" vertical="center"/>
    </xf>
    <xf numFmtId="0" fontId="0" fillId="2" borderId="0" xfId="0" applyFill="1" applyAlignment="1">
      <alignment horizontal="center" vertical="center"/>
    </xf>
    <xf numFmtId="3" fontId="47" fillId="6" borderId="33" xfId="0" applyNumberFormat="1" applyFont="1" applyFill="1" applyBorder="1" applyAlignment="1">
      <alignment horizontal="center" vertical="center"/>
    </xf>
    <xf numFmtId="3" fontId="47" fillId="6" borderId="20" xfId="0" applyNumberFormat="1" applyFont="1" applyFill="1" applyBorder="1" applyAlignment="1">
      <alignment horizontal="center" vertical="center"/>
    </xf>
    <xf numFmtId="3" fontId="47" fillId="6" borderId="33" xfId="0" applyNumberFormat="1" applyFont="1" applyFill="1" applyBorder="1" applyAlignment="1">
      <alignment horizontal="center" vertical="center" textRotation="90"/>
    </xf>
    <xf numFmtId="3" fontId="47" fillId="6" borderId="20" xfId="0" applyNumberFormat="1" applyFont="1" applyFill="1" applyBorder="1" applyAlignment="1">
      <alignment horizontal="center" vertical="center" textRotation="90"/>
    </xf>
    <xf numFmtId="3" fontId="47" fillId="15" borderId="0" xfId="0" applyNumberFormat="1" applyFont="1" applyFill="1" applyBorder="1" applyAlignment="1">
      <alignment horizontal="center" vertical="center"/>
    </xf>
    <xf numFmtId="39" fontId="47" fillId="6" borderId="20" xfId="0" applyNumberFormat="1" applyFont="1" applyFill="1" applyBorder="1" applyAlignment="1">
      <alignment horizontal="center" vertical="center" textRotation="90"/>
    </xf>
    <xf numFmtId="37" fontId="42" fillId="17" borderId="20" xfId="0" applyNumberFormat="1" applyFont="1" applyFill="1" applyBorder="1" applyAlignment="1" applyProtection="1">
      <alignment horizontal="center" vertical="center" textRotation="90" wrapText="1"/>
      <protection locked="0"/>
    </xf>
    <xf numFmtId="37" fontId="42" fillId="17" borderId="20" xfId="0" applyNumberFormat="1" applyFont="1" applyFill="1" applyBorder="1" applyAlignment="1" applyProtection="1">
      <alignment horizontal="center" vertical="center" textRotation="90"/>
      <protection locked="0"/>
    </xf>
    <xf numFmtId="39" fontId="47" fillId="17" borderId="20" xfId="0" applyNumberFormat="1" applyFont="1" applyFill="1" applyBorder="1" applyAlignment="1">
      <alignment horizontal="center" vertical="center" textRotation="90"/>
    </xf>
    <xf numFmtId="0" fontId="42" fillId="17" borderId="20" xfId="0" applyFont="1" applyFill="1" applyBorder="1" applyAlignment="1">
      <alignment horizontal="center" vertical="center"/>
    </xf>
    <xf numFmtId="0" fontId="42" fillId="17" borderId="20" xfId="0" applyFont="1" applyFill="1" applyBorder="1" applyAlignment="1">
      <alignment horizontal="center" vertical="center" wrapText="1"/>
    </xf>
    <xf numFmtId="0" fontId="42" fillId="17" borderId="30" xfId="0" applyFont="1" applyFill="1" applyBorder="1" applyAlignment="1">
      <alignment horizontal="center" vertical="center" wrapText="1"/>
    </xf>
    <xf numFmtId="39" fontId="47" fillId="17" borderId="20" xfId="0" applyNumberFormat="1" applyFont="1" applyFill="1" applyBorder="1" applyAlignment="1">
      <alignment horizontal="center" vertical="center"/>
    </xf>
    <xf numFmtId="0" fontId="42" fillId="17" borderId="20" xfId="0" applyFont="1" applyFill="1" applyBorder="1" applyAlignment="1">
      <alignment horizontal="center" vertical="center" textRotation="90"/>
    </xf>
    <xf numFmtId="3" fontId="32" fillId="16" borderId="10" xfId="0" applyNumberFormat="1" applyFont="1" applyFill="1" applyBorder="1" applyAlignment="1">
      <alignment horizontal="center" vertical="center"/>
    </xf>
    <xf numFmtId="3" fontId="32" fillId="16" borderId="8" xfId="0" applyNumberFormat="1" applyFont="1" applyFill="1" applyBorder="1" applyAlignment="1">
      <alignment horizontal="center" vertical="center"/>
    </xf>
    <xf numFmtId="3" fontId="32" fillId="16" borderId="11" xfId="0" applyNumberFormat="1" applyFont="1" applyFill="1" applyBorder="1" applyAlignment="1">
      <alignment horizontal="center" vertical="center"/>
    </xf>
    <xf numFmtId="39" fontId="32" fillId="19" borderId="4" xfId="1" applyNumberFormat="1" applyFont="1" applyFill="1" applyBorder="1" applyAlignment="1">
      <alignment horizontal="center" vertical="center"/>
    </xf>
    <xf numFmtId="42" fontId="32" fillId="19" borderId="4" xfId="1" applyNumberFormat="1" applyFont="1" applyFill="1" applyBorder="1" applyAlignment="1">
      <alignment horizontal="center" vertical="center"/>
    </xf>
    <xf numFmtId="3" fontId="52" fillId="6" borderId="33" xfId="0" applyNumberFormat="1" applyFont="1" applyFill="1" applyBorder="1" applyAlignment="1">
      <alignment horizontal="center" vertical="center" textRotation="90"/>
    </xf>
    <xf numFmtId="3" fontId="52" fillId="6" borderId="20" xfId="0" applyNumberFormat="1" applyFont="1" applyFill="1" applyBorder="1" applyAlignment="1">
      <alignment horizontal="center" vertical="center" textRotation="90"/>
    </xf>
    <xf numFmtId="3" fontId="47" fillId="6" borderId="40" xfId="0" applyNumberFormat="1" applyFont="1" applyFill="1" applyBorder="1" applyAlignment="1">
      <alignment horizontal="center" vertical="center" textRotation="90"/>
    </xf>
    <xf numFmtId="3" fontId="47" fillId="15" borderId="20" xfId="0" applyNumberFormat="1" applyFont="1" applyFill="1" applyBorder="1" applyAlignment="1">
      <alignment horizontal="center" vertical="center"/>
    </xf>
    <xf numFmtId="3" fontId="32" fillId="16" borderId="15" xfId="0" applyNumberFormat="1" applyFont="1" applyFill="1" applyBorder="1" applyAlignment="1">
      <alignment horizontal="center" vertical="center"/>
    </xf>
    <xf numFmtId="3" fontId="32" fillId="16" borderId="14" xfId="0" applyNumberFormat="1" applyFont="1" applyFill="1" applyBorder="1" applyAlignment="1">
      <alignment horizontal="center" vertical="center"/>
    </xf>
    <xf numFmtId="3" fontId="32" fillId="16" borderId="16" xfId="0" applyNumberFormat="1" applyFont="1" applyFill="1" applyBorder="1" applyAlignment="1">
      <alignment horizontal="center" vertical="center"/>
    </xf>
    <xf numFmtId="39" fontId="23" fillId="6" borderId="33" xfId="0" applyNumberFormat="1" applyFont="1" applyFill="1" applyBorder="1" applyAlignment="1">
      <alignment horizontal="center" vertical="center"/>
    </xf>
    <xf numFmtId="3" fontId="47" fillId="15" borderId="20" xfId="0" applyNumberFormat="1" applyFont="1" applyFill="1" applyBorder="1" applyAlignment="1">
      <alignment horizontal="center" vertical="center" textRotation="90"/>
    </xf>
    <xf numFmtId="39" fontId="52" fillId="6" borderId="33" xfId="0" applyNumberFormat="1" applyFont="1" applyFill="1" applyBorder="1" applyAlignment="1">
      <alignment horizontal="center" vertical="center" textRotation="90"/>
    </xf>
    <xf numFmtId="39" fontId="52" fillId="6" borderId="20" xfId="0" applyNumberFormat="1" applyFont="1" applyFill="1" applyBorder="1" applyAlignment="1">
      <alignment horizontal="center" vertical="center" textRotation="90"/>
    </xf>
    <xf numFmtId="39" fontId="47" fillId="6" borderId="33" xfId="0" applyNumberFormat="1" applyFont="1" applyFill="1" applyBorder="1" applyAlignment="1">
      <alignment horizontal="center" vertical="center" textRotation="90"/>
    </xf>
    <xf numFmtId="0" fontId="18" fillId="12" borderId="40" xfId="0" applyFont="1" applyFill="1" applyBorder="1" applyAlignment="1">
      <alignment horizontal="center" vertical="center"/>
    </xf>
    <xf numFmtId="0" fontId="18" fillId="12" borderId="24" xfId="0" applyFont="1" applyFill="1" applyBorder="1" applyAlignment="1">
      <alignment horizontal="center" vertical="center"/>
    </xf>
    <xf numFmtId="0" fontId="18" fillId="12" borderId="25" xfId="0" applyFont="1" applyFill="1" applyBorder="1" applyAlignment="1">
      <alignment horizontal="center" vertical="center"/>
    </xf>
  </cellXfs>
  <cellStyles count="22">
    <cellStyle name="Encabezado 1" xfId="11" builtinId="16" customBuiltin="1"/>
    <cellStyle name="Énfasis3" xfId="1" builtinId="37"/>
    <cellStyle name="Énfasis4" xfId="2" builtinId="41"/>
    <cellStyle name="Hipervínculo" xfId="3" builtinId="8" customBuiltin="1"/>
    <cellStyle name="Hipervínculo visitado" xfId="4" builtinId="9" customBuiltin="1"/>
    <cellStyle name="Millares" xfId="5" builtinId="3"/>
    <cellStyle name="Millares [0] 2" xfId="16" xr:uid="{00000000-0005-0000-0000-000006000000}"/>
    <cellStyle name="Millares 2" xfId="14" xr:uid="{00000000-0005-0000-0000-000007000000}"/>
    <cellStyle name="Millares 3" xfId="13" xr:uid="{00000000-0005-0000-0000-000008000000}"/>
    <cellStyle name="Moneda" xfId="21" builtinId="4"/>
    <cellStyle name="Moneda [0]" xfId="17" builtinId="7"/>
    <cellStyle name="Moneda [0] 2" xfId="18" xr:uid="{00000000-0005-0000-0000-00000B000000}"/>
    <cellStyle name="Moneda 3" xfId="6" xr:uid="{00000000-0005-0000-0000-00000C000000}"/>
    <cellStyle name="Normal" xfId="0" builtinId="0" customBuiltin="1"/>
    <cellStyle name="Normal 2" xfId="15" xr:uid="{00000000-0005-0000-0000-00000E000000}"/>
    <cellStyle name="Normal 2 2" xfId="19" xr:uid="{00000000-0005-0000-0000-00000F000000}"/>
    <cellStyle name="Normal 4" xfId="7" xr:uid="{00000000-0005-0000-0000-000010000000}"/>
    <cellStyle name="Normal 5" xfId="8" xr:uid="{00000000-0005-0000-0000-000011000000}"/>
    <cellStyle name="Porcentaje" xfId="9" builtinId="5"/>
    <cellStyle name="Porcentaje 2" xfId="20" xr:uid="{00000000-0005-0000-0000-000013000000}"/>
    <cellStyle name="Porcentual 3" xfId="10" xr:uid="{00000000-0005-0000-0000-000014000000}"/>
    <cellStyle name="Título 2" xfId="12" builtinId="17" customBuiltin="1"/>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1"/>
        </patternFill>
      </fill>
    </dxf>
    <dxf>
      <font>
        <color theme="1"/>
      </font>
      <fill>
        <patternFill>
          <bgColor theme="0"/>
        </patternFill>
      </fill>
    </dxf>
    <dxf>
      <border>
        <top style="thin">
          <color theme="1"/>
        </top>
        <bottom style="thin">
          <color theme="1"/>
        </bottom>
      </border>
    </dxf>
    <dxf>
      <border>
        <top style="thin">
          <color theme="1"/>
        </top>
        <bottom style="thin">
          <color theme="1"/>
        </bottom>
      </border>
    </dxf>
    <dxf>
      <font>
        <b/>
        <color theme="1"/>
      </font>
    </dxf>
    <dxf>
      <font>
        <b/>
        <color theme="1" tint="0.499984740745262"/>
      </font>
    </dxf>
    <dxf>
      <font>
        <b/>
        <color theme="1"/>
      </font>
    </dxf>
    <dxf>
      <font>
        <b/>
        <color theme="1" tint="0.499984740745262"/>
      </font>
    </dxf>
    <dxf>
      <font>
        <b/>
        <color theme="1"/>
      </font>
      <border>
        <bottom style="thin">
          <color theme="4" tint="0.59999389629810485"/>
        </bottom>
      </border>
    </dxf>
    <dxf>
      <font>
        <color theme="1"/>
      </font>
      <fill>
        <patternFill patternType="solid">
          <fgColor theme="4" tint="0.59999389629810485"/>
          <bgColor theme="4" tint="0.59999389629810485"/>
        </patternFill>
      </fill>
      <border>
        <left style="thin">
          <color theme="4" tint="0.39997558519241921"/>
        </left>
        <right style="thin">
          <color theme="4" tint="0.39997558519241921"/>
        </right>
        <top style="thin">
          <color theme="4" tint="0.39997558519241921"/>
        </top>
      </border>
    </dxf>
    <dxf>
      <fill>
        <patternFill patternType="none">
          <fgColor indexed="64"/>
          <bgColor auto="1"/>
        </patternFill>
      </fill>
      <border>
        <vertical/>
        <horizontal/>
      </border>
    </dxf>
    <dxf>
      <fill>
        <patternFill patternType="solid">
          <fgColor theme="4" tint="0.79995117038483843"/>
          <bgColor theme="0" tint="-4.9989318521683403E-2"/>
        </patternFill>
      </fill>
    </dxf>
    <dxf>
      <font>
        <color theme="0"/>
      </font>
      <fill>
        <patternFill patternType="solid">
          <fgColor theme="1"/>
          <bgColor theme="1"/>
        </patternFill>
      </fill>
      <border>
        <left/>
        <right/>
        <vertical/>
      </border>
    </dxf>
    <dxf>
      <font>
        <color theme="0"/>
      </font>
      <fill>
        <patternFill patternType="solid">
          <fgColor theme="1"/>
          <bgColor theme="1"/>
        </patternFill>
      </fill>
      <border>
        <left/>
        <right/>
        <vertical/>
      </border>
    </dxf>
    <dxf>
      <font>
        <color theme="1"/>
      </font>
      <fill>
        <patternFill patternType="none">
          <fgColor indexed="64"/>
          <bgColor auto="1"/>
        </patternFill>
      </fill>
      <border diagonalUp="0" diagonalDown="0">
        <left/>
        <right/>
        <top/>
        <bottom/>
        <vertical/>
        <horizontal/>
      </border>
    </dxf>
    <dxf>
      <fill>
        <patternFill>
          <bgColor theme="2"/>
        </patternFill>
      </fill>
    </dxf>
    <dxf>
      <font>
        <b val="0"/>
        <i val="0"/>
        <color theme="0" tint="-4.9989318521683403E-2"/>
      </font>
      <fill>
        <patternFill>
          <bgColor theme="1" tint="4.9989318521683403E-2"/>
        </patternFill>
      </fill>
      <border diagonalUp="0" diagonalDown="0">
        <left/>
        <right/>
        <top/>
        <bottom/>
        <vertical/>
        <horizontal/>
      </border>
    </dxf>
    <dxf>
      <font>
        <color auto="1"/>
      </font>
      <border diagonalUp="0" diagonalDown="0">
        <left/>
        <right/>
        <top/>
        <bottom/>
        <vertical/>
        <horizontal/>
      </border>
    </dxf>
  </dxfs>
  <tableStyles count="3" defaultTableStyle="Contacts" defaultPivotStyle="Contacts PivotTable">
    <tableStyle name="Contacts" pivot="0" count="3" xr9:uid="{00000000-0011-0000-FFFF-FFFF00000000}">
      <tableStyleElement type="wholeTable" dxfId="22"/>
      <tableStyleElement type="headerRow" dxfId="21"/>
      <tableStyleElement type="secondRowStripe" dxfId="20"/>
    </tableStyle>
    <tableStyle name="Contacts PivotTable" table="0" count="13" xr9:uid="{00000000-0011-0000-FFFF-FFFF01000000}">
      <tableStyleElement type="wholeTable" dxfId="19"/>
      <tableStyleElement type="headerRow" dxfId="18"/>
      <tableStyleElement type="totalRow" dxfId="17"/>
      <tableStyleElement type="firstRowStripe" dxfId="16"/>
      <tableStyleElement type="firstColumnStripe" dxfId="15"/>
      <tableStyleElement type="firstSubtotalColumn" dxfId="14"/>
      <tableStyleElement type="firstSubtotalRow" dxfId="13"/>
      <tableStyleElement type="secondSubtotalRow" dxfId="12"/>
      <tableStyleElement type="firstRowSubheading" dxfId="11"/>
      <tableStyleElement type="secondRowSubheading" dxfId="10"/>
      <tableStyleElement type="thirdRowSubheading" dxfId="9"/>
      <tableStyleElement type="pageFieldLabels" dxfId="8"/>
      <tableStyleElement type="pageFieldValues" dxfId="7"/>
    </tableStyle>
    <tableStyle name="Customer Contacts" pivot="0" table="0" count="2" xr9:uid="{00000000-0011-0000-FFFF-FFFF02000000}">
      <tableStyleElement type="wholeTable" dxfId="6"/>
      <tableStyleElement type="headerRow" dxfId="5"/>
    </tableStyle>
  </tableStyles>
  <colors>
    <mruColors>
      <color rgb="FF003399"/>
      <color rgb="FFFF00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638175</xdr:colOff>
          <xdr:row>5</xdr:row>
          <xdr:rowOff>47625</xdr:rowOff>
        </xdr:from>
        <xdr:to>
          <xdr:col>6</xdr:col>
          <xdr:colOff>466725</xdr:colOff>
          <xdr:row>5</xdr:row>
          <xdr:rowOff>809625</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704850</xdr:colOff>
          <xdr:row>1</xdr:row>
          <xdr:rowOff>19050</xdr:rowOff>
        </xdr:from>
        <xdr:to>
          <xdr:col>5</xdr:col>
          <xdr:colOff>323850</xdr:colOff>
          <xdr:row>1</xdr:row>
          <xdr:rowOff>1209675</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5R%20Precios%20Unitarios%202025%20Infraestructura%20del%2019-jun-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INGECONSTVI\CARLOS%20D.2025\APU-INGECONST-2025\APU-GOBERNACION%202025\APU%20ELECTRICO\Precios%20E-Unitarios%202025%20Infraestructura%20V%203%20del%2026-may-25%20Electric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E DATOS"/>
      <sheetName val="CONSTRUCCION"/>
      <sheetName val=" VÍAS"/>
      <sheetName val="ANÁLISIS MANO DE OBRA"/>
      <sheetName val="ELÉC MEDIA TENSIÓN Y EDIFIC"/>
    </sheetNames>
    <sheetDataSet>
      <sheetData sheetId="0">
        <row r="5">
          <cell r="A5" t="str">
            <v>MOB011</v>
          </cell>
          <cell r="B5" t="str">
            <v>Acarreo Horizontal</v>
          </cell>
          <cell r="C5" t="str">
            <v>% MO</v>
          </cell>
          <cell r="D5"/>
          <cell r="E5">
            <v>0</v>
          </cell>
        </row>
        <row r="6">
          <cell r="A6" t="str">
            <v>MOB003</v>
          </cell>
          <cell r="B6" t="str">
            <v>Ayudante (jornal + prestaciones)</v>
          </cell>
          <cell r="C6" t="str">
            <v>Día</v>
          </cell>
          <cell r="D6"/>
          <cell r="E6">
            <v>88679</v>
          </cell>
        </row>
        <row r="7">
          <cell r="A7" t="str">
            <v>MOB019</v>
          </cell>
          <cell r="B7" t="str">
            <v>Ayudante eléctrico (jornal + prestaciones)</v>
          </cell>
          <cell r="C7" t="str">
            <v>Día</v>
          </cell>
          <cell r="D7"/>
          <cell r="E7">
            <v>141887</v>
          </cell>
        </row>
        <row r="8">
          <cell r="A8" t="str">
            <v>MOB004</v>
          </cell>
          <cell r="B8" t="str">
            <v>Ayudante práctico (jornal + prestaciones)</v>
          </cell>
          <cell r="C8" t="str">
            <v>Día</v>
          </cell>
          <cell r="D8"/>
          <cell r="E8">
            <v>124151</v>
          </cell>
        </row>
        <row r="9">
          <cell r="A9" t="str">
            <v>MOB010</v>
          </cell>
          <cell r="B9" t="str">
            <v>Comisión topografía (topógrafo + Cadenero 1 + 2 Cadeneros 2)</v>
          </cell>
          <cell r="C9" t="str">
            <v>Día</v>
          </cell>
          <cell r="D9"/>
          <cell r="E9">
            <v>584135</v>
          </cell>
        </row>
        <row r="10">
          <cell r="A10" t="str">
            <v>MOB005</v>
          </cell>
          <cell r="B10" t="str">
            <v>Cuadrilla A 1 Of + 4 Ay (jornal + prestaciones)</v>
          </cell>
          <cell r="C10" t="str">
            <v>Día</v>
          </cell>
          <cell r="D10"/>
          <cell r="E10">
            <v>514339</v>
          </cell>
        </row>
        <row r="11">
          <cell r="A11" t="str">
            <v>MOB006</v>
          </cell>
          <cell r="B11" t="str">
            <v>Cuadrilla B 1 Min + 2 Ay (jornal + prestaciones)</v>
          </cell>
          <cell r="C11" t="str">
            <v>Día</v>
          </cell>
          <cell r="D11"/>
          <cell r="E11">
            <v>372899</v>
          </cell>
        </row>
        <row r="12">
          <cell r="A12" t="str">
            <v>MOB013</v>
          </cell>
          <cell r="B12" t="str">
            <v>Cuadrilla C 1 Of + 7 Ay (jornal + prestaciones)</v>
          </cell>
          <cell r="C12" t="str">
            <v>Día</v>
          </cell>
          <cell r="D12"/>
          <cell r="E12">
            <v>780376</v>
          </cell>
        </row>
        <row r="13">
          <cell r="A13" t="str">
            <v>MOB001</v>
          </cell>
          <cell r="B13" t="str">
            <v>Cuadrilla CE (1 Of E + 7 Ay E) (jornal + prestaciones)</v>
          </cell>
          <cell r="C13" t="str">
            <v>Día</v>
          </cell>
          <cell r="D13"/>
          <cell r="E13">
            <v>1170568</v>
          </cell>
        </row>
        <row r="14">
          <cell r="A14" t="str">
            <v>MOB014</v>
          </cell>
          <cell r="B14" t="str">
            <v>Cuadrilla D 2 Of + 4 Ay (jornal + prestaciones)</v>
          </cell>
          <cell r="C14" t="str">
            <v>Día</v>
          </cell>
          <cell r="D14"/>
          <cell r="E14">
            <v>673962</v>
          </cell>
        </row>
        <row r="15">
          <cell r="A15" t="str">
            <v>MOB015</v>
          </cell>
          <cell r="B15" t="str">
            <v>Cuadrilla E 1 Of + 1 Ay (jornal + prestaciones)</v>
          </cell>
          <cell r="C15" t="str">
            <v>Día</v>
          </cell>
          <cell r="D15"/>
          <cell r="E15">
            <v>248302</v>
          </cell>
        </row>
        <row r="16">
          <cell r="A16" t="str">
            <v>MOB009</v>
          </cell>
          <cell r="B16" t="str">
            <v>Cuadrilla EE 1 Of E + 1 Ay E (jornal + prestaciones)</v>
          </cell>
          <cell r="C16" t="str">
            <v>Día</v>
          </cell>
          <cell r="D16"/>
          <cell r="E16">
            <v>319246</v>
          </cell>
        </row>
        <row r="17">
          <cell r="A17" t="str">
            <v>MOB016</v>
          </cell>
          <cell r="B17" t="str">
            <v>Cuadrilla F 6 Of + 4 Ay (jornal + prestaciones)</v>
          </cell>
          <cell r="C17" t="str">
            <v>Día</v>
          </cell>
          <cell r="D17"/>
          <cell r="E17">
            <v>1312454</v>
          </cell>
        </row>
        <row r="18">
          <cell r="A18" t="str">
            <v>MOB017</v>
          </cell>
          <cell r="B18" t="str">
            <v>Cuadrilla G 1 Of + 2 Ay (jornal + prestaciones)</v>
          </cell>
          <cell r="C18" t="str">
            <v>Día</v>
          </cell>
          <cell r="D18"/>
          <cell r="E18">
            <v>336981</v>
          </cell>
        </row>
        <row r="19">
          <cell r="A19" t="str">
            <v>MOB023</v>
          </cell>
          <cell r="B19" t="str">
            <v>Cuadrilla GE 1 Of E + 2 A y E (jornal + prestaciones)</v>
          </cell>
          <cell r="C19" t="str">
            <v>Día</v>
          </cell>
          <cell r="D19"/>
          <cell r="E19">
            <v>425661</v>
          </cell>
        </row>
        <row r="20">
          <cell r="A20" t="str">
            <v>MOB018</v>
          </cell>
          <cell r="B20" t="str">
            <v>Cuadrilla H 4 Ay (jornal + prestaciones)</v>
          </cell>
          <cell r="C20" t="str">
            <v>Día</v>
          </cell>
          <cell r="D20"/>
          <cell r="E20">
            <v>354716</v>
          </cell>
        </row>
        <row r="21">
          <cell r="A21" t="str">
            <v>MOB020</v>
          </cell>
          <cell r="B21" t="str">
            <v>Cuadrilla J (1 Of eléctrico + 1 Ay eléctrico) (jornal + prestaciones)</v>
          </cell>
          <cell r="C21" t="str">
            <v>Día</v>
          </cell>
          <cell r="D21"/>
          <cell r="E21">
            <v>319246</v>
          </cell>
        </row>
        <row r="22">
          <cell r="A22" t="str">
            <v>MOB021</v>
          </cell>
          <cell r="B22" t="str">
            <v>Cuadrilla K (1 Of eléctrico + 2 Ay eléctricos) (jornal + prestaciones)</v>
          </cell>
          <cell r="C22" t="str">
            <v>Día</v>
          </cell>
          <cell r="D22"/>
          <cell r="E22">
            <v>461133</v>
          </cell>
        </row>
        <row r="23">
          <cell r="A23" t="str">
            <v>MOB022</v>
          </cell>
          <cell r="B23" t="str">
            <v>Cuadrilla L 2 Of + 8 Ay (jornal + prestaciones)</v>
          </cell>
          <cell r="C23" t="str">
            <v>Día</v>
          </cell>
          <cell r="D23"/>
          <cell r="E23">
            <v>1028678</v>
          </cell>
        </row>
        <row r="24">
          <cell r="A24" t="str">
            <v>MOB008</v>
          </cell>
          <cell r="B24" t="str">
            <v>Cuadrilla S (1 Sold.+1 Ay práctico) (jornal + prestaciones)</v>
          </cell>
          <cell r="C24" t="str">
            <v>Día</v>
          </cell>
          <cell r="D24"/>
          <cell r="E24">
            <v>283774</v>
          </cell>
        </row>
        <row r="25">
          <cell r="A25" t="str">
            <v>MOB024</v>
          </cell>
          <cell r="B25" t="str">
            <v>Cuadrilla N 1 Min + 1 Ay (jornal + prestaciones)</v>
          </cell>
          <cell r="C25" t="str">
            <v>Día</v>
          </cell>
          <cell r="D25"/>
          <cell r="E25">
            <v>284220</v>
          </cell>
        </row>
        <row r="26">
          <cell r="A26" t="str">
            <v>MOB002</v>
          </cell>
          <cell r="B26" t="str">
            <v>Oficial (jornal + prestaciones)</v>
          </cell>
          <cell r="C26" t="str">
            <v>Día</v>
          </cell>
          <cell r="D26"/>
          <cell r="E26">
            <v>159623</v>
          </cell>
        </row>
        <row r="27">
          <cell r="A27" t="str">
            <v>MOB007</v>
          </cell>
          <cell r="B27" t="str">
            <v>Oficial eléctrico (jornal + prestaciones)</v>
          </cell>
          <cell r="C27" t="str">
            <v>Día</v>
          </cell>
          <cell r="D27"/>
          <cell r="E27">
            <v>177359</v>
          </cell>
        </row>
        <row r="28">
          <cell r="A28" t="str">
            <v>MOB012</v>
          </cell>
          <cell r="B28" t="str">
            <v>Profesional en salud ocupacional</v>
          </cell>
          <cell r="C28" t="str">
            <v>Mes</v>
          </cell>
          <cell r="D28"/>
          <cell r="E28">
            <v>6570193</v>
          </cell>
        </row>
        <row r="29">
          <cell r="A29" t="str">
            <v>MATERIALES</v>
          </cell>
          <cell r="B29"/>
          <cell r="C29"/>
          <cell r="D29"/>
          <cell r="E29"/>
        </row>
        <row r="30">
          <cell r="A30"/>
          <cell r="B30"/>
          <cell r="C30"/>
          <cell r="D30"/>
          <cell r="E30"/>
        </row>
        <row r="31">
          <cell r="A31" t="str">
            <v>CÓDIGO</v>
          </cell>
          <cell r="B31" t="str">
            <v>DESCRIPCIÓN</v>
          </cell>
          <cell r="C31" t="str">
            <v>UNIDAD</v>
          </cell>
          <cell r="D31"/>
          <cell r="E31" t="str">
            <v>VALOR UNITARIO 2025</v>
          </cell>
        </row>
        <row r="32">
          <cell r="A32" t="str">
            <v>MAT,593</v>
          </cell>
          <cell r="B32" t="str">
            <v>Abrazadera para chanel de 3/4"</v>
          </cell>
          <cell r="C32" t="str">
            <v>Un</v>
          </cell>
          <cell r="D32"/>
          <cell r="E32">
            <v>850</v>
          </cell>
        </row>
        <row r="33">
          <cell r="A33" t="str">
            <v>MAT,056</v>
          </cell>
          <cell r="B33" t="str">
            <v>Abrazadera UNISTRUT para tubo ø 1 ½" zincada</v>
          </cell>
          <cell r="C33" t="str">
            <v>Un</v>
          </cell>
          <cell r="D33"/>
          <cell r="E33">
            <v>1300</v>
          </cell>
        </row>
        <row r="34">
          <cell r="A34" t="str">
            <v>MAT,004</v>
          </cell>
          <cell r="B34" t="str">
            <v>Abrazadera UNISTRUT para tubo ø 2" zincada</v>
          </cell>
          <cell r="C34" t="str">
            <v>Un</v>
          </cell>
          <cell r="D34"/>
          <cell r="E34">
            <v>1600</v>
          </cell>
        </row>
        <row r="35">
          <cell r="A35" t="str">
            <v>MAT,058</v>
          </cell>
          <cell r="B35" t="str">
            <v>Abrazadera UNISTRUT para tubo ø 3" zincada</v>
          </cell>
          <cell r="C35" t="str">
            <v>Un</v>
          </cell>
          <cell r="D35"/>
          <cell r="E35">
            <v>2250</v>
          </cell>
        </row>
        <row r="36">
          <cell r="A36" t="str">
            <v>MAT,003</v>
          </cell>
          <cell r="B36" t="str">
            <v>Abrazadera UNISTRUT para tubo ø 3/4" zincada</v>
          </cell>
          <cell r="C36" t="str">
            <v>Un</v>
          </cell>
          <cell r="D36"/>
          <cell r="E36">
            <v>850</v>
          </cell>
        </row>
        <row r="37">
          <cell r="A37" t="str">
            <v>MAT,083</v>
          </cell>
          <cell r="B37" t="str">
            <v>Abrazadera UNISTRUT para tubo ø 4" zincada</v>
          </cell>
          <cell r="C37" t="str">
            <v>Un</v>
          </cell>
          <cell r="D37"/>
          <cell r="E37">
            <v>5734</v>
          </cell>
        </row>
        <row r="38">
          <cell r="A38" t="str">
            <v>MAT,797</v>
          </cell>
          <cell r="B38" t="str">
            <v>Accesorio esquina externa PVC media caña 60 mm blanco</v>
          </cell>
          <cell r="C38" t="str">
            <v>Un</v>
          </cell>
          <cell r="D38"/>
          <cell r="E38">
            <v>8845</v>
          </cell>
        </row>
        <row r="39">
          <cell r="A39" t="str">
            <v>MAT,796</v>
          </cell>
          <cell r="B39" t="str">
            <v xml:space="preserve">Accesorio esquina interna PVC media caña 60 mm blanco </v>
          </cell>
          <cell r="C39" t="str">
            <v>Un</v>
          </cell>
          <cell r="D39"/>
          <cell r="E39">
            <v>8845</v>
          </cell>
        </row>
        <row r="40">
          <cell r="A40" t="str">
            <v>MAT,795</v>
          </cell>
          <cell r="B40" t="str">
            <v>Accesorio esquina interna PVC media caña 90 mm blanco</v>
          </cell>
          <cell r="C40" t="str">
            <v>Un</v>
          </cell>
          <cell r="D40"/>
          <cell r="E40">
            <v>12345</v>
          </cell>
        </row>
        <row r="41">
          <cell r="A41" t="str">
            <v>MAT,791</v>
          </cell>
          <cell r="B41" t="str">
            <v>Accesorio estrella PVC media caña 60 mm blanco</v>
          </cell>
          <cell r="C41" t="str">
            <v>Un</v>
          </cell>
          <cell r="D41"/>
          <cell r="E41">
            <v>8845</v>
          </cell>
        </row>
        <row r="42">
          <cell r="A42" t="str">
            <v>MAT,793</v>
          </cell>
          <cell r="B42" t="str">
            <v>Accesorio estrella PVC media caña 90 mm blanco</v>
          </cell>
          <cell r="C42" t="str">
            <v>Un</v>
          </cell>
          <cell r="D42"/>
          <cell r="E42">
            <v>12495</v>
          </cell>
        </row>
        <row r="43">
          <cell r="A43" t="str">
            <v>MAT,794</v>
          </cell>
          <cell r="B43" t="str">
            <v xml:space="preserve">Accesorio tapa PVC media caña 60 mm blanco </v>
          </cell>
          <cell r="C43" t="str">
            <v>Un</v>
          </cell>
          <cell r="D43"/>
          <cell r="E43">
            <v>8845</v>
          </cell>
        </row>
        <row r="44">
          <cell r="A44" t="str">
            <v>MAT,792</v>
          </cell>
          <cell r="B44" t="str">
            <v>Accesorio tapa PVC media caña 90 mm blanco</v>
          </cell>
          <cell r="C44" t="str">
            <v>Un</v>
          </cell>
          <cell r="D44"/>
          <cell r="E44">
            <v>12495</v>
          </cell>
        </row>
        <row r="45">
          <cell r="A45" t="str">
            <v>MAT,059</v>
          </cell>
          <cell r="B45" t="str">
            <v>Accesorios CPVC 1/2" promedio de: T, codo 90º, U</v>
          </cell>
          <cell r="C45" t="str">
            <v>%Tub</v>
          </cell>
          <cell r="D45"/>
          <cell r="E45">
            <v>0</v>
          </cell>
        </row>
        <row r="46">
          <cell r="A46" t="str">
            <v>MAT,610</v>
          </cell>
          <cell r="B46" t="str">
            <v>Accesorios de fijación alambrón de Al</v>
          </cell>
          <cell r="C46" t="str">
            <v>%Ala</v>
          </cell>
          <cell r="D46"/>
          <cell r="E46">
            <v>0</v>
          </cell>
        </row>
        <row r="47">
          <cell r="A47" t="str">
            <v>MAT,629</v>
          </cell>
          <cell r="B47" t="str">
            <v>Accesorios de fijación caja</v>
          </cell>
          <cell r="C47" t="str">
            <v>%Caj</v>
          </cell>
          <cell r="D47"/>
          <cell r="E47">
            <v>0</v>
          </cell>
        </row>
        <row r="48">
          <cell r="A48" t="str">
            <v>MAT,631</v>
          </cell>
          <cell r="B48" t="str">
            <v>Accesorios de fijación de tableros, cajas y bajantes</v>
          </cell>
          <cell r="C48" t="str">
            <v>%Tab</v>
          </cell>
          <cell r="D48"/>
          <cell r="E48">
            <v>0</v>
          </cell>
        </row>
        <row r="49">
          <cell r="A49" t="str">
            <v>MAT,626</v>
          </cell>
          <cell r="B49" t="str">
            <v>Accesorios de fijación tubería IMC</v>
          </cell>
          <cell r="C49" t="str">
            <v>%Tub</v>
          </cell>
          <cell r="D49"/>
          <cell r="E49">
            <v>0</v>
          </cell>
        </row>
        <row r="50">
          <cell r="A50" t="str">
            <v>MAT,008</v>
          </cell>
          <cell r="B50" t="str">
            <v>Accesorios para canal PVC promedio de: U, U bajante, soporte, 2 tapas externas</v>
          </cell>
          <cell r="C50" t="str">
            <v>Un</v>
          </cell>
          <cell r="D50"/>
          <cell r="E50">
            <v>13110</v>
          </cell>
        </row>
        <row r="51">
          <cell r="A51" t="str">
            <v>MAT,002</v>
          </cell>
          <cell r="B51" t="str">
            <v>Accesorios para fijación de canal metálico (tapa (2), boquilla (2) y soporte (4) en 8 Un</v>
          </cell>
          <cell r="C51" t="str">
            <v>Un</v>
          </cell>
          <cell r="D51"/>
          <cell r="E51">
            <v>5875</v>
          </cell>
        </row>
        <row r="52">
          <cell r="A52" t="str">
            <v>MAT,123</v>
          </cell>
          <cell r="B52" t="str">
            <v>Accesorios para rack (bandeja) ?</v>
          </cell>
          <cell r="C52" t="str">
            <v>Un</v>
          </cell>
          <cell r="D52"/>
          <cell r="E52">
            <v>150000</v>
          </cell>
        </row>
        <row r="53">
          <cell r="A53" t="str">
            <v>MAT,118</v>
          </cell>
          <cell r="B53" t="str">
            <v>Accesorios PVC sanitaria (% tubería)</v>
          </cell>
          <cell r="C53" t="str">
            <v>%Tub</v>
          </cell>
          <cell r="D53"/>
          <cell r="E53">
            <v>0</v>
          </cell>
        </row>
        <row r="54">
          <cell r="A54" t="str">
            <v>MAT,005</v>
          </cell>
          <cell r="B54" t="str">
            <v>Accesorios PVC sanitaria 2" promedio (U + codo 90º)</v>
          </cell>
          <cell r="C54" t="str">
            <v>Un</v>
          </cell>
          <cell r="D54"/>
          <cell r="E54">
            <v>7950</v>
          </cell>
        </row>
        <row r="55">
          <cell r="A55" t="str">
            <v>MAT,006</v>
          </cell>
          <cell r="B55" t="str">
            <v>Accesorios PVC sanitaria 3" promedio (U + codo 90º)</v>
          </cell>
          <cell r="C55" t="str">
            <v>Un</v>
          </cell>
          <cell r="D55"/>
          <cell r="E55">
            <v>10600</v>
          </cell>
        </row>
        <row r="56">
          <cell r="A56" t="str">
            <v>MAT,007</v>
          </cell>
          <cell r="B56" t="str">
            <v>Accesorios PVC sanitaria 4" promedio (U + codo 90º)</v>
          </cell>
          <cell r="C56" t="str">
            <v>Un</v>
          </cell>
          <cell r="D56"/>
          <cell r="E56">
            <v>16250</v>
          </cell>
        </row>
        <row r="57">
          <cell r="A57" t="str">
            <v>MAT,009</v>
          </cell>
          <cell r="B57" t="str">
            <v>Acelerante para concreto tipo Sika set</v>
          </cell>
          <cell r="C57" t="str">
            <v>Kg</v>
          </cell>
          <cell r="D57"/>
          <cell r="E57">
            <v>20348</v>
          </cell>
        </row>
        <row r="58">
          <cell r="A58" t="str">
            <v>MAT,010</v>
          </cell>
          <cell r="B58" t="str">
            <v>Acero Fy = 37.000 PSI (2.601 kg/cm2) d ≤ ¼"</v>
          </cell>
          <cell r="C58" t="str">
            <v>Kg</v>
          </cell>
          <cell r="D58"/>
          <cell r="E58">
            <v>4500</v>
          </cell>
        </row>
        <row r="59">
          <cell r="A59" t="str">
            <v>MAT,011</v>
          </cell>
          <cell r="B59" t="str">
            <v>Acero Fy = 60.000 PSI (40218 kg/cm2) d &gt; ¼"</v>
          </cell>
          <cell r="C59" t="str">
            <v>Kg</v>
          </cell>
          <cell r="D59"/>
          <cell r="E59">
            <v>4545</v>
          </cell>
        </row>
        <row r="60">
          <cell r="A60" t="str">
            <v>MAT,641</v>
          </cell>
          <cell r="B60" t="str">
            <v>Acero laminado A 36, para correa formada por pieza simple, de perfiles laminados en caliente, según ASTM A 36, acabado con imprimación antioxidante, trabajado en taller, para colocar en obra mediante soldadura</v>
          </cell>
          <cell r="C60" t="str">
            <v>Kg</v>
          </cell>
          <cell r="D60"/>
          <cell r="E60">
            <v>8566</v>
          </cell>
        </row>
        <row r="61">
          <cell r="A61" t="str">
            <v>MAT,534</v>
          </cell>
          <cell r="B61" t="str">
            <v>Acople flexible para lavamanos de 1/2" 150 cm</v>
          </cell>
          <cell r="C61" t="str">
            <v>Un</v>
          </cell>
          <cell r="D61"/>
          <cell r="E61">
            <v>14900</v>
          </cell>
        </row>
        <row r="62">
          <cell r="A62" t="str">
            <v>MAT,045</v>
          </cell>
          <cell r="B62" t="str">
            <v>Acople flexible para sanitario, conexión rosca 7/8"</v>
          </cell>
          <cell r="C62" t="str">
            <v>Un</v>
          </cell>
          <cell r="D62"/>
          <cell r="E62">
            <v>5300</v>
          </cell>
        </row>
        <row r="63">
          <cell r="A63" t="str">
            <v>MAT,012</v>
          </cell>
          <cell r="B63" t="str">
            <v>ACPM</v>
          </cell>
          <cell r="C63" t="str">
            <v>Gl</v>
          </cell>
          <cell r="D63"/>
          <cell r="E63">
            <v>10959</v>
          </cell>
        </row>
        <row r="64">
          <cell r="A64" t="str">
            <v>MAT,014</v>
          </cell>
          <cell r="B64" t="str">
            <v>Adaptador bajante PVC agua lluvia cuadrada 3"</v>
          </cell>
          <cell r="C64" t="str">
            <v>Un</v>
          </cell>
          <cell r="D64"/>
          <cell r="E64">
            <v>4078</v>
          </cell>
        </row>
        <row r="65">
          <cell r="A65" t="str">
            <v>MAT,015</v>
          </cell>
          <cell r="B65" t="str">
            <v>Adaptador macho PF + UAD ½"</v>
          </cell>
          <cell r="C65" t="str">
            <v>Un</v>
          </cell>
          <cell r="D65"/>
          <cell r="E65">
            <v>5400</v>
          </cell>
        </row>
        <row r="66">
          <cell r="A66" t="str">
            <v>MAT,018</v>
          </cell>
          <cell r="B66" t="str">
            <v>Adaptador PVC macho de ½" presión</v>
          </cell>
          <cell r="C66" t="str">
            <v>Un</v>
          </cell>
          <cell r="D66"/>
          <cell r="E66">
            <v>350</v>
          </cell>
        </row>
        <row r="67">
          <cell r="A67" t="str">
            <v>MAT,016</v>
          </cell>
          <cell r="B67" t="str">
            <v>Adaptador PVC macho de 1 ½" presión</v>
          </cell>
          <cell r="C67" t="str">
            <v>Un</v>
          </cell>
          <cell r="D67"/>
          <cell r="E67">
            <v>5500</v>
          </cell>
        </row>
        <row r="68">
          <cell r="A68" t="str">
            <v>MAT,017</v>
          </cell>
          <cell r="B68" t="str">
            <v>Adaptador PVC macho de 1" presión</v>
          </cell>
          <cell r="C68" t="str">
            <v>Un</v>
          </cell>
          <cell r="D68"/>
          <cell r="E68">
            <v>2150</v>
          </cell>
        </row>
        <row r="69">
          <cell r="A69" t="str">
            <v>MAT,019</v>
          </cell>
          <cell r="B69" t="str">
            <v>Adaptador PVC macho de 2" presión</v>
          </cell>
          <cell r="C69" t="str">
            <v>Un</v>
          </cell>
          <cell r="D69"/>
          <cell r="E69">
            <v>7200</v>
          </cell>
        </row>
        <row r="70">
          <cell r="A70" t="str">
            <v>MAT,020</v>
          </cell>
          <cell r="B70" t="str">
            <v>Adaptador PVC macho de 3/4" presión</v>
          </cell>
          <cell r="C70" t="str">
            <v>Un</v>
          </cell>
          <cell r="D70"/>
          <cell r="E70">
            <v>1100</v>
          </cell>
        </row>
        <row r="71">
          <cell r="A71" t="str">
            <v>MAT,618</v>
          </cell>
          <cell r="B71" t="str">
            <v>Adaptador terminal conduit PVC ½"</v>
          </cell>
          <cell r="C71" t="str">
            <v>Un</v>
          </cell>
          <cell r="D71"/>
          <cell r="E71">
            <v>400</v>
          </cell>
        </row>
        <row r="72">
          <cell r="A72" t="str">
            <v>MAT,084</v>
          </cell>
          <cell r="B72" t="str">
            <v>Adaptador terminal conduit PVC 3/4"</v>
          </cell>
          <cell r="C72" t="str">
            <v>Un</v>
          </cell>
          <cell r="D72"/>
          <cell r="E72">
            <v>469</v>
          </cell>
        </row>
        <row r="73">
          <cell r="A73" t="str">
            <v>MAT,607</v>
          </cell>
          <cell r="B73" t="str">
            <v>Adaptador terminal EMT 3/4"</v>
          </cell>
          <cell r="C73" t="str">
            <v>Un</v>
          </cell>
          <cell r="D73"/>
          <cell r="E73">
            <v>2200</v>
          </cell>
        </row>
        <row r="74">
          <cell r="A74" t="str">
            <v>MAT,021</v>
          </cell>
          <cell r="B74" t="str">
            <v>Adhesivo epóxico para pegar concreto fresco con endurecido de curado lento (tipo Sikadur v32 Primer)</v>
          </cell>
          <cell r="C74" t="str">
            <v>Kg</v>
          </cell>
          <cell r="D74"/>
          <cell r="E74">
            <v>195900</v>
          </cell>
        </row>
        <row r="75">
          <cell r="A75" t="str">
            <v>MAT,258</v>
          </cell>
          <cell r="B75" t="str">
            <v>Adhesivo epóxico tipo IV grado 3 (ASTM C-881-02) para anclar barras de acero al concreto x 600 m (Sikadur® AnchorFix®-4 tubo x 600 m) o similar</v>
          </cell>
          <cell r="C75" t="str">
            <v>Un</v>
          </cell>
          <cell r="D75"/>
          <cell r="E75">
            <v>99900</v>
          </cell>
        </row>
        <row r="76">
          <cell r="A76" t="str">
            <v>MAT,022</v>
          </cell>
          <cell r="B76" t="str">
            <v>Adhesivo para piso de vinilo</v>
          </cell>
          <cell r="C76" t="str">
            <v>Kg</v>
          </cell>
          <cell r="D76"/>
          <cell r="E76">
            <v>25745</v>
          </cell>
        </row>
        <row r="77">
          <cell r="A77" t="str">
            <v>MAT,023</v>
          </cell>
          <cell r="B77" t="str">
            <v>Adhesivo para tubería de pared estructural 310 ml</v>
          </cell>
          <cell r="C77" t="str">
            <v>Un</v>
          </cell>
          <cell r="D77"/>
          <cell r="E77">
            <v>90900</v>
          </cell>
        </row>
        <row r="78">
          <cell r="A78" t="str">
            <v>MAT,630</v>
          </cell>
          <cell r="B78" t="str">
            <v>Aditivo acelerante para concreto tipo Sikaset L o similar</v>
          </cell>
          <cell r="C78" t="str">
            <v>Kg</v>
          </cell>
          <cell r="D78"/>
          <cell r="E78">
            <v>19580</v>
          </cell>
        </row>
        <row r="79">
          <cell r="A79" t="str">
            <v>MAT,817</v>
          </cell>
          <cell r="B79" t="str">
            <v>Aditivo curador (antisol o similar)</v>
          </cell>
          <cell r="C79" t="str">
            <v>Kg</v>
          </cell>
          <cell r="D79"/>
          <cell r="E79">
            <v>13045</v>
          </cell>
        </row>
        <row r="80">
          <cell r="A80" t="str">
            <v>MAT,024</v>
          </cell>
          <cell r="B80" t="str">
            <v>Adoquín en gres peatonal (5 x 10 x 20 cm)</v>
          </cell>
          <cell r="C80" t="str">
            <v>M2</v>
          </cell>
          <cell r="D80"/>
          <cell r="E80">
            <v>75000</v>
          </cell>
        </row>
        <row r="81">
          <cell r="A81" t="str">
            <v>MAT,025</v>
          </cell>
          <cell r="B81" t="str">
            <v>Adoquín peatonal gris de concreto e = 0,06 m (5 Mpa)</v>
          </cell>
          <cell r="C81" t="str">
            <v>M2</v>
          </cell>
          <cell r="D81"/>
          <cell r="E81">
            <v>55000</v>
          </cell>
        </row>
        <row r="82">
          <cell r="A82" t="str">
            <v>MAT,552</v>
          </cell>
          <cell r="B82" t="str">
            <v>Adoquín vehicular gris de concreto e = 0,08 m</v>
          </cell>
          <cell r="C82" t="str">
            <v>M2</v>
          </cell>
          <cell r="D82"/>
          <cell r="E82">
            <v>40000</v>
          </cell>
        </row>
        <row r="83">
          <cell r="A83" t="str">
            <v>MAT,026</v>
          </cell>
          <cell r="B83" t="str">
            <v>Afirmado para mantenimiento vial y elementos no estructurales</v>
          </cell>
          <cell r="C83" t="str">
            <v>M3</v>
          </cell>
          <cell r="D83"/>
          <cell r="E83">
            <v>26610</v>
          </cell>
        </row>
        <row r="84">
          <cell r="A84" t="str">
            <v>MAT,027</v>
          </cell>
          <cell r="B84" t="str">
            <v xml:space="preserve">Agua </v>
          </cell>
          <cell r="C84" t="str">
            <v>Lt</v>
          </cell>
          <cell r="D84"/>
          <cell r="E84">
            <v>19</v>
          </cell>
        </row>
        <row r="85">
          <cell r="A85" t="str">
            <v>MAT,578</v>
          </cell>
          <cell r="B85" t="str">
            <v>Aislador tipo carrete 3" ANSI 53-2</v>
          </cell>
          <cell r="C85" t="str">
            <v>Un</v>
          </cell>
          <cell r="D85"/>
          <cell r="E85">
            <v>4000</v>
          </cell>
        </row>
        <row r="86">
          <cell r="A86" t="str">
            <v>MAT,788</v>
          </cell>
          <cell r="B86" t="str">
            <v>Ajustador para epóxicas 21209 o similar (usar solo siguiendo las recomendaciones del Fabricante) Pintuco</v>
          </cell>
          <cell r="C86" t="str">
            <v>Gl</v>
          </cell>
          <cell r="D86"/>
          <cell r="E86">
            <v>74724</v>
          </cell>
        </row>
        <row r="87">
          <cell r="A87" t="str">
            <v>MAT,028</v>
          </cell>
          <cell r="B87" t="str">
            <v>Alambre de púas C 14</v>
          </cell>
          <cell r="C87" t="str">
            <v>M</v>
          </cell>
          <cell r="D87"/>
          <cell r="E87">
            <v>584</v>
          </cell>
        </row>
        <row r="88">
          <cell r="A88" t="str">
            <v>MAT,029</v>
          </cell>
          <cell r="B88" t="str">
            <v xml:space="preserve">Alambre galvanizado C 12 </v>
          </cell>
          <cell r="C88" t="str">
            <v>Kg</v>
          </cell>
          <cell r="D88"/>
          <cell r="E88">
            <v>11400</v>
          </cell>
        </row>
        <row r="89">
          <cell r="A89" t="str">
            <v>MAT,030</v>
          </cell>
          <cell r="B89" t="str">
            <v>Alambre negro calibre 18 - 19</v>
          </cell>
          <cell r="C89" t="str">
            <v>Kg</v>
          </cell>
          <cell r="D89"/>
          <cell r="E89">
            <v>7790</v>
          </cell>
        </row>
        <row r="90">
          <cell r="A90" t="str">
            <v>MAT,806</v>
          </cell>
          <cell r="B90" t="str">
            <v>Alambre Nº 6 de aluminio para amarre</v>
          </cell>
          <cell r="C90" t="str">
            <v>M</v>
          </cell>
          <cell r="D90"/>
          <cell r="E90">
            <v>3000</v>
          </cell>
        </row>
        <row r="91">
          <cell r="A91" t="str">
            <v>MAT,598</v>
          </cell>
          <cell r="B91" t="str">
            <v xml:space="preserve">Alambrón de aluminio 8 mm </v>
          </cell>
          <cell r="C91" t="str">
            <v>M</v>
          </cell>
          <cell r="D91"/>
          <cell r="E91">
            <v>5100.166666666667</v>
          </cell>
        </row>
        <row r="92">
          <cell r="A92" t="str">
            <v>MAT,001</v>
          </cell>
          <cell r="B92" t="str">
            <v>Alas para cerámica (wings o piraguas) en Al x 2,5 m</v>
          </cell>
          <cell r="C92" t="str">
            <v>M</v>
          </cell>
          <cell r="D92"/>
          <cell r="E92">
            <v>17960</v>
          </cell>
        </row>
        <row r="93">
          <cell r="A93" t="str">
            <v>MAT,031</v>
          </cell>
          <cell r="B93" t="str">
            <v>Alas para cerámica (wings o piraguas) en PVC x 2,4 m</v>
          </cell>
          <cell r="C93" t="str">
            <v>M</v>
          </cell>
          <cell r="D93"/>
          <cell r="E93">
            <v>3708.3333333333335</v>
          </cell>
        </row>
        <row r="94">
          <cell r="A94" t="str">
            <v>MAT,032</v>
          </cell>
          <cell r="B94" t="str">
            <v>Amarra con tapa plástica para techos</v>
          </cell>
          <cell r="C94" t="str">
            <v>Un</v>
          </cell>
          <cell r="D94"/>
          <cell r="E94">
            <v>495</v>
          </cell>
        </row>
        <row r="95">
          <cell r="A95" t="str">
            <v>MAT,496</v>
          </cell>
          <cell r="B95" t="str">
            <v>Amarra de nylon de 10 cm</v>
          </cell>
          <cell r="C95" t="str">
            <v>Un</v>
          </cell>
          <cell r="D95"/>
          <cell r="E95">
            <v>149</v>
          </cell>
        </row>
        <row r="96">
          <cell r="A96" t="str">
            <v>MAT,087</v>
          </cell>
          <cell r="B96" t="str">
            <v>Anclaje multipropósito de ø 3/8" (tipo hembra)</v>
          </cell>
          <cell r="C96" t="str">
            <v>Un</v>
          </cell>
          <cell r="D96"/>
          <cell r="E96">
            <v>900</v>
          </cell>
        </row>
        <row r="97">
          <cell r="A97" t="str">
            <v>MAT,088</v>
          </cell>
          <cell r="B97" t="str">
            <v>Anclaje tipo cuña 3/8" x 2 ¼"</v>
          </cell>
          <cell r="C97" t="str">
            <v>Un</v>
          </cell>
          <cell r="D97"/>
          <cell r="E97">
            <v>3700</v>
          </cell>
        </row>
        <row r="98">
          <cell r="A98" t="str">
            <v>MAT,034</v>
          </cell>
          <cell r="B98" t="str">
            <v>Ángulo de 1 ½" x 1/8"</v>
          </cell>
          <cell r="C98" t="str">
            <v>M</v>
          </cell>
          <cell r="D98"/>
          <cell r="E98">
            <v>9383</v>
          </cell>
        </row>
        <row r="99">
          <cell r="A99" t="str">
            <v>MAT,035</v>
          </cell>
          <cell r="B99" t="str">
            <v>Ángulo de 1" x 1/8"</v>
          </cell>
          <cell r="C99" t="str">
            <v>M</v>
          </cell>
          <cell r="D99"/>
          <cell r="E99">
            <v>6817</v>
          </cell>
        </row>
        <row r="100">
          <cell r="A100" t="str">
            <v>MAT,516</v>
          </cell>
          <cell r="B100" t="str">
            <v>Ángulo de 2" x 1/8"</v>
          </cell>
          <cell r="C100" t="str">
            <v>M</v>
          </cell>
          <cell r="D100"/>
          <cell r="E100">
            <v>15817</v>
          </cell>
        </row>
        <row r="101">
          <cell r="A101" t="str">
            <v>MAT,036</v>
          </cell>
          <cell r="B101" t="str">
            <v>Ángulo de 2" x 3/16" (puente)</v>
          </cell>
          <cell r="C101" t="str">
            <v>M</v>
          </cell>
          <cell r="D101"/>
          <cell r="E101">
            <v>22617</v>
          </cell>
        </row>
        <row r="102">
          <cell r="A102" t="str">
            <v>MAT,037</v>
          </cell>
          <cell r="B102" t="str">
            <v>Ángulo C 26 perimetral de 20 x 30 x 2.40 m</v>
          </cell>
          <cell r="C102" t="str">
            <v>Un</v>
          </cell>
          <cell r="D102"/>
          <cell r="E102">
            <v>2698</v>
          </cell>
        </row>
        <row r="103">
          <cell r="A103" t="str">
            <v>MAT,038</v>
          </cell>
          <cell r="B103" t="str">
            <v>Anticorrosivo gris</v>
          </cell>
          <cell r="C103" t="str">
            <v>Gl</v>
          </cell>
          <cell r="D103"/>
          <cell r="E103">
            <v>69900</v>
          </cell>
        </row>
        <row r="104">
          <cell r="A104" t="str">
            <v>MAT,039</v>
          </cell>
          <cell r="B104" t="str">
            <v>Antisol blanco o similar</v>
          </cell>
          <cell r="C104" t="str">
            <v>Kg</v>
          </cell>
          <cell r="D104"/>
          <cell r="E104">
            <v>13045</v>
          </cell>
        </row>
        <row r="105">
          <cell r="A105" t="str">
            <v>MAT,089</v>
          </cell>
          <cell r="B105" t="str">
            <v>Arandela cuadrada 2" x 2" x ¼", ø 5/8"</v>
          </cell>
          <cell r="C105" t="str">
            <v>Un</v>
          </cell>
          <cell r="D105"/>
          <cell r="E105">
            <v>800</v>
          </cell>
        </row>
        <row r="106">
          <cell r="A106" t="str">
            <v>MAT,536</v>
          </cell>
          <cell r="B106" t="str">
            <v>Arandela galvanizada de 3/8"</v>
          </cell>
          <cell r="C106" t="str">
            <v>Un</v>
          </cell>
          <cell r="D106"/>
          <cell r="E106">
            <v>250</v>
          </cell>
        </row>
        <row r="107">
          <cell r="A107" t="str">
            <v>MAT,097</v>
          </cell>
          <cell r="B107" t="str">
            <v>Arandela presión ø 3/4"</v>
          </cell>
          <cell r="C107" t="str">
            <v>Un</v>
          </cell>
          <cell r="D107"/>
          <cell r="E107">
            <v>550</v>
          </cell>
        </row>
        <row r="108">
          <cell r="A108" t="str">
            <v>MAT,108</v>
          </cell>
          <cell r="B108" t="str">
            <v>Arandela presión ø 5/8"</v>
          </cell>
          <cell r="C108" t="str">
            <v>Un</v>
          </cell>
          <cell r="D108"/>
          <cell r="E108">
            <v>250</v>
          </cell>
        </row>
        <row r="109">
          <cell r="A109" t="str">
            <v>MAT,040</v>
          </cell>
          <cell r="B109" t="str">
            <v>Arena</v>
          </cell>
          <cell r="C109" t="str">
            <v>M3</v>
          </cell>
          <cell r="D109"/>
          <cell r="E109">
            <v>71990</v>
          </cell>
        </row>
        <row r="110">
          <cell r="A110" t="str">
            <v>MAT,041</v>
          </cell>
          <cell r="B110" t="str">
            <v>Arenón</v>
          </cell>
          <cell r="C110" t="str">
            <v>M3</v>
          </cell>
          <cell r="D110"/>
          <cell r="E110">
            <v>54900</v>
          </cell>
        </row>
        <row r="111">
          <cell r="A111" t="str">
            <v>MAT,043</v>
          </cell>
          <cell r="B111" t="str">
            <v>Aro para baloncesto, incluye malla</v>
          </cell>
          <cell r="C111" t="str">
            <v>Un</v>
          </cell>
          <cell r="D111"/>
          <cell r="E111">
            <v>109480</v>
          </cell>
        </row>
        <row r="112">
          <cell r="A112" t="str">
            <v>MAT,042</v>
          </cell>
          <cell r="B112" t="str">
            <v>Aro tapa para pozo o sumidero fabricada en polietileno de alta densidad. Medidas aro: diámetro 93 cm, alto 20 cm, peso aprox. 26.4 kg. Medidas tapa: diámetro 70 cm, alto 20 cm, peso aprox 33 kg. Resistencia por prueba de laboratorio de ruptura y flexión: 18 toneladas por decímetro cuadrado</v>
          </cell>
          <cell r="C112" t="str">
            <v>Un</v>
          </cell>
          <cell r="D112"/>
          <cell r="E112">
            <v>791900</v>
          </cell>
        </row>
        <row r="113">
          <cell r="A113" t="str">
            <v>MAT,705</v>
          </cell>
          <cell r="B113" t="str">
            <v>Arriendo local para campamento, incluye administración, servicios públicos y comunicaciones</v>
          </cell>
          <cell r="C113" t="str">
            <v>M2-Mes</v>
          </cell>
          <cell r="D113"/>
          <cell r="E113">
            <v>51105</v>
          </cell>
        </row>
        <row r="114">
          <cell r="A114" t="str">
            <v>MAT,044</v>
          </cell>
          <cell r="B114" t="str">
            <v>Asfalto líquido MC-30 para imprimar</v>
          </cell>
          <cell r="C114" t="str">
            <v>Gl</v>
          </cell>
          <cell r="D114"/>
          <cell r="E114">
            <v>23980</v>
          </cell>
        </row>
        <row r="115">
          <cell r="A115" t="str">
            <v>MAT,512</v>
          </cell>
          <cell r="B115" t="str">
            <v>Asfalto para liga tipo CRR-1 o CRR 2</v>
          </cell>
          <cell r="C115" t="str">
            <v>Lb</v>
          </cell>
          <cell r="D115"/>
          <cell r="E115">
            <v>12843</v>
          </cell>
        </row>
        <row r="116">
          <cell r="A116" t="str">
            <v>MAT,654</v>
          </cell>
          <cell r="B116" t="str">
            <v>Azadón con cabo</v>
          </cell>
          <cell r="C116" t="str">
            <v>Un</v>
          </cell>
          <cell r="D116"/>
          <cell r="E116">
            <v>44900</v>
          </cell>
        </row>
        <row r="117">
          <cell r="A117" t="str">
            <v>MAT,601</v>
          </cell>
          <cell r="B117" t="str">
            <v>Balancín doble, incluye pintura e instalación</v>
          </cell>
          <cell r="C117" t="str">
            <v>Un</v>
          </cell>
          <cell r="D117"/>
          <cell r="E117">
            <v>1744100</v>
          </cell>
        </row>
        <row r="118">
          <cell r="A118" t="str">
            <v>MAT,125</v>
          </cell>
          <cell r="B118" t="str">
            <v>Bandeja metálica escalera interior rack</v>
          </cell>
          <cell r="C118" t="str">
            <v>M</v>
          </cell>
          <cell r="D118"/>
          <cell r="E118">
            <v>72499.583333333343</v>
          </cell>
        </row>
        <row r="119">
          <cell r="A119" t="str">
            <v>MAT,129</v>
          </cell>
          <cell r="B119" t="str">
            <v>Bandeja tipo canasta CF 54 x 400 mm - EZ</v>
          </cell>
          <cell r="C119" t="str">
            <v>M</v>
          </cell>
          <cell r="D119"/>
          <cell r="E119">
            <v>235485</v>
          </cell>
        </row>
        <row r="120">
          <cell r="A120" t="str">
            <v>MAT,047</v>
          </cell>
          <cell r="B120" t="str">
            <v>Barniz intemperie brillante</v>
          </cell>
          <cell r="C120" t="str">
            <v>Gl</v>
          </cell>
          <cell r="D120"/>
          <cell r="E120">
            <v>109900</v>
          </cell>
        </row>
        <row r="121">
          <cell r="A121" t="str">
            <v>MAT,669</v>
          </cell>
          <cell r="B121" t="str">
            <v>Barrera plásticas Jersey (maletín), en polietileno de alta densidad de l = 2, h = 1 b = 0,5 m, con sistema de acople al siguiente, naranja con cinta reflectivas  cintas reflectivas para visibilidad (grado ingeniería comercial y/o alta intensidad), que pueda llenarse de agua o arena</v>
          </cell>
          <cell r="C121" t="str">
            <v>Un</v>
          </cell>
          <cell r="D121"/>
          <cell r="E121">
            <v>588900</v>
          </cell>
        </row>
        <row r="122">
          <cell r="A122" t="str">
            <v>MAT,130</v>
          </cell>
          <cell r="B122" t="str">
            <v>Base para fotocelda</v>
          </cell>
          <cell r="C122" t="str">
            <v>Un</v>
          </cell>
          <cell r="D122"/>
          <cell r="E122">
            <v>12881</v>
          </cell>
        </row>
        <row r="123">
          <cell r="A123" t="str">
            <v>MAT,136</v>
          </cell>
          <cell r="B123" t="str">
            <v>Base redonda punta de captación en acero (puesta a tierra)</v>
          </cell>
          <cell r="C123" t="str">
            <v>Un</v>
          </cell>
          <cell r="D123"/>
          <cell r="E123">
            <v>84002</v>
          </cell>
        </row>
        <row r="124">
          <cell r="A124" t="str">
            <v>MAT,565</v>
          </cell>
          <cell r="B124" t="str">
            <v>Bentonita</v>
          </cell>
          <cell r="C124" t="str">
            <v>Kg</v>
          </cell>
          <cell r="D124"/>
          <cell r="E124">
            <v>16000</v>
          </cell>
        </row>
        <row r="125">
          <cell r="A125" t="str">
            <v>MAT,055</v>
          </cell>
          <cell r="B125" t="str">
            <v>Binda boquilla (para enchape)</v>
          </cell>
          <cell r="C125" t="str">
            <v>Kg</v>
          </cell>
          <cell r="D125"/>
          <cell r="E125">
            <v>6700</v>
          </cell>
        </row>
        <row r="126">
          <cell r="A126" t="str">
            <v>MAT,528</v>
          </cell>
          <cell r="B126" t="str">
            <v>Bisagra Armillar hierro 3"</v>
          </cell>
          <cell r="C126" t="str">
            <v>Un</v>
          </cell>
          <cell r="D126"/>
          <cell r="E126">
            <v>6950</v>
          </cell>
        </row>
        <row r="127">
          <cell r="A127" t="str">
            <v>MAT,639</v>
          </cell>
          <cell r="B127" t="str">
            <v>Bisagra de cobre 3 ½"</v>
          </cell>
          <cell r="C127" t="str">
            <v>Un</v>
          </cell>
          <cell r="D127"/>
          <cell r="E127">
            <v>9450</v>
          </cell>
        </row>
        <row r="128">
          <cell r="A128" t="str">
            <v>MAT,531</v>
          </cell>
          <cell r="B128" t="str">
            <v>Bisagra de hierro de soldar para rejilla cañuela</v>
          </cell>
          <cell r="C128" t="str">
            <v>Un</v>
          </cell>
          <cell r="D128"/>
          <cell r="E128">
            <v>19900</v>
          </cell>
        </row>
        <row r="129">
          <cell r="A129" t="str">
            <v>MAT,048</v>
          </cell>
          <cell r="B129" t="str">
            <v>Bisagra de hierro para puerta de 3"</v>
          </cell>
          <cell r="C129" t="str">
            <v>Un</v>
          </cell>
          <cell r="D129"/>
          <cell r="E129">
            <v>23450</v>
          </cell>
        </row>
        <row r="130">
          <cell r="A130" t="str">
            <v>MAT,049</v>
          </cell>
          <cell r="B130" t="str">
            <v>Bloque de cemento de 0,14 x 0,19 x 0,39 m</v>
          </cell>
          <cell r="C130" t="str">
            <v>Un</v>
          </cell>
          <cell r="D130"/>
          <cell r="E130">
            <v>4900</v>
          </cell>
        </row>
        <row r="131">
          <cell r="A131" t="str">
            <v>MAT,050</v>
          </cell>
          <cell r="B131" t="str">
            <v>Bloque de cemento de 0,14 x 0,19 x 0,39 m estructural</v>
          </cell>
          <cell r="C131" t="str">
            <v>Un</v>
          </cell>
          <cell r="D131"/>
          <cell r="E131">
            <v>7208</v>
          </cell>
        </row>
        <row r="132">
          <cell r="A132" t="str">
            <v>MAT,051</v>
          </cell>
          <cell r="B132" t="str">
            <v>Bloque de vidrio de ± 19 x 19 x 8 cm transparente ondulado</v>
          </cell>
          <cell r="C132" t="str">
            <v>Un</v>
          </cell>
          <cell r="D132"/>
          <cell r="E132">
            <v>12900</v>
          </cell>
        </row>
        <row r="133">
          <cell r="A133" t="str">
            <v>MAT,052</v>
          </cell>
          <cell r="B133" t="str">
            <v>Bloque piedra de ± 0,39 x 0,19 x 0,14 m</v>
          </cell>
          <cell r="C133" t="str">
            <v>Un</v>
          </cell>
          <cell r="D133"/>
          <cell r="E133">
            <v>3800</v>
          </cell>
        </row>
        <row r="134">
          <cell r="A134" t="str">
            <v>MAT,054</v>
          </cell>
          <cell r="B134" t="str">
            <v>Bolsacreto capacidad 1 m3</v>
          </cell>
          <cell r="C134" t="str">
            <v>Un</v>
          </cell>
          <cell r="D134"/>
          <cell r="E134">
            <v>69000</v>
          </cell>
        </row>
        <row r="135">
          <cell r="A135" t="str">
            <v>MAT,053</v>
          </cell>
          <cell r="B135" t="str">
            <v>Bolsacreto capacidad 2 m3</v>
          </cell>
          <cell r="C135" t="str">
            <v>Un</v>
          </cell>
          <cell r="D135"/>
          <cell r="E135">
            <v>79500</v>
          </cell>
        </row>
        <row r="136">
          <cell r="A136" t="str">
            <v>MAT,137</v>
          </cell>
          <cell r="B136" t="str">
            <v>Bombillo led 10 W</v>
          </cell>
          <cell r="C136" t="str">
            <v>Un</v>
          </cell>
          <cell r="D136"/>
          <cell r="E136">
            <v>12900</v>
          </cell>
        </row>
        <row r="137">
          <cell r="A137" t="str">
            <v>MAT,509</v>
          </cell>
          <cell r="B137" t="str">
            <v>Bórax</v>
          </cell>
          <cell r="C137" t="str">
            <v>Kg</v>
          </cell>
          <cell r="D137"/>
          <cell r="E137">
            <v>20000</v>
          </cell>
        </row>
        <row r="138">
          <cell r="A138" t="str">
            <v>MAT,513</v>
          </cell>
          <cell r="B138" t="str">
            <v>Bordillo prefabricado A80 ± (800 x 200 x 350 mm)</v>
          </cell>
          <cell r="C138" t="str">
            <v>Un</v>
          </cell>
          <cell r="D138"/>
          <cell r="E138">
            <v>54145</v>
          </cell>
        </row>
        <row r="139">
          <cell r="A139" t="str">
            <v>MAT,138</v>
          </cell>
          <cell r="B139" t="str">
            <v>Botonera ANTUMBRA T.P. PATPA-BC-X+DYNET o similar</v>
          </cell>
          <cell r="C139" t="str">
            <v>Un</v>
          </cell>
          <cell r="D139"/>
          <cell r="E139">
            <v>1420000</v>
          </cell>
        </row>
        <row r="140">
          <cell r="A140" t="str">
            <v>MAT,140</v>
          </cell>
          <cell r="B140" t="str">
            <v>Cortacircuitos, breaker, taco bipolar (2 polos) 20 amperios LX enchufe DSE</v>
          </cell>
          <cell r="C140" t="str">
            <v>Un</v>
          </cell>
          <cell r="D140"/>
          <cell r="E140">
            <v>49900</v>
          </cell>
        </row>
        <row r="141">
          <cell r="A141" t="str">
            <v>MAT,146</v>
          </cell>
          <cell r="B141" t="str">
            <v>Cortacircuito, breaker o taco monopolar (1 polo) 20 amperios LX enchufe DSE</v>
          </cell>
          <cell r="C141" t="str">
            <v>Un</v>
          </cell>
          <cell r="D141"/>
          <cell r="E141">
            <v>17500</v>
          </cell>
        </row>
        <row r="142">
          <cell r="A142" t="str">
            <v>MAT,148</v>
          </cell>
          <cell r="B142" t="str">
            <v>Cortacircuito, breaker o taco tripolar (3 polos) 20 amperios LX enchufe DSE</v>
          </cell>
          <cell r="C142" t="str">
            <v>Un</v>
          </cell>
          <cell r="D142"/>
          <cell r="E142">
            <v>114900</v>
          </cell>
        </row>
        <row r="143">
          <cell r="A143" t="str">
            <v>MAT,057</v>
          </cell>
          <cell r="B143" t="str">
            <v>Buggy liviano antipinchazo 6 pies3</v>
          </cell>
          <cell r="C143" t="str">
            <v>Un</v>
          </cell>
          <cell r="D143"/>
          <cell r="E143">
            <v>299900</v>
          </cell>
        </row>
        <row r="144">
          <cell r="A144" t="str">
            <v>MAT,554</v>
          </cell>
          <cell r="B144" t="str">
            <v>Caballete teja ondulada fibrocemento fijo l = 0,873 m</v>
          </cell>
          <cell r="C144" t="str">
            <v>M</v>
          </cell>
          <cell r="D144"/>
          <cell r="E144">
            <v>39900</v>
          </cell>
        </row>
        <row r="145">
          <cell r="A145" t="str">
            <v>MAT,553</v>
          </cell>
          <cell r="B145" t="str">
            <v>Caballete teja ondulada fibrocemento tipo español articulado 2 piezas</v>
          </cell>
          <cell r="C145" t="str">
            <v>M</v>
          </cell>
          <cell r="D145"/>
          <cell r="E145">
            <v>77800</v>
          </cell>
        </row>
        <row r="146">
          <cell r="A146" t="str">
            <v>MAT,060</v>
          </cell>
          <cell r="B146" t="str">
            <v>Caballete thermoacustic</v>
          </cell>
          <cell r="C146" t="str">
            <v>M</v>
          </cell>
          <cell r="D146"/>
          <cell r="E146">
            <v>50818.181818181816</v>
          </cell>
        </row>
        <row r="147">
          <cell r="A147" t="str">
            <v>MAT,149</v>
          </cell>
          <cell r="B147" t="str">
            <v>Cabina insonorizada para planta emergencia de 150 KW</v>
          </cell>
          <cell r="C147" t="str">
            <v>Un</v>
          </cell>
          <cell r="D147"/>
          <cell r="E147">
            <v>24990000</v>
          </cell>
        </row>
        <row r="148">
          <cell r="A148" t="str">
            <v>MAT,175</v>
          </cell>
          <cell r="B148" t="str">
            <v>Cable Al ACSR # 2 AWG ecológico 15 Kv</v>
          </cell>
          <cell r="C148" t="str">
            <v>M</v>
          </cell>
          <cell r="D148"/>
          <cell r="E148">
            <v>9450</v>
          </cell>
        </row>
        <row r="149">
          <cell r="A149" t="str">
            <v>MAT,179</v>
          </cell>
          <cell r="B149" t="str">
            <v>Cable Al aislado PVC 75o # 1/0 AWG /S 8000 THHN</v>
          </cell>
          <cell r="C149" t="str">
            <v>M</v>
          </cell>
          <cell r="D149"/>
          <cell r="E149">
            <v>8200</v>
          </cell>
        </row>
        <row r="150">
          <cell r="A150" t="str">
            <v>MAT,183</v>
          </cell>
          <cell r="B150" t="str">
            <v>Cable Al aislado PVC 75o # 2/0 AWG /S 8000 THHN</v>
          </cell>
          <cell r="C150" t="str">
            <v>M</v>
          </cell>
          <cell r="D150"/>
          <cell r="E150">
            <v>7350</v>
          </cell>
        </row>
        <row r="151">
          <cell r="A151" t="str">
            <v>MAT,184</v>
          </cell>
          <cell r="B151" t="str">
            <v>Cable apantallado de control 3 x 16 AWG</v>
          </cell>
          <cell r="C151" t="str">
            <v>M</v>
          </cell>
          <cell r="D151"/>
          <cell r="E151">
            <v>11700</v>
          </cell>
        </row>
        <row r="152">
          <cell r="A152" t="str">
            <v>MAT,189</v>
          </cell>
          <cell r="B152" t="str">
            <v>Cable coaxial RG-6 pantalla 90 %</v>
          </cell>
          <cell r="C152" t="str">
            <v>M</v>
          </cell>
          <cell r="D152"/>
          <cell r="E152">
            <v>900</v>
          </cell>
        </row>
        <row r="153">
          <cell r="A153" t="str">
            <v>MAT,193</v>
          </cell>
          <cell r="B153" t="str">
            <v>Cable Cu # 1/0 AWG HF FR LS - (EXZHELLENT BW)</v>
          </cell>
          <cell r="C153" t="str">
            <v>M</v>
          </cell>
          <cell r="D153"/>
          <cell r="E153">
            <v>45100</v>
          </cell>
        </row>
        <row r="154">
          <cell r="A154" t="str">
            <v>MAT,203</v>
          </cell>
          <cell r="B154" t="str">
            <v>Cable Cu # 12 AWG HF FR LS - (EXZHELLENT BW)</v>
          </cell>
          <cell r="C154" t="str">
            <v>M</v>
          </cell>
          <cell r="D154"/>
          <cell r="E154">
            <v>3446</v>
          </cell>
        </row>
        <row r="155">
          <cell r="A155" t="str">
            <v>MAT,206</v>
          </cell>
          <cell r="B155" t="str">
            <v>Cable Cu # 12 AWG THHN</v>
          </cell>
          <cell r="C155" t="str">
            <v>M</v>
          </cell>
          <cell r="D155"/>
          <cell r="E155">
            <v>2650</v>
          </cell>
        </row>
        <row r="156">
          <cell r="A156" t="str">
            <v>MAT,208</v>
          </cell>
          <cell r="B156" t="str">
            <v>Cable Cu # 14 AWG HF FR LS - (EXZHELLENT BW)</v>
          </cell>
          <cell r="C156" t="str">
            <v>M</v>
          </cell>
          <cell r="D156"/>
          <cell r="E156">
            <v>2150</v>
          </cell>
        </row>
        <row r="157">
          <cell r="A157" t="str">
            <v>MAT,209</v>
          </cell>
          <cell r="B157" t="str">
            <v>Cable Cu # 2 AWG HF FR LS - (EXZHELLENT BW)</v>
          </cell>
          <cell r="C157" t="str">
            <v>M</v>
          </cell>
          <cell r="D157"/>
          <cell r="E157">
            <v>28200</v>
          </cell>
        </row>
        <row r="158">
          <cell r="A158" t="str">
            <v>MAT,248</v>
          </cell>
          <cell r="B158" t="str">
            <v>Cable Cu # 2 AWG THHN</v>
          </cell>
          <cell r="C158" t="str">
            <v>M</v>
          </cell>
          <cell r="D158"/>
          <cell r="E158">
            <v>24150</v>
          </cell>
        </row>
        <row r="159">
          <cell r="A159" t="str">
            <v>MAT,257</v>
          </cell>
          <cell r="B159" t="str">
            <v>Cable Cu # 2/0 AWG  HF FR LS - (EXZHELLENT BW)</v>
          </cell>
          <cell r="C159" t="str">
            <v>M</v>
          </cell>
          <cell r="D159"/>
          <cell r="E159">
            <v>55500</v>
          </cell>
        </row>
        <row r="160">
          <cell r="A160" t="str">
            <v>MAT,259</v>
          </cell>
          <cell r="B160" t="str">
            <v>Cable Cu # 350 KCM THHN</v>
          </cell>
          <cell r="C160" t="str">
            <v>M</v>
          </cell>
          <cell r="D160"/>
          <cell r="E160">
            <v>132950</v>
          </cell>
        </row>
        <row r="161">
          <cell r="A161" t="str">
            <v>MAT,269</v>
          </cell>
          <cell r="B161" t="str">
            <v>Cable Cu # 4 AWG HF FR LS - (EXZHELLENT BW)</v>
          </cell>
          <cell r="C161" t="str">
            <v>M</v>
          </cell>
          <cell r="D161"/>
          <cell r="E161">
            <v>16800</v>
          </cell>
        </row>
        <row r="162">
          <cell r="A162" t="str">
            <v>MAT,112</v>
          </cell>
          <cell r="B162" t="str">
            <v>Cable Cu # 4/0 AWG HF FR LS - (EXZHELLENT BW)</v>
          </cell>
          <cell r="C162" t="str">
            <v>M</v>
          </cell>
          <cell r="D162"/>
          <cell r="E162">
            <v>82500</v>
          </cell>
        </row>
        <row r="163">
          <cell r="A163" t="str">
            <v>MAT,293</v>
          </cell>
          <cell r="B163" t="str">
            <v>Cable Cu # 6 AWG HF FR LS - (EXZHELLENT BW)</v>
          </cell>
          <cell r="C163" t="str">
            <v>M</v>
          </cell>
          <cell r="D163"/>
          <cell r="E163">
            <v>11300</v>
          </cell>
        </row>
        <row r="164">
          <cell r="A164" t="str">
            <v>MAT,315</v>
          </cell>
          <cell r="B164" t="str">
            <v>Cable Cu # 6 AWG THHN</v>
          </cell>
          <cell r="C164" t="str">
            <v>M</v>
          </cell>
          <cell r="D164"/>
          <cell r="E164">
            <v>10200</v>
          </cell>
        </row>
        <row r="165">
          <cell r="A165" t="str">
            <v>MAT,316</v>
          </cell>
          <cell r="B165" t="str">
            <v>Cable Cu # 8 AWG HF FR LS - (EXZHELLENT BW)</v>
          </cell>
          <cell r="C165" t="str">
            <v>M</v>
          </cell>
          <cell r="D165"/>
          <cell r="E165">
            <v>6950</v>
          </cell>
        </row>
        <row r="166">
          <cell r="A166" t="str">
            <v>MAT,317</v>
          </cell>
          <cell r="B166" t="str">
            <v>Cable Cu # 8 AWG THHN</v>
          </cell>
          <cell r="C166" t="str">
            <v>M</v>
          </cell>
          <cell r="D166"/>
          <cell r="E166">
            <v>6700</v>
          </cell>
        </row>
        <row r="167">
          <cell r="A167" t="str">
            <v>MAT,566</v>
          </cell>
          <cell r="B167" t="str">
            <v>Cable Cu # 8 HF FR LS</v>
          </cell>
          <cell r="C167" t="str">
            <v>M</v>
          </cell>
          <cell r="D167"/>
          <cell r="E167">
            <v>6950</v>
          </cell>
        </row>
        <row r="168">
          <cell r="A168" t="str">
            <v>MAT,616</v>
          </cell>
          <cell r="B168" t="str">
            <v>Cable Cu aislado # 12 AWG THHN/THWN</v>
          </cell>
          <cell r="C168" t="str">
            <v>M</v>
          </cell>
          <cell r="D168"/>
          <cell r="E168">
            <v>2600</v>
          </cell>
        </row>
        <row r="169">
          <cell r="A169" t="str">
            <v>MAT,816</v>
          </cell>
          <cell r="B169" t="str">
            <v>Cable Cu aislado # 12 HFFR LS</v>
          </cell>
          <cell r="C169" t="str">
            <v>M</v>
          </cell>
          <cell r="D169"/>
          <cell r="E169">
            <v>2900</v>
          </cell>
        </row>
        <row r="170">
          <cell r="A170" t="str">
            <v>MAT,613</v>
          </cell>
          <cell r="B170" t="str">
            <v>Cable Cu aislado # 12 HFFR LS</v>
          </cell>
          <cell r="C170" t="str">
            <v>M</v>
          </cell>
          <cell r="D170"/>
          <cell r="E170">
            <v>2900</v>
          </cell>
        </row>
        <row r="171">
          <cell r="A171" t="str">
            <v>MAT,576</v>
          </cell>
          <cell r="B171" t="str">
            <v>Cable Cu concéntrico 2 x 8 + 8</v>
          </cell>
          <cell r="C171" t="str">
            <v>M</v>
          </cell>
          <cell r="D171"/>
          <cell r="E171">
            <v>25150</v>
          </cell>
        </row>
        <row r="172">
          <cell r="A172" t="str">
            <v>MAT,319</v>
          </cell>
          <cell r="B172" t="str">
            <v>Cable Cu desnudo # 2 AWG</v>
          </cell>
          <cell r="C172" t="str">
            <v>M</v>
          </cell>
          <cell r="D172"/>
          <cell r="E172">
            <v>24300</v>
          </cell>
        </row>
        <row r="173">
          <cell r="A173" t="str">
            <v>MAT,320</v>
          </cell>
          <cell r="B173" t="str">
            <v>Cable Cu desnudo # 2/0 AWG</v>
          </cell>
          <cell r="C173" t="str">
            <v>M</v>
          </cell>
          <cell r="D173"/>
          <cell r="E173">
            <v>45950</v>
          </cell>
        </row>
        <row r="174">
          <cell r="A174" t="str">
            <v>MAT,321</v>
          </cell>
          <cell r="B174" t="str">
            <v>Cable Cu desnudo # 8 AWG</v>
          </cell>
          <cell r="C174" t="str">
            <v>Un</v>
          </cell>
          <cell r="D174"/>
          <cell r="E174">
            <v>5700</v>
          </cell>
        </row>
        <row r="175">
          <cell r="A175" t="str">
            <v>MAT,596</v>
          </cell>
          <cell r="B175" t="str">
            <v>Cable Cu desnudo 1/0</v>
          </cell>
          <cell r="C175" t="str">
            <v>M</v>
          </cell>
          <cell r="D175"/>
          <cell r="E175">
            <v>37750</v>
          </cell>
        </row>
        <row r="176">
          <cell r="A176" t="str">
            <v>MAT,325</v>
          </cell>
          <cell r="B176" t="str">
            <v>Cable encauchetado 3 x 16 AWG</v>
          </cell>
          <cell r="C176" t="str">
            <v>M</v>
          </cell>
          <cell r="D176"/>
          <cell r="E176">
            <v>4900</v>
          </cell>
        </row>
        <row r="177">
          <cell r="A177" t="str">
            <v>MAT,327</v>
          </cell>
          <cell r="B177" t="str">
            <v>Cable encauchetado 4 x 14 AWG</v>
          </cell>
          <cell r="C177" t="str">
            <v>M</v>
          </cell>
          <cell r="D177"/>
          <cell r="E177">
            <v>9000</v>
          </cell>
        </row>
        <row r="178">
          <cell r="A178" t="str">
            <v>MAT,331</v>
          </cell>
          <cell r="B178" t="str">
            <v>Cable encauchetado 4 x 16 AWG</v>
          </cell>
          <cell r="C178" t="str">
            <v>M</v>
          </cell>
          <cell r="D178"/>
          <cell r="E178">
            <v>6000</v>
          </cell>
        </row>
        <row r="179">
          <cell r="A179" t="str">
            <v>MAT,353</v>
          </cell>
          <cell r="B179" t="str">
            <v>Cable encauchetado de cobre ST-C 3 x 12 AWG</v>
          </cell>
          <cell r="C179" t="str">
            <v>M</v>
          </cell>
          <cell r="D179"/>
          <cell r="E179">
            <v>10850</v>
          </cell>
        </row>
        <row r="180">
          <cell r="A180" t="str">
            <v>MAT,332</v>
          </cell>
          <cell r="B180" t="str">
            <v>Cable tera 2PR/MC5S 3 m azul (patch cord)</v>
          </cell>
          <cell r="C180" t="str">
            <v>Un</v>
          </cell>
          <cell r="D180"/>
          <cell r="E180">
            <v>22375</v>
          </cell>
        </row>
        <row r="181">
          <cell r="A181" t="str">
            <v>MAT,335</v>
          </cell>
          <cell r="B181" t="str">
            <v>Cable UTP categoría 6A, LEVITON o similar</v>
          </cell>
          <cell r="C181" t="str">
            <v>M</v>
          </cell>
          <cell r="D181"/>
          <cell r="E181">
            <v>2530</v>
          </cell>
        </row>
        <row r="182">
          <cell r="A182" t="str">
            <v>MAT,617</v>
          </cell>
          <cell r="B182" t="str">
            <v>Caja 2 x 4 metálica galvanizada</v>
          </cell>
          <cell r="C182" t="str">
            <v>Un</v>
          </cell>
          <cell r="D182"/>
          <cell r="E182">
            <v>1890</v>
          </cell>
        </row>
        <row r="183">
          <cell r="A183" t="str">
            <v>MAT,354</v>
          </cell>
          <cell r="B183" t="str">
            <v>Caja de paso de 30 x 30 x 20 cm C 16</v>
          </cell>
          <cell r="C183" t="str">
            <v>Un</v>
          </cell>
          <cell r="D183"/>
          <cell r="E183">
            <v>73800</v>
          </cell>
        </row>
        <row r="184">
          <cell r="A184" t="str">
            <v>MAT,365</v>
          </cell>
          <cell r="B184" t="str">
            <v>Caja galvanizada de 2" x 4" certificada RETIE</v>
          </cell>
          <cell r="C184" t="str">
            <v>Un</v>
          </cell>
          <cell r="D184"/>
          <cell r="E184">
            <v>2100</v>
          </cell>
        </row>
        <row r="185">
          <cell r="A185" t="str">
            <v>MAT,366</v>
          </cell>
          <cell r="B185" t="str">
            <v>Caja para interruptor industrial</v>
          </cell>
          <cell r="C185" t="str">
            <v>Un</v>
          </cell>
          <cell r="D185"/>
          <cell r="E185">
            <v>89250</v>
          </cell>
        </row>
        <row r="186">
          <cell r="A186" t="str">
            <v>MAT,367</v>
          </cell>
          <cell r="B186" t="str">
            <v>Caja para medidor de energía de ± 60 x 40 x 25 cm, en lámina CR calibre 18 o 20, con dispositivo de corte, de acuerdo a norma del OR</v>
          </cell>
          <cell r="C186" t="str">
            <v>Un</v>
          </cell>
          <cell r="D186"/>
          <cell r="E186">
            <v>234500</v>
          </cell>
        </row>
        <row r="187">
          <cell r="A187" t="str">
            <v>MAT,369</v>
          </cell>
          <cell r="B187" t="str">
            <v>Caja PVC 2" x 4"</v>
          </cell>
          <cell r="C187" t="str">
            <v>Un</v>
          </cell>
          <cell r="D187"/>
          <cell r="E187">
            <v>600</v>
          </cell>
        </row>
        <row r="188">
          <cell r="A188" t="str">
            <v>MAT,606</v>
          </cell>
          <cell r="B188" t="str">
            <v>Caja rawelt 2 x 4" 1 salida 3/4"</v>
          </cell>
          <cell r="C188" t="str">
            <v>Un</v>
          </cell>
          <cell r="D188"/>
          <cell r="E188">
            <v>11500</v>
          </cell>
        </row>
        <row r="189">
          <cell r="A189" t="str">
            <v>MAT,370</v>
          </cell>
          <cell r="B189" t="str">
            <v>Caja rawelt 280 aluminio 4" x 4" 3 salidas 3/4"</v>
          </cell>
          <cell r="C189" t="str">
            <v>Un</v>
          </cell>
          <cell r="D189"/>
          <cell r="E189">
            <v>19300</v>
          </cell>
        </row>
        <row r="190">
          <cell r="A190" t="str">
            <v>MAT,371</v>
          </cell>
          <cell r="B190" t="str">
            <v>Caja rawelt 282 aluminio 2" x 4" 3 salidas 3/4"</v>
          </cell>
          <cell r="C190" t="str">
            <v>Un</v>
          </cell>
          <cell r="D190"/>
          <cell r="E190">
            <v>19300</v>
          </cell>
        </row>
        <row r="191">
          <cell r="A191" t="str">
            <v>MAT,592</v>
          </cell>
          <cell r="B191" t="str">
            <v>Caja rawelt 4 x 4" 2 salidas 3/4"</v>
          </cell>
          <cell r="C191" t="str">
            <v>Un</v>
          </cell>
          <cell r="D191"/>
          <cell r="E191">
            <v>19300</v>
          </cell>
        </row>
        <row r="192">
          <cell r="A192" t="str">
            <v>MAT,061</v>
          </cell>
          <cell r="B192" t="str">
            <v>Calados de ± 19 x 19 x 10 cm en gres</v>
          </cell>
          <cell r="C192" t="str">
            <v>Un</v>
          </cell>
          <cell r="D192"/>
          <cell r="E192">
            <v>3400</v>
          </cell>
        </row>
        <row r="193">
          <cell r="A193" t="str">
            <v>MAT,555</v>
          </cell>
          <cell r="B193" t="str">
            <v>Calados en concreto ± 20 x 20 x 10 (25 un/m2)</v>
          </cell>
          <cell r="C193" t="str">
            <v>M2</v>
          </cell>
          <cell r="D193"/>
          <cell r="E193">
            <v>147836</v>
          </cell>
        </row>
        <row r="194">
          <cell r="A194" t="str">
            <v>MAT,372</v>
          </cell>
          <cell r="B194" t="str">
            <v>Calfos (fertilizante uso agrícola)</v>
          </cell>
          <cell r="C194" t="str">
            <v>Kg</v>
          </cell>
          <cell r="D194"/>
          <cell r="E194">
            <v>924</v>
          </cell>
        </row>
        <row r="195">
          <cell r="A195" t="str">
            <v>MAT,373</v>
          </cell>
          <cell r="B195" t="str">
            <v>Camilla para transformador ¼" x 2.5 m</v>
          </cell>
          <cell r="C195" t="str">
            <v>Un</v>
          </cell>
          <cell r="D195"/>
          <cell r="E195">
            <v>1354000</v>
          </cell>
        </row>
        <row r="196">
          <cell r="A196" t="str">
            <v>MAT,522</v>
          </cell>
          <cell r="B196" t="str">
            <v>Canal en lámina galvanizada calibre 24</v>
          </cell>
          <cell r="C196" t="str">
            <v>M</v>
          </cell>
          <cell r="D196"/>
          <cell r="E196">
            <v>15000</v>
          </cell>
        </row>
        <row r="197">
          <cell r="A197" t="str">
            <v>MAT,440</v>
          </cell>
          <cell r="B197" t="str">
            <v>Riel Channel 4X2 X 3.00 mts Troquelado C78T60 1 58 X 78 CAL 16</v>
          </cell>
          <cell r="C197" t="str">
            <v>M</v>
          </cell>
          <cell r="D197"/>
          <cell r="E197">
            <v>7900</v>
          </cell>
        </row>
        <row r="198">
          <cell r="A198" t="str">
            <v>MAT,063</v>
          </cell>
          <cell r="B198" t="str">
            <v>Canal PVC (tipo Amazonas)</v>
          </cell>
          <cell r="C198" t="str">
            <v>M</v>
          </cell>
          <cell r="D198"/>
          <cell r="E198">
            <v>22800</v>
          </cell>
        </row>
        <row r="199">
          <cell r="A199" t="str">
            <v>MAT,062</v>
          </cell>
          <cell r="B199" t="str">
            <v>Cañabrava inmunizada y limpia vara de 3 m</v>
          </cell>
          <cell r="C199" t="str">
            <v>Un</v>
          </cell>
          <cell r="D199"/>
          <cell r="E199">
            <v>6600</v>
          </cell>
        </row>
        <row r="200">
          <cell r="A200" t="str">
            <v>MAT,064</v>
          </cell>
          <cell r="B200" t="str">
            <v>Capa en PVC para adulto contra lluvia</v>
          </cell>
          <cell r="C200" t="str">
            <v>Un</v>
          </cell>
          <cell r="D200"/>
          <cell r="E200">
            <v>34900</v>
          </cell>
        </row>
        <row r="201">
          <cell r="A201" t="str">
            <v>MAT,378</v>
          </cell>
          <cell r="B201" t="str">
            <v>Capacete 4" tubería IMC</v>
          </cell>
          <cell r="C201" t="str">
            <v>Un</v>
          </cell>
          <cell r="D201"/>
          <cell r="E201">
            <v>62700</v>
          </cell>
        </row>
        <row r="202">
          <cell r="A202" t="str">
            <v>MAT,572</v>
          </cell>
          <cell r="B202" t="str">
            <v>Capacete metálico 1" EMT</v>
          </cell>
          <cell r="C202" t="str">
            <v>Un</v>
          </cell>
          <cell r="D202"/>
          <cell r="E202">
            <v>4050</v>
          </cell>
        </row>
        <row r="203">
          <cell r="A203" t="str">
            <v>MAT,655</v>
          </cell>
          <cell r="B203" t="str">
            <v>Captafaro plástico vial con reflectivo bidireccional</v>
          </cell>
          <cell r="C203" t="str">
            <v>Un</v>
          </cell>
          <cell r="D203"/>
          <cell r="E203">
            <v>10809</v>
          </cell>
        </row>
        <row r="204">
          <cell r="A204" t="str">
            <v>MAT,065</v>
          </cell>
          <cell r="B204" t="str">
            <v>Carburo (cal hidratada para blanquear)</v>
          </cell>
          <cell r="C204" t="str">
            <v>Kg</v>
          </cell>
          <cell r="D204"/>
          <cell r="E204">
            <v>1990</v>
          </cell>
        </row>
        <row r="205">
          <cell r="A205" t="str">
            <v>MAT,066</v>
          </cell>
          <cell r="B205" t="str">
            <v>Casco construcción cremallera colores blanco, rojo, amarillo, azul, dieléctrico</v>
          </cell>
          <cell r="C205" t="str">
            <v>Un</v>
          </cell>
          <cell r="D205"/>
          <cell r="E205">
            <v>31900</v>
          </cell>
        </row>
        <row r="206">
          <cell r="A206" t="str">
            <v>MAT,520</v>
          </cell>
          <cell r="B206" t="str">
            <v>Casetón perdido icopor 50/50 de 1 x 1 x 0.20 m</v>
          </cell>
          <cell r="C206" t="str">
            <v>M2</v>
          </cell>
          <cell r="D206"/>
          <cell r="E206">
            <v>19990</v>
          </cell>
        </row>
        <row r="207">
          <cell r="A207" t="str">
            <v>MAT,525</v>
          </cell>
          <cell r="B207" t="str">
            <v>Casetón o bovedilla perdido de poliestireno de 1 x 1 x 0,30 m</v>
          </cell>
          <cell r="C207" t="str">
            <v>M2</v>
          </cell>
          <cell r="D207"/>
          <cell r="E207">
            <v>29985</v>
          </cell>
        </row>
        <row r="208">
          <cell r="A208" t="str">
            <v>MAT,546</v>
          </cell>
          <cell r="B208" t="str">
            <v>Casetón o bovedilla perdido de poliestireno de 1 x 1 x 0,35 m</v>
          </cell>
          <cell r="C208" t="str">
            <v>M2</v>
          </cell>
          <cell r="D208"/>
          <cell r="E208">
            <v>34982.5</v>
          </cell>
        </row>
        <row r="209">
          <cell r="A209" t="str">
            <v>MAT,547</v>
          </cell>
          <cell r="B209" t="str">
            <v>Casetón o bovedilla perdido de poliestireno de 1 x 1 x 0,40 m</v>
          </cell>
          <cell r="C209" t="str">
            <v>M2</v>
          </cell>
          <cell r="D209"/>
          <cell r="E209">
            <v>39980</v>
          </cell>
        </row>
        <row r="210">
          <cell r="A210" t="str">
            <v>MAT,067</v>
          </cell>
          <cell r="B210" t="str">
            <v>Cemento blanco</v>
          </cell>
          <cell r="C210" t="str">
            <v>Kg</v>
          </cell>
          <cell r="D210"/>
          <cell r="E210">
            <v>1675</v>
          </cell>
        </row>
        <row r="211">
          <cell r="A211" t="str">
            <v>MAT,823</v>
          </cell>
          <cell r="B211" t="str">
            <v>Cemento demoledor no explosivo</v>
          </cell>
          <cell r="C211" t="str">
            <v>Kg</v>
          </cell>
          <cell r="D211"/>
          <cell r="E211">
            <v>5000</v>
          </cell>
        </row>
        <row r="212">
          <cell r="A212" t="str">
            <v>MAT,068</v>
          </cell>
          <cell r="B212" t="str">
            <v>Cemento gris saco por 50 kilos</v>
          </cell>
          <cell r="C212" t="str">
            <v>Sc</v>
          </cell>
          <cell r="D212"/>
          <cell r="E212">
            <v>32900</v>
          </cell>
        </row>
        <row r="213">
          <cell r="A213" t="str">
            <v>MAT,069</v>
          </cell>
          <cell r="B213" t="str">
            <v>Cepas, macollas o matas de pasto</v>
          </cell>
          <cell r="C213" t="str">
            <v>Lb</v>
          </cell>
          <cell r="D213"/>
          <cell r="E213">
            <v>34900</v>
          </cell>
        </row>
        <row r="214">
          <cell r="A214" t="str">
            <v>MAT,665</v>
          </cell>
          <cell r="B214" t="str">
            <v>Cepillera en polímero de alta ingeniería cromada y plástica, incluye vaso tipo Nilo</v>
          </cell>
          <cell r="C214" t="str">
            <v>Un</v>
          </cell>
          <cell r="D214"/>
          <cell r="E214">
            <v>24900</v>
          </cell>
        </row>
        <row r="215">
          <cell r="A215" t="str">
            <v>MAT,070</v>
          </cell>
          <cell r="B215" t="str">
            <v>Cera para pisos emulsionada, biodegradable y antideslizante</v>
          </cell>
          <cell r="C215" t="str">
            <v>Lt</v>
          </cell>
          <cell r="D215"/>
          <cell r="E215">
            <v>3190</v>
          </cell>
        </row>
        <row r="216">
          <cell r="A216" t="str">
            <v>MAT,071</v>
          </cell>
          <cell r="B216" t="str">
            <v>Cerámica blanca de 1a de 20,5 x 20,5 cm tipo Egeo</v>
          </cell>
          <cell r="C216" t="str">
            <v>M2</v>
          </cell>
          <cell r="D216"/>
          <cell r="E216">
            <v>39900</v>
          </cell>
        </row>
        <row r="217">
          <cell r="A217" t="str">
            <v>MAT,074</v>
          </cell>
          <cell r="B217" t="str">
            <v>Cerámica de 1a de 20 x 20 cm tipo Ecocerámica</v>
          </cell>
          <cell r="C217" t="str">
            <v>M2</v>
          </cell>
          <cell r="D217"/>
          <cell r="E217">
            <v>33898.86363636364</v>
          </cell>
        </row>
        <row r="218">
          <cell r="A218" t="str">
            <v>MAT,075</v>
          </cell>
          <cell r="B218" t="str">
            <v>Cerámica de 1a de 50 x 50 cm tipo Mangle Euro-cerámica o similar</v>
          </cell>
          <cell r="C218" t="str">
            <v>M2</v>
          </cell>
          <cell r="D218"/>
          <cell r="E218">
            <v>20400</v>
          </cell>
        </row>
        <row r="219">
          <cell r="A219" t="str">
            <v>MAT,076</v>
          </cell>
          <cell r="B219" t="str">
            <v>Cerámica de 1a tráfico 4 de 50 x 50 cm tipo Terranova exteriores</v>
          </cell>
          <cell r="C219" t="str">
            <v>M2</v>
          </cell>
          <cell r="D219"/>
          <cell r="E219">
            <v>39999</v>
          </cell>
        </row>
        <row r="220">
          <cell r="A220" t="str">
            <v>MAT,072</v>
          </cell>
          <cell r="B220" t="str">
            <v>Cerámica pared Adriático Aguamarina de 20,5 20,5 cm o similar</v>
          </cell>
          <cell r="C220" t="str">
            <v>M2</v>
          </cell>
          <cell r="D220"/>
          <cell r="E220">
            <v>33100</v>
          </cell>
        </row>
        <row r="221">
          <cell r="A221" t="str">
            <v>MAT,077</v>
          </cell>
          <cell r="B221" t="str">
            <v>Cerámica tipo Antique 45 x 45 cm</v>
          </cell>
          <cell r="C221" t="str">
            <v>M2</v>
          </cell>
          <cell r="D221"/>
          <cell r="E221">
            <v>48451</v>
          </cell>
        </row>
        <row r="222">
          <cell r="A222" t="str">
            <v>MAT,078</v>
          </cell>
          <cell r="B222" t="str">
            <v>Cerámica tipo Terrazo de 30 x 30 cm crema</v>
          </cell>
          <cell r="C222" t="str">
            <v>M2</v>
          </cell>
          <cell r="D222"/>
          <cell r="E222">
            <v>78600</v>
          </cell>
        </row>
        <row r="223">
          <cell r="A223" t="str">
            <v>MAT,079</v>
          </cell>
          <cell r="B223" t="str">
            <v>Cercha metálica 5 - 12 m, incluye anticorrosivo</v>
          </cell>
          <cell r="C223" t="str">
            <v>M</v>
          </cell>
          <cell r="D223"/>
          <cell r="E223">
            <v>137535</v>
          </cell>
        </row>
        <row r="224">
          <cell r="A224" t="str">
            <v>MAT,780</v>
          </cell>
          <cell r="B224" t="str">
            <v>Certificación categoría 6A salida voz y datos por punto</v>
          </cell>
          <cell r="C224" t="str">
            <v>Un</v>
          </cell>
          <cell r="D224"/>
          <cell r="E224">
            <v>8000</v>
          </cell>
        </row>
        <row r="225">
          <cell r="A225" t="str">
            <v>MAT,080</v>
          </cell>
          <cell r="B225" t="str">
            <v>Chaleco fluorescente con cinta reflectiva para obras</v>
          </cell>
          <cell r="C225" t="str">
            <v>Un</v>
          </cell>
          <cell r="D225"/>
          <cell r="E225">
            <v>24325</v>
          </cell>
        </row>
        <row r="226">
          <cell r="A226" t="str">
            <v>MAT,081</v>
          </cell>
          <cell r="B226" t="str">
            <v>Chapa de bola fina de cromo mate Schlage sencilla o similar para alcoba</v>
          </cell>
          <cell r="C226" t="str">
            <v>Un</v>
          </cell>
          <cell r="D226"/>
          <cell r="E226">
            <v>66900</v>
          </cell>
        </row>
        <row r="227">
          <cell r="A227" t="str">
            <v>MAT,073</v>
          </cell>
          <cell r="B227" t="str">
            <v>Chapa Gato o similar tubular de manija mate</v>
          </cell>
          <cell r="C227" t="str">
            <v>Un</v>
          </cell>
          <cell r="D227"/>
          <cell r="E227">
            <v>78900</v>
          </cell>
        </row>
        <row r="228">
          <cell r="A228" t="str">
            <v>MAT,082</v>
          </cell>
          <cell r="B228" t="str">
            <v>Chapa Yale o similar para portón 70 mm llave multipunto</v>
          </cell>
          <cell r="C228" t="str">
            <v>Un</v>
          </cell>
          <cell r="D228"/>
          <cell r="E228">
            <v>199900</v>
          </cell>
        </row>
        <row r="229">
          <cell r="A229" t="str">
            <v>MAT,647</v>
          </cell>
          <cell r="B229" t="str">
            <v>Cheque de ½" en bronce fundido</v>
          </cell>
          <cell r="C229" t="str">
            <v>Un</v>
          </cell>
          <cell r="D229"/>
          <cell r="E229">
            <v>20900</v>
          </cell>
        </row>
        <row r="230">
          <cell r="A230" t="str">
            <v>MAT,649</v>
          </cell>
          <cell r="B230" t="str">
            <v>Cheque de 1 ½" en bronce fundido</v>
          </cell>
          <cell r="C230" t="str">
            <v>Un</v>
          </cell>
          <cell r="D230"/>
          <cell r="E230">
            <v>374900</v>
          </cell>
        </row>
        <row r="231">
          <cell r="A231" t="str">
            <v>MAT,648</v>
          </cell>
          <cell r="B231" t="str">
            <v>Cheque de 1" en bronce fundido</v>
          </cell>
          <cell r="C231" t="str">
            <v>Un</v>
          </cell>
          <cell r="D231"/>
          <cell r="E231">
            <v>129900</v>
          </cell>
        </row>
        <row r="232">
          <cell r="A232" t="str">
            <v>MAT,644</v>
          </cell>
          <cell r="B232" t="str">
            <v>Cheque de 3/4" en bronce fundido</v>
          </cell>
          <cell r="C232" t="str">
            <v>Un</v>
          </cell>
          <cell r="D232"/>
          <cell r="E232">
            <v>57900</v>
          </cell>
        </row>
        <row r="233">
          <cell r="A233" t="str">
            <v>MAT,091</v>
          </cell>
          <cell r="B233" t="str">
            <v>Cinta aislante SCOTCH o similar 33 19 mm x 20 m</v>
          </cell>
          <cell r="C233" t="str">
            <v>Rll</v>
          </cell>
          <cell r="D233"/>
          <cell r="E233">
            <v>28050</v>
          </cell>
        </row>
        <row r="234">
          <cell r="A234" t="str">
            <v>MAT,092</v>
          </cell>
          <cell r="B234" t="str">
            <v>Cinta antideslizante de 24 o 25 mm</v>
          </cell>
          <cell r="C234" t="str">
            <v>M</v>
          </cell>
          <cell r="D234"/>
          <cell r="E234">
            <v>3993</v>
          </cell>
        </row>
        <row r="235">
          <cell r="A235" t="str">
            <v>MAT,093</v>
          </cell>
          <cell r="B235" t="str">
            <v>Cinta bandit 3/4" rollo x 30 m</v>
          </cell>
          <cell r="C235" t="str">
            <v>M</v>
          </cell>
          <cell r="D235"/>
          <cell r="E235">
            <v>3730</v>
          </cell>
        </row>
        <row r="236">
          <cell r="A236" t="str">
            <v>MAT,396</v>
          </cell>
          <cell r="B236" t="str">
            <v>Cinta bandit 5/8"</v>
          </cell>
          <cell r="C236" t="str">
            <v>M</v>
          </cell>
          <cell r="D236"/>
          <cell r="E236">
            <v>4033</v>
          </cell>
        </row>
        <row r="237">
          <cell r="A237" t="str">
            <v>MAT,094</v>
          </cell>
          <cell r="B237" t="str">
            <v>Cinta de papel para pared de yeso</v>
          </cell>
          <cell r="C237" t="str">
            <v>M</v>
          </cell>
          <cell r="D237"/>
          <cell r="E237">
            <v>132</v>
          </cell>
        </row>
        <row r="238">
          <cell r="A238" t="str">
            <v>MAT,095</v>
          </cell>
          <cell r="B238" t="str">
            <v>Cinta de señalización</v>
          </cell>
          <cell r="C238" t="str">
            <v>M</v>
          </cell>
          <cell r="D238"/>
          <cell r="E238">
            <v>68</v>
          </cell>
        </row>
        <row r="239">
          <cell r="A239" t="str">
            <v>MAT,096</v>
          </cell>
          <cell r="B239" t="str">
            <v>Cinta de teflón de 3/4" 10 m</v>
          </cell>
          <cell r="C239" t="str">
            <v>Un</v>
          </cell>
          <cell r="D239"/>
          <cell r="E239">
            <v>290</v>
          </cell>
        </row>
        <row r="240">
          <cell r="A240" t="str">
            <v>MAT,098</v>
          </cell>
          <cell r="B240" t="str">
            <v>Cinta PVC V - 10</v>
          </cell>
          <cell r="C240" t="str">
            <v>M</v>
          </cell>
          <cell r="D240"/>
          <cell r="E240">
            <v>30697</v>
          </cell>
        </row>
        <row r="241">
          <cell r="A241" t="str">
            <v>MAT,099</v>
          </cell>
          <cell r="B241" t="str">
            <v>Cinta PVC V - 15</v>
          </cell>
          <cell r="C241" t="str">
            <v>M</v>
          </cell>
          <cell r="D241"/>
          <cell r="E241">
            <v>54630</v>
          </cell>
        </row>
        <row r="242">
          <cell r="A242" t="str">
            <v>MAT,556</v>
          </cell>
          <cell r="B242" t="str">
            <v>Claraboya de fibrocemento Nº 6 l = 1,690 a = 0,873 m</v>
          </cell>
          <cell r="C242" t="str">
            <v>Un</v>
          </cell>
          <cell r="D242"/>
          <cell r="E242">
            <v>79900</v>
          </cell>
        </row>
        <row r="243">
          <cell r="A243" t="str">
            <v>MAT,399</v>
          </cell>
          <cell r="B243" t="str">
            <v>Clavija industrial 3 F + N + T 63A</v>
          </cell>
          <cell r="C243" t="str">
            <v>Un</v>
          </cell>
          <cell r="D243"/>
          <cell r="E243">
            <v>188900</v>
          </cell>
        </row>
        <row r="244">
          <cell r="A244" t="str">
            <v>MAT,400</v>
          </cell>
          <cell r="B244" t="str">
            <v>Clavija plástica 15 A - 125 V con PT</v>
          </cell>
          <cell r="C244" t="str">
            <v>Un</v>
          </cell>
          <cell r="D244"/>
          <cell r="E244">
            <v>2300</v>
          </cell>
        </row>
        <row r="245">
          <cell r="A245" t="str">
            <v>MAT,786</v>
          </cell>
          <cell r="B245" t="str">
            <v>Clavo de acero para concreto de 1" (50 Un por caja)</v>
          </cell>
          <cell r="C245" t="str">
            <v>Un</v>
          </cell>
          <cell r="D245"/>
          <cell r="E245">
            <v>238</v>
          </cell>
        </row>
        <row r="246">
          <cell r="A246" t="str">
            <v>MAT,401</v>
          </cell>
          <cell r="B246" t="str">
            <v>Clip empalme FASTLOCK XL - GS galvanizado CONTINU o similar</v>
          </cell>
          <cell r="C246" t="str">
            <v>Un</v>
          </cell>
          <cell r="D246"/>
          <cell r="E246">
            <v>4147.6000000000004</v>
          </cell>
        </row>
        <row r="247">
          <cell r="A247" t="str">
            <v>MAT,100</v>
          </cell>
          <cell r="B247" t="str">
            <v>Codo de HG 2" x 90º</v>
          </cell>
          <cell r="C247" t="str">
            <v>Un</v>
          </cell>
          <cell r="D247"/>
          <cell r="E247">
            <v>19000</v>
          </cell>
        </row>
        <row r="248">
          <cell r="A248" t="str">
            <v>MAT,101</v>
          </cell>
          <cell r="B248" t="str">
            <v>Codo de HG 3" x 90º</v>
          </cell>
          <cell r="C248" t="str">
            <v>Un</v>
          </cell>
          <cell r="D248"/>
          <cell r="E248">
            <v>65000</v>
          </cell>
        </row>
        <row r="249">
          <cell r="A249" t="str">
            <v>MAT,102</v>
          </cell>
          <cell r="B249" t="str">
            <v>Collar de derivación unión platino de 2 ½" x ½"</v>
          </cell>
          <cell r="C249" t="str">
            <v>Un</v>
          </cell>
          <cell r="D249"/>
          <cell r="E249">
            <v>22905</v>
          </cell>
        </row>
        <row r="250">
          <cell r="A250" t="str">
            <v>MAT,103</v>
          </cell>
          <cell r="B250" t="str">
            <v>Collar de derivación unión platino de 2" x ½"</v>
          </cell>
          <cell r="C250" t="str">
            <v>Un</v>
          </cell>
          <cell r="D250"/>
          <cell r="E250">
            <v>12557</v>
          </cell>
        </row>
        <row r="251">
          <cell r="A251" t="str">
            <v>MAT,104</v>
          </cell>
          <cell r="B251" t="str">
            <v>Collar de derivación unión platino de 3" x ½"</v>
          </cell>
          <cell r="C251" t="str">
            <v>Un</v>
          </cell>
          <cell r="D251"/>
          <cell r="E251">
            <v>18616</v>
          </cell>
        </row>
        <row r="252">
          <cell r="A252" t="str">
            <v>MAT,105</v>
          </cell>
          <cell r="B252" t="str">
            <v>Collar de derivación unión platino de 4" x ½"</v>
          </cell>
          <cell r="C252" t="str">
            <v>Un</v>
          </cell>
          <cell r="D252"/>
          <cell r="E252">
            <v>21139</v>
          </cell>
        </row>
        <row r="253">
          <cell r="A253" t="str">
            <v>MAT,402</v>
          </cell>
          <cell r="B253" t="str">
            <v>Collarín doble 7" - 8"</v>
          </cell>
          <cell r="C253" t="str">
            <v>Un</v>
          </cell>
          <cell r="D253"/>
          <cell r="E253">
            <v>19550</v>
          </cell>
        </row>
        <row r="254">
          <cell r="A254" t="str">
            <v>MAT,403</v>
          </cell>
          <cell r="B254" t="str">
            <v>Collarín doble 8" - 9"</v>
          </cell>
          <cell r="C254" t="str">
            <v>Un</v>
          </cell>
          <cell r="D254"/>
          <cell r="E254">
            <v>20400</v>
          </cell>
        </row>
        <row r="255">
          <cell r="A255" t="str">
            <v>MAT,404</v>
          </cell>
          <cell r="B255" t="str">
            <v>Collarín sencillo 7" - 8"</v>
          </cell>
          <cell r="C255" t="str">
            <v>Un</v>
          </cell>
          <cell r="D255"/>
          <cell r="E255">
            <v>19750</v>
          </cell>
        </row>
        <row r="256">
          <cell r="A256" t="str">
            <v>MAT,717</v>
          </cell>
          <cell r="B256" t="str">
            <v>Color endurecedor para espolvorear todos los tonos</v>
          </cell>
          <cell r="C256" t="str">
            <v>Kg</v>
          </cell>
          <cell r="D256"/>
          <cell r="E256">
            <v>2700</v>
          </cell>
        </row>
        <row r="257">
          <cell r="A257" t="str">
            <v>MAT,106</v>
          </cell>
          <cell r="B257" t="str">
            <v>Columpio de 2 puestos pórtico en tubo de ± 1 ½" por 2.50 m, columpios en cadena y sillines en lona. Incluye anticorrosivo y pintura de esmalte. Altura = 1.8 m</v>
          </cell>
          <cell r="C257" t="str">
            <v>Un</v>
          </cell>
          <cell r="D257"/>
          <cell r="E257">
            <v>800000</v>
          </cell>
        </row>
        <row r="258">
          <cell r="A258" t="str">
            <v>MAT,107</v>
          </cell>
          <cell r="B258" t="str">
            <v>Columpio de 3 puestos pórtico en tubo de ± 1 ½" por 2.50 m, columpios en cadena y sillines en lona, incluye anticorrosivo y pintura de esmalte para exteriores. Altura = 1.8 m</v>
          </cell>
          <cell r="C258" t="str">
            <v>Un</v>
          </cell>
          <cell r="D258"/>
          <cell r="E258">
            <v>638000</v>
          </cell>
        </row>
        <row r="259">
          <cell r="A259" t="str">
            <v>MAT,408</v>
          </cell>
          <cell r="B259" t="str">
            <v>Compuesto sellante Sika Boom o similar x 250 cm3</v>
          </cell>
          <cell r="C259" t="str">
            <v>Tarro</v>
          </cell>
          <cell r="D259"/>
          <cell r="E259">
            <v>48660</v>
          </cell>
        </row>
        <row r="260">
          <cell r="A260" t="str">
            <v>MAT,363</v>
          </cell>
          <cell r="B260" t="str">
            <v>Concertina galvanizada d = 18" mínimo 31 espirales por rollo C 24</v>
          </cell>
          <cell r="C260" t="str">
            <v>M</v>
          </cell>
          <cell r="D260"/>
          <cell r="E260">
            <v>11750</v>
          </cell>
        </row>
        <row r="261">
          <cell r="A261" t="str">
            <v>MAT,506</v>
          </cell>
          <cell r="B261" t="str">
            <v>Concreto premezclado de 20,7 Mpa</v>
          </cell>
          <cell r="C261" t="str">
            <v>M3</v>
          </cell>
          <cell r="D261"/>
          <cell r="E261">
            <v>528309</v>
          </cell>
        </row>
        <row r="262">
          <cell r="A262" t="str">
            <v>MAT,501</v>
          </cell>
          <cell r="B262" t="str">
            <v>Concreto premezclado de 27,6 Mpa o MR 4,1 Mpa para pavimento</v>
          </cell>
          <cell r="C262" t="str">
            <v>M3</v>
          </cell>
          <cell r="D262"/>
          <cell r="E262">
            <v>661459</v>
          </cell>
        </row>
        <row r="263">
          <cell r="A263" t="str">
            <v>MAT,419</v>
          </cell>
          <cell r="B263" t="str">
            <v>Conduleta LB 1 ½"</v>
          </cell>
          <cell r="C263" t="str">
            <v>M</v>
          </cell>
          <cell r="D263"/>
          <cell r="E263">
            <v>23200</v>
          </cell>
        </row>
        <row r="264">
          <cell r="A264" t="str">
            <v>MAT,439</v>
          </cell>
          <cell r="B264" t="str">
            <v>Conduleta LB 2"</v>
          </cell>
          <cell r="C264" t="str">
            <v>M</v>
          </cell>
          <cell r="D264"/>
          <cell r="E264">
            <v>45650</v>
          </cell>
        </row>
        <row r="265">
          <cell r="A265" t="str">
            <v>MAT,457</v>
          </cell>
          <cell r="B265" t="str">
            <v>Conduleta rawelt LR 1"</v>
          </cell>
          <cell r="C265" t="str">
            <v>Un</v>
          </cell>
          <cell r="D265"/>
          <cell r="E265">
            <v>17948</v>
          </cell>
        </row>
        <row r="266">
          <cell r="A266" t="str">
            <v>MAT,498</v>
          </cell>
          <cell r="B266" t="str">
            <v>Conduleta rawelt LR 3/4"</v>
          </cell>
          <cell r="C266" t="str">
            <v>Un</v>
          </cell>
          <cell r="D266"/>
          <cell r="E266">
            <v>9150</v>
          </cell>
        </row>
        <row r="267">
          <cell r="A267" t="str">
            <v>MAT,502</v>
          </cell>
          <cell r="B267" t="str">
            <v>Conector 3M de resorte amarillo (2 - 3 # 14)</v>
          </cell>
          <cell r="C267" t="str">
            <v>Un</v>
          </cell>
          <cell r="D267"/>
          <cell r="E267">
            <v>1250</v>
          </cell>
        </row>
        <row r="268">
          <cell r="A268" t="str">
            <v>MAT,504</v>
          </cell>
          <cell r="B268" t="str">
            <v>Conector 3M de resorte rojo (2 - 5  # 12)</v>
          </cell>
          <cell r="C268" t="str">
            <v>Un</v>
          </cell>
          <cell r="D268"/>
          <cell r="E268">
            <v>1200</v>
          </cell>
        </row>
        <row r="269">
          <cell r="A269" t="str">
            <v>MAT,514</v>
          </cell>
          <cell r="B269" t="str">
            <v>Conector a tierra bandeja tipo canasta cablofit</v>
          </cell>
          <cell r="C269" t="str">
            <v>Un</v>
          </cell>
          <cell r="D269"/>
          <cell r="E269">
            <v>18450</v>
          </cell>
        </row>
        <row r="270">
          <cell r="A270" t="str">
            <v>MAT,518</v>
          </cell>
          <cell r="B270" t="str">
            <v>Conector curvo coraza liquid tight 1"</v>
          </cell>
          <cell r="C270" t="str">
            <v>Un</v>
          </cell>
          <cell r="D270"/>
          <cell r="E270">
            <v>7300</v>
          </cell>
        </row>
        <row r="271">
          <cell r="A271" t="str">
            <v>MAT,577</v>
          </cell>
          <cell r="B271" t="str">
            <v>Conector de perforación de aislamiento JZ2-95</v>
          </cell>
          <cell r="C271" t="str">
            <v>Un</v>
          </cell>
          <cell r="D271"/>
          <cell r="E271">
            <v>19680</v>
          </cell>
        </row>
        <row r="272">
          <cell r="A272" t="str">
            <v>MAT,523</v>
          </cell>
          <cell r="B272" t="str">
            <v>Conector en cruz acero galvanizado RD 8 - 10</v>
          </cell>
          <cell r="C272" t="str">
            <v>Un</v>
          </cell>
          <cell r="D272"/>
          <cell r="E272">
            <v>29950</v>
          </cell>
        </row>
        <row r="273">
          <cell r="A273" t="str">
            <v>MAT,529</v>
          </cell>
          <cell r="B273" t="str">
            <v>Conector recto coraza liquid tight 3/4"</v>
          </cell>
          <cell r="C273" t="str">
            <v>Un</v>
          </cell>
          <cell r="D273"/>
          <cell r="E273">
            <v>7850</v>
          </cell>
        </row>
        <row r="274">
          <cell r="A274" t="str">
            <v>MAT,568</v>
          </cell>
          <cell r="B274" t="str">
            <v>Conector recto para coraza de 1", incluye tuerca y contratuerca</v>
          </cell>
          <cell r="C274" t="str">
            <v>Un</v>
          </cell>
          <cell r="D274"/>
          <cell r="E274">
            <v>4750</v>
          </cell>
        </row>
        <row r="275">
          <cell r="A275" t="str">
            <v>MAT,615</v>
          </cell>
          <cell r="B275" t="str">
            <v>Conector tipo resorte para cable Nº 14/12</v>
          </cell>
          <cell r="C275" t="str">
            <v>Un</v>
          </cell>
          <cell r="D275"/>
          <cell r="E275">
            <v>2350</v>
          </cell>
        </row>
        <row r="276">
          <cell r="A276" t="str">
            <v>MAT,109</v>
          </cell>
          <cell r="B276" t="str">
            <v>Conjunto desagüe flexible para lavadero de 1 ½" con canastillas</v>
          </cell>
          <cell r="C276" t="str">
            <v>Un</v>
          </cell>
          <cell r="D276"/>
          <cell r="E276">
            <v>37800</v>
          </cell>
        </row>
        <row r="277">
          <cell r="A277" t="str">
            <v>MAT,110</v>
          </cell>
          <cell r="B277" t="str">
            <v>Conjunto fijador de ala arandela</v>
          </cell>
          <cell r="C277" t="str">
            <v>Un</v>
          </cell>
          <cell r="D277"/>
          <cell r="E277">
            <v>379</v>
          </cell>
        </row>
        <row r="278">
          <cell r="A278" t="str">
            <v>MAT,111</v>
          </cell>
          <cell r="B278" t="str">
            <v>Conos viales de 70 cm Norma Invías Cap IV Cinta reflectiva</v>
          </cell>
          <cell r="C278" t="str">
            <v>Un</v>
          </cell>
          <cell r="D278"/>
          <cell r="E278">
            <v>74900</v>
          </cell>
        </row>
        <row r="279">
          <cell r="A279" t="str">
            <v>MAT,781</v>
          </cell>
          <cell r="B279" t="str">
            <v>Coraza metálica 3/4"</v>
          </cell>
          <cell r="C279" t="str">
            <v>M</v>
          </cell>
          <cell r="D279"/>
          <cell r="E279">
            <v>8745</v>
          </cell>
        </row>
        <row r="280">
          <cell r="A280" t="str">
            <v>MAT,569</v>
          </cell>
          <cell r="B280" t="str">
            <v>Coraza metálica Liquid Tight 1"</v>
          </cell>
          <cell r="C280" t="str">
            <v>M</v>
          </cell>
          <cell r="D280"/>
          <cell r="E280">
            <v>12495</v>
          </cell>
        </row>
        <row r="281">
          <cell r="A281" t="str">
            <v>MAT,113</v>
          </cell>
          <cell r="B281" t="str">
            <v>Correa metálica 4 - 8  m, incluye templete y anticorrosivo</v>
          </cell>
          <cell r="C281" t="str">
            <v>M</v>
          </cell>
          <cell r="D281"/>
          <cell r="E281">
            <v>76812</v>
          </cell>
        </row>
        <row r="282">
          <cell r="A282" t="str">
            <v>MAT,530</v>
          </cell>
          <cell r="B282" t="str">
            <v>Cortacircuitos 15 KV - 100 A</v>
          </cell>
          <cell r="C282" t="str">
            <v>Un</v>
          </cell>
          <cell r="D282"/>
          <cell r="E282">
            <v>176550</v>
          </cell>
        </row>
        <row r="283">
          <cell r="A283" t="str">
            <v>MAT,540</v>
          </cell>
          <cell r="B283" t="str">
            <v>Costal de fique de 0,70 x 0,50 m</v>
          </cell>
          <cell r="C283" t="str">
            <v>Un</v>
          </cell>
          <cell r="D283"/>
          <cell r="E283">
            <v>4300</v>
          </cell>
        </row>
        <row r="284">
          <cell r="A284" t="str">
            <v>MAT,114</v>
          </cell>
          <cell r="B284" t="str">
            <v>Cruces de HG 2"</v>
          </cell>
          <cell r="C284" t="str">
            <v>Un</v>
          </cell>
          <cell r="D284"/>
          <cell r="E284">
            <v>50575</v>
          </cell>
        </row>
        <row r="285">
          <cell r="A285" t="str">
            <v>MAT,115</v>
          </cell>
          <cell r="B285" t="str">
            <v>Cruces de HG 3"</v>
          </cell>
          <cell r="C285" t="str">
            <v>Un</v>
          </cell>
          <cell r="D285"/>
          <cell r="E285">
            <v>130900</v>
          </cell>
        </row>
        <row r="286">
          <cell r="A286" t="str">
            <v>MAT,545</v>
          </cell>
          <cell r="B286" t="str">
            <v>Cruceta metálica 2 ½" x 2 ½" x 3/16" x 2  m</v>
          </cell>
          <cell r="C286" t="str">
            <v>Un</v>
          </cell>
          <cell r="D286"/>
          <cell r="E286">
            <v>90726</v>
          </cell>
        </row>
        <row r="287">
          <cell r="A287" t="str">
            <v>MAT,548</v>
          </cell>
          <cell r="B287" t="str">
            <v>Cruceta metálica 3" x 3" x ¼" x 2.4 m</v>
          </cell>
          <cell r="C287" t="str">
            <v>Un</v>
          </cell>
          <cell r="D287"/>
          <cell r="E287">
            <v>182850</v>
          </cell>
        </row>
        <row r="288">
          <cell r="A288" t="str">
            <v>MAT,550</v>
          </cell>
          <cell r="B288" t="str">
            <v>Cruceta metálica 3" x 3" x ¼" x 6 m</v>
          </cell>
          <cell r="C288" t="str">
            <v>Un</v>
          </cell>
          <cell r="D288"/>
          <cell r="E288">
            <v>301681</v>
          </cell>
        </row>
        <row r="289">
          <cell r="A289" t="str">
            <v>MAT,784</v>
          </cell>
          <cell r="B289" t="str">
            <v>Cruceta plástica juntas 2 mm</v>
          </cell>
          <cell r="C289" t="str">
            <v>Un</v>
          </cell>
          <cell r="D289"/>
          <cell r="E289">
            <v>36</v>
          </cell>
        </row>
        <row r="290">
          <cell r="A290" t="str">
            <v>MAT,116</v>
          </cell>
          <cell r="B290" t="str">
            <v>Cuartón de sajo 2" x 4" x 2,9 m</v>
          </cell>
          <cell r="C290" t="str">
            <v>M</v>
          </cell>
          <cell r="D290"/>
          <cell r="E290">
            <v>6534</v>
          </cell>
        </row>
        <row r="291">
          <cell r="A291" t="str">
            <v>MAT,557</v>
          </cell>
          <cell r="B291" t="str">
            <v>Cubierta en acero inoxidable para mesón cocineta liso, incluye poceta, grifería, escurridor, canastilla y sifón de 1.50 m x 52 cm</v>
          </cell>
          <cell r="C291" t="str">
            <v>M</v>
          </cell>
          <cell r="D291"/>
          <cell r="E291">
            <v>620700</v>
          </cell>
        </row>
        <row r="292">
          <cell r="A292" t="str">
            <v>MAT,551</v>
          </cell>
          <cell r="B292" t="str">
            <v>Curva conduit EMT 1"</v>
          </cell>
          <cell r="C292" t="str">
            <v>Un</v>
          </cell>
          <cell r="D292"/>
          <cell r="E292">
            <v>3150</v>
          </cell>
        </row>
        <row r="293">
          <cell r="A293" t="str">
            <v>MAT,558</v>
          </cell>
          <cell r="B293" t="str">
            <v>Curva conduit EMT 3/4"</v>
          </cell>
          <cell r="C293" t="str">
            <v>Un</v>
          </cell>
          <cell r="D293"/>
          <cell r="E293">
            <v>2800</v>
          </cell>
        </row>
        <row r="294">
          <cell r="A294" t="str">
            <v>MAT,603</v>
          </cell>
          <cell r="B294" t="str">
            <v>Curva conduit IMC 1"</v>
          </cell>
          <cell r="C294" t="str">
            <v>Un</v>
          </cell>
          <cell r="D294"/>
          <cell r="E294">
            <v>10500</v>
          </cell>
        </row>
        <row r="295">
          <cell r="A295" t="str">
            <v>MAT,559</v>
          </cell>
          <cell r="B295" t="str">
            <v>Curva conduit PVC ½"</v>
          </cell>
          <cell r="C295" t="str">
            <v>Un</v>
          </cell>
          <cell r="D295"/>
          <cell r="E295">
            <v>1100</v>
          </cell>
        </row>
        <row r="296">
          <cell r="A296" t="str">
            <v>MAT,580</v>
          </cell>
          <cell r="B296" t="str">
            <v>Curva conduit PVC 3/4"</v>
          </cell>
          <cell r="C296" t="str">
            <v>Un</v>
          </cell>
          <cell r="D296"/>
          <cell r="E296">
            <v>1700</v>
          </cell>
        </row>
        <row r="297">
          <cell r="A297" t="str">
            <v>MAT,604</v>
          </cell>
          <cell r="B297" t="str">
            <v>Curva conduit PVC 4" - 90º</v>
          </cell>
          <cell r="C297" t="str">
            <v>Un</v>
          </cell>
          <cell r="D297"/>
          <cell r="E297">
            <v>37250</v>
          </cell>
        </row>
        <row r="298">
          <cell r="A298" t="str">
            <v>MAT,608</v>
          </cell>
          <cell r="B298" t="str">
            <v>Dado galvanizado 3" x 3" x ¼"</v>
          </cell>
          <cell r="C298" t="str">
            <v>Un</v>
          </cell>
          <cell r="D298"/>
          <cell r="E298">
            <v>17500</v>
          </cell>
        </row>
        <row r="299">
          <cell r="A299" t="str">
            <v>MAT,117</v>
          </cell>
          <cell r="B299" t="str">
            <v>Defensa metálica de 4,13 m galvanizada</v>
          </cell>
          <cell r="C299" t="str">
            <v>M</v>
          </cell>
          <cell r="D299"/>
          <cell r="E299">
            <v>172884.53</v>
          </cell>
        </row>
        <row r="300">
          <cell r="A300" t="str">
            <v>MAT,773</v>
          </cell>
          <cell r="B300" t="str">
            <v>Desmoldante de concreto para pisos neutro</v>
          </cell>
          <cell r="C300" t="str">
            <v>Kg</v>
          </cell>
          <cell r="D300"/>
          <cell r="E300">
            <v>9774</v>
          </cell>
        </row>
        <row r="301">
          <cell r="A301" t="str">
            <v>MAT,800</v>
          </cell>
          <cell r="B301" t="str">
            <v>Detergentes</v>
          </cell>
          <cell r="C301" t="str">
            <v>Kg</v>
          </cell>
          <cell r="D301"/>
          <cell r="E301">
            <v>10283.333333333334</v>
          </cell>
        </row>
        <row r="302">
          <cell r="A302" t="str">
            <v>MAT,119</v>
          </cell>
          <cell r="B302" t="str">
            <v>Dilatación de bronce</v>
          </cell>
          <cell r="C302" t="str">
            <v>M</v>
          </cell>
          <cell r="D302"/>
          <cell r="E302">
            <v>19960</v>
          </cell>
        </row>
        <row r="303">
          <cell r="A303" t="str">
            <v>MAT,120</v>
          </cell>
          <cell r="B303" t="str">
            <v>Dilatación para piso pared en PVC aleta de h = 9 mm ancho total 25 mm (2 m)</v>
          </cell>
          <cell r="C303" t="str">
            <v>M</v>
          </cell>
          <cell r="D303"/>
          <cell r="E303">
            <v>3950</v>
          </cell>
        </row>
        <row r="304">
          <cell r="A304" t="str">
            <v>MAT,121</v>
          </cell>
          <cell r="B304" t="str">
            <v>Dilatación Z 40 x 0.9 mm M dry Flex o similar (2 m)</v>
          </cell>
          <cell r="C304" t="str">
            <v>M</v>
          </cell>
          <cell r="D304"/>
          <cell r="E304">
            <v>3366</v>
          </cell>
        </row>
        <row r="305">
          <cell r="A305" t="str">
            <v>MAT,124</v>
          </cell>
          <cell r="B305" t="str">
            <v>Disolvente Pintutráfico Ref 121004 o similar</v>
          </cell>
          <cell r="C305" t="str">
            <v>Lt</v>
          </cell>
          <cell r="D305"/>
          <cell r="E305">
            <v>35713</v>
          </cell>
        </row>
        <row r="306">
          <cell r="A306" t="str">
            <v>MAT,668</v>
          </cell>
          <cell r="B306" t="str">
            <v>Dispensador de papel higiénico en acero inoxidable 304 con sistema antivandálico y llave, satinado Ø ≥ 26,5 cm, fijado a pared</v>
          </cell>
          <cell r="C306" t="str">
            <v>Un</v>
          </cell>
          <cell r="D306"/>
          <cell r="E306">
            <v>358500</v>
          </cell>
        </row>
        <row r="307">
          <cell r="A307" t="str">
            <v>MAT,570</v>
          </cell>
          <cell r="B307" t="str">
            <v>División metálica en lámina doble C 20 h = 1,60 m, incluye anticorrosivo</v>
          </cell>
          <cell r="C307" t="str">
            <v>M2</v>
          </cell>
          <cell r="D307"/>
          <cell r="E307">
            <v>363300</v>
          </cell>
        </row>
        <row r="308">
          <cell r="A308" t="str">
            <v>MAT,126</v>
          </cell>
          <cell r="B308" t="str">
            <v>División para baño en aluminio anoloc y acrílico</v>
          </cell>
          <cell r="C308" t="str">
            <v>M2</v>
          </cell>
          <cell r="D308"/>
          <cell r="E308">
            <v>160000</v>
          </cell>
        </row>
        <row r="309">
          <cell r="A309" t="str">
            <v>MAT,127</v>
          </cell>
          <cell r="B309" t="str">
            <v>Ducha anti vandálica regadera tubular corta, incluye grifería tipo push</v>
          </cell>
          <cell r="C309" t="str">
            <v>Un</v>
          </cell>
          <cell r="D309"/>
          <cell r="E309">
            <v>600600</v>
          </cell>
        </row>
        <row r="310">
          <cell r="A310" t="str">
            <v>MAT,634</v>
          </cell>
          <cell r="B310" t="str">
            <v>Ducto 4" planta emergencia</v>
          </cell>
          <cell r="C310" t="str">
            <v>M</v>
          </cell>
          <cell r="D310"/>
          <cell r="E310">
            <v>18650</v>
          </cell>
        </row>
        <row r="311">
          <cell r="A311" t="str">
            <v>MAT,637</v>
          </cell>
          <cell r="B311" t="str">
            <v>Ducto conduit PVC 4" DB / 6 m</v>
          </cell>
          <cell r="C311" t="str">
            <v>M</v>
          </cell>
          <cell r="D311"/>
          <cell r="E311">
            <v>20308</v>
          </cell>
        </row>
        <row r="312">
          <cell r="A312" t="str">
            <v>MAT,128</v>
          </cell>
          <cell r="B312" t="str">
            <v>Emulsión asfáltica CRL 57 (anteriormente CRL 1) rotura lenta</v>
          </cell>
          <cell r="C312" t="str">
            <v>Lt</v>
          </cell>
          <cell r="D312"/>
          <cell r="E312">
            <v>6587.3015873015875</v>
          </cell>
        </row>
        <row r="313">
          <cell r="A313" t="str">
            <v>MAT,822</v>
          </cell>
          <cell r="B313" t="str">
            <v>Emulsión asfáltica CRR 1 rotura rápida</v>
          </cell>
          <cell r="C313" t="str">
            <v>Lt</v>
          </cell>
          <cell r="D313"/>
          <cell r="E313">
            <v>5311.5</v>
          </cell>
        </row>
        <row r="314">
          <cell r="A314" t="str">
            <v>MAT,775</v>
          </cell>
          <cell r="B314" t="str">
            <v>Espejo de 4 mm biselado incluye accesorios de instalación</v>
          </cell>
          <cell r="C314" t="str">
            <v>M2</v>
          </cell>
          <cell r="D314"/>
          <cell r="E314">
            <v>249583.33333333334</v>
          </cell>
        </row>
        <row r="315">
          <cell r="A315" t="str">
            <v>MAT,131</v>
          </cell>
          <cell r="B315" t="str">
            <v>Estaca de guadua</v>
          </cell>
          <cell r="C315" t="str">
            <v>Un</v>
          </cell>
          <cell r="D315"/>
          <cell r="E315">
            <v>4900</v>
          </cell>
        </row>
        <row r="316">
          <cell r="A316" t="str">
            <v>MAT,132</v>
          </cell>
          <cell r="B316" t="str">
            <v>Esterilla (0,35 m x 4,00 m sin inmunizar)</v>
          </cell>
          <cell r="C316" t="str">
            <v>Un</v>
          </cell>
          <cell r="D316"/>
          <cell r="E316">
            <v>7000</v>
          </cell>
        </row>
        <row r="317">
          <cell r="A317" t="str">
            <v>MAT,133</v>
          </cell>
          <cell r="B317" t="str">
            <v>Estopa</v>
          </cell>
          <cell r="C317" t="str">
            <v>Kg</v>
          </cell>
          <cell r="D317"/>
          <cell r="E317">
            <v>22500</v>
          </cell>
        </row>
        <row r="318">
          <cell r="A318" t="str">
            <v>MAT,575</v>
          </cell>
          <cell r="B318" t="str">
            <v>Estructura metálica (perlines, platinas y pernos), incluye anticorrosivo y pintura, para la estructura de cubierta, trabajos en alturas, andamios certificados</v>
          </cell>
          <cell r="C318" t="str">
            <v>Kg</v>
          </cell>
          <cell r="D318"/>
          <cell r="E318">
            <v>45260</v>
          </cell>
        </row>
        <row r="319">
          <cell r="A319" t="str">
            <v>MAT,807</v>
          </cell>
          <cell r="B319" t="str">
            <v>Estructura metálica (poste), incluye anticorrosivo y pintura</v>
          </cell>
          <cell r="C319" t="str">
            <v>M</v>
          </cell>
          <cell r="D319"/>
          <cell r="E319">
            <v>64800</v>
          </cell>
        </row>
        <row r="320">
          <cell r="A320" t="str">
            <v>MAT,135</v>
          </cell>
          <cell r="B320" t="str">
            <v>Estucor listo o similar</v>
          </cell>
          <cell r="C320" t="str">
            <v>Kg</v>
          </cell>
          <cell r="D320"/>
          <cell r="E320">
            <v>1716</v>
          </cell>
        </row>
        <row r="321">
          <cell r="A321" t="str">
            <v>MAT,134</v>
          </cell>
          <cell r="B321" t="str">
            <v>Estucor o similar (25 Kg)</v>
          </cell>
          <cell r="C321" t="str">
            <v>Kg</v>
          </cell>
          <cell r="D321"/>
          <cell r="E321">
            <v>1556</v>
          </cell>
        </row>
        <row r="322">
          <cell r="A322" t="str">
            <v>MAT,646</v>
          </cell>
          <cell r="B322" t="str">
            <v>Favigel o similar x 25 Kg (hodrosolta para puesta a tierra)</v>
          </cell>
          <cell r="C322" t="str">
            <v>Bt</v>
          </cell>
          <cell r="D322"/>
          <cell r="E322">
            <v>194387</v>
          </cell>
        </row>
        <row r="323">
          <cell r="A323" t="str">
            <v>MAT,139</v>
          </cell>
          <cell r="B323" t="str">
            <v>Fertilizante</v>
          </cell>
          <cell r="C323" t="str">
            <v>Kg</v>
          </cell>
          <cell r="D323"/>
          <cell r="E323">
            <v>3494</v>
          </cell>
        </row>
        <row r="324">
          <cell r="A324" t="str">
            <v>MAT,141</v>
          </cell>
          <cell r="B324" t="str">
            <v>Fijador de cerámica (Pegacor o similar)</v>
          </cell>
          <cell r="C324" t="str">
            <v>Kg</v>
          </cell>
          <cell r="D324"/>
          <cell r="E324">
            <v>2852.9500000000003</v>
          </cell>
        </row>
        <row r="325">
          <cell r="A325" t="str">
            <v>MAT,142</v>
          </cell>
          <cell r="B325" t="str">
            <v>Filtro anaerobio de flujo ascendente en polietileno 100 % virgen, capacidad 2,000 lt</v>
          </cell>
          <cell r="C325" t="str">
            <v>Un</v>
          </cell>
          <cell r="D325"/>
          <cell r="E325">
            <v>4155900</v>
          </cell>
        </row>
        <row r="326">
          <cell r="A326" t="str">
            <v>MAT,143</v>
          </cell>
          <cell r="B326" t="str">
            <v>Filtro anaerobio de flujo ascendente en polietileno 100 % virgen, capacidad 4,000 lt</v>
          </cell>
          <cell r="C326" t="str">
            <v>Un</v>
          </cell>
          <cell r="D326"/>
          <cell r="E326">
            <v>7456900</v>
          </cell>
        </row>
        <row r="327">
          <cell r="A327" t="str">
            <v>MAT,144</v>
          </cell>
          <cell r="B327" t="str">
            <v>Flexocreto</v>
          </cell>
          <cell r="C327" t="str">
            <v>M2</v>
          </cell>
          <cell r="D327"/>
          <cell r="E327">
            <v>38170.439999999995</v>
          </cell>
        </row>
        <row r="328">
          <cell r="A328" t="str">
            <v>MAT,145</v>
          </cell>
          <cell r="B328" t="str">
            <v>Fluidificante para concretos</v>
          </cell>
          <cell r="C328" t="str">
            <v>Kg</v>
          </cell>
          <cell r="D328"/>
          <cell r="E328">
            <v>20276</v>
          </cell>
        </row>
        <row r="329">
          <cell r="A329" t="str">
            <v>MAT,122</v>
          </cell>
          <cell r="B329" t="str">
            <v>Fluxómetro de palanca de 3,5 lts para tasa</v>
          </cell>
          <cell r="C329" t="str">
            <v>Un</v>
          </cell>
          <cell r="D329"/>
          <cell r="E329">
            <v>1089400</v>
          </cell>
        </row>
        <row r="330">
          <cell r="A330" t="str">
            <v>MAT,147</v>
          </cell>
          <cell r="B330" t="str">
            <v>Fluxómetro para orinal de palanca plateado</v>
          </cell>
          <cell r="C330" t="str">
            <v>Un</v>
          </cell>
          <cell r="D330"/>
          <cell r="E330">
            <v>966300</v>
          </cell>
        </row>
        <row r="331">
          <cell r="A331" t="str">
            <v>MAT,238</v>
          </cell>
          <cell r="B331" t="str">
            <v>Fondo de junta de polietileno Φ = 3/8"</v>
          </cell>
          <cell r="C331" t="str">
            <v>M</v>
          </cell>
          <cell r="D331"/>
          <cell r="E331">
            <v>648</v>
          </cell>
        </row>
        <row r="332">
          <cell r="A332" t="str">
            <v>MAT,651</v>
          </cell>
          <cell r="B332" t="str">
            <v>Fotocelda 1000 W</v>
          </cell>
          <cell r="C332" t="str">
            <v>Un</v>
          </cell>
          <cell r="D332"/>
          <cell r="E332">
            <v>27814</v>
          </cell>
        </row>
        <row r="333">
          <cell r="A333" t="str">
            <v>MAT,150</v>
          </cell>
          <cell r="B333" t="str">
            <v>Frescasa sin papel 2 ½" x 15,24 x 1,22 m</v>
          </cell>
          <cell r="C333" t="str">
            <v>M2</v>
          </cell>
          <cell r="D333"/>
          <cell r="E333">
            <v>15056</v>
          </cell>
        </row>
        <row r="334">
          <cell r="A334" t="str">
            <v>MAT,656</v>
          </cell>
          <cell r="B334" t="str">
            <v>Fusible primario tipo H de 5 A - 13.2 KV</v>
          </cell>
          <cell r="C334" t="str">
            <v>Un</v>
          </cell>
          <cell r="D334"/>
          <cell r="E334">
            <v>6500</v>
          </cell>
        </row>
        <row r="335">
          <cell r="A335" t="str">
            <v>MAT,658</v>
          </cell>
          <cell r="B335" t="str">
            <v>Gabinete 4 medidores de energía trifilar</v>
          </cell>
          <cell r="C335" t="str">
            <v>Un</v>
          </cell>
          <cell r="D335"/>
          <cell r="E335">
            <v>504900</v>
          </cell>
        </row>
        <row r="336">
          <cell r="A336" t="str">
            <v>MAT,151</v>
          </cell>
          <cell r="B336" t="str">
            <v>Gabinete contra incendios completo tipo 3</v>
          </cell>
          <cell r="C336" t="str">
            <v>Un</v>
          </cell>
          <cell r="D336"/>
          <cell r="E336">
            <v>1250000</v>
          </cell>
        </row>
        <row r="337">
          <cell r="A337" t="str">
            <v>MAT,659</v>
          </cell>
          <cell r="B337" t="str">
            <v>Gabinete medidor indirecta instalación poste</v>
          </cell>
          <cell r="C337" t="str">
            <v>Un</v>
          </cell>
          <cell r="D337"/>
          <cell r="E337">
            <v>389000</v>
          </cell>
        </row>
        <row r="338">
          <cell r="A338" t="str">
            <v>MAT,152</v>
          </cell>
          <cell r="B338" t="str">
            <v>Ganchos para teja ondulada de fibrocemento</v>
          </cell>
          <cell r="C338" t="str">
            <v>Un</v>
          </cell>
          <cell r="D338"/>
          <cell r="E338">
            <v>868</v>
          </cell>
        </row>
        <row r="339">
          <cell r="A339" t="str">
            <v>MAT,153</v>
          </cell>
          <cell r="B339" t="str">
            <v>Gasolina</v>
          </cell>
          <cell r="C339" t="str">
            <v>Gl</v>
          </cell>
          <cell r="D339"/>
          <cell r="E339">
            <v>16241</v>
          </cell>
        </row>
        <row r="340">
          <cell r="A340" t="str">
            <v>MAT,810</v>
          </cell>
          <cell r="B340" t="str">
            <v>Geodrén circular 4" h = 2 m</v>
          </cell>
          <cell r="C340" t="str">
            <v>M</v>
          </cell>
          <cell r="D340"/>
          <cell r="E340">
            <v>128900</v>
          </cell>
        </row>
        <row r="341">
          <cell r="A341" t="str">
            <v>MAT,154</v>
          </cell>
          <cell r="B341" t="str">
            <v>Geodrén circular de 2 ½" l = 1 m</v>
          </cell>
          <cell r="C341" t="str">
            <v>M2</v>
          </cell>
          <cell r="D341"/>
          <cell r="E341">
            <v>100351</v>
          </cell>
        </row>
        <row r="342">
          <cell r="A342" t="str">
            <v>MAT,155</v>
          </cell>
          <cell r="B342" t="str">
            <v>Geodrén circular de 4" l = 1,00 m</v>
          </cell>
          <cell r="C342" t="str">
            <v>M2</v>
          </cell>
          <cell r="D342"/>
          <cell r="E342">
            <v>81806</v>
          </cell>
        </row>
        <row r="343">
          <cell r="A343" t="str">
            <v>MAT,156</v>
          </cell>
          <cell r="B343" t="str">
            <v>Geodrén circular de 6" l = 1,00 m</v>
          </cell>
          <cell r="C343" t="str">
            <v>M2</v>
          </cell>
          <cell r="D343"/>
          <cell r="E343">
            <v>103103</v>
          </cell>
        </row>
        <row r="344">
          <cell r="A344" t="str">
            <v>MAT,157</v>
          </cell>
          <cell r="B344" t="str">
            <v>Geodrén circular de 8" l = 1,00 m</v>
          </cell>
          <cell r="C344" t="str">
            <v>M2</v>
          </cell>
          <cell r="D344"/>
          <cell r="E344">
            <v>158315</v>
          </cell>
        </row>
        <row r="345">
          <cell r="A345" t="str">
            <v>MAT,158</v>
          </cell>
          <cell r="B345" t="str">
            <v>Geodrén planar l = 1,00 m</v>
          </cell>
          <cell r="C345" t="str">
            <v>M2</v>
          </cell>
          <cell r="D345"/>
          <cell r="E345">
            <v>32149</v>
          </cell>
        </row>
        <row r="346">
          <cell r="A346" t="str">
            <v>MAT,811</v>
          </cell>
          <cell r="B346" t="str">
            <v>Geodrén romadrain l = 1 m</v>
          </cell>
          <cell r="C346" t="str">
            <v>M</v>
          </cell>
          <cell r="D346"/>
          <cell r="E346">
            <v>51900</v>
          </cell>
        </row>
        <row r="347">
          <cell r="A347" t="str">
            <v>MAT,159</v>
          </cell>
          <cell r="B347" t="str">
            <v>Geomalla BX 1200</v>
          </cell>
          <cell r="C347" t="str">
            <v>M2</v>
          </cell>
          <cell r="D347"/>
          <cell r="E347">
            <v>9416</v>
          </cell>
        </row>
        <row r="348">
          <cell r="A348" t="str">
            <v>MAT,160</v>
          </cell>
          <cell r="B348" t="str">
            <v>Geotextil no tejido 1,600 a = 3,50 m</v>
          </cell>
          <cell r="C348" t="str">
            <v>M2</v>
          </cell>
          <cell r="D348"/>
          <cell r="E348">
            <v>2971</v>
          </cell>
        </row>
        <row r="349">
          <cell r="A349" t="str">
            <v>MAT,161</v>
          </cell>
          <cell r="B349" t="str">
            <v>Geotextil Repav 450</v>
          </cell>
          <cell r="C349" t="str">
            <v>M2</v>
          </cell>
          <cell r="D349"/>
          <cell r="E349">
            <v>2025</v>
          </cell>
        </row>
        <row r="350">
          <cell r="A350" t="str">
            <v>MAT,642</v>
          </cell>
          <cell r="B350" t="str">
            <v>Geotextil tejido 2.400 a = 3,85 m</v>
          </cell>
          <cell r="C350" t="str">
            <v>M2</v>
          </cell>
          <cell r="D350"/>
          <cell r="E350">
            <v>7727</v>
          </cell>
        </row>
        <row r="351">
          <cell r="A351" t="str">
            <v>MAT,086</v>
          </cell>
          <cell r="B351" t="str">
            <v>Gramoquín en concreto de 5 Mpa de 30 x 30 x 8 cm (11.11 un/m2)</v>
          </cell>
          <cell r="C351" t="str">
            <v>M2</v>
          </cell>
          <cell r="D351"/>
          <cell r="E351">
            <v>51128.219999999994</v>
          </cell>
        </row>
        <row r="352">
          <cell r="A352" t="str">
            <v>MAT,085</v>
          </cell>
          <cell r="B352" t="str">
            <v>Gramoquín en concreto de 5 Mpa de 60 x 40 x 8 cm (4.17 un/m2)</v>
          </cell>
          <cell r="C352" t="str">
            <v>M2</v>
          </cell>
          <cell r="D352"/>
          <cell r="E352">
            <v>98224.349999999991</v>
          </cell>
        </row>
        <row r="353">
          <cell r="A353" t="str">
            <v>MAT,163</v>
          </cell>
          <cell r="B353" t="str">
            <v>Graniplast (cuñete de 30 kg tipo Pintuco)</v>
          </cell>
          <cell r="C353" t="str">
            <v>Cñ</v>
          </cell>
          <cell r="D353"/>
          <cell r="E353">
            <v>157900</v>
          </cell>
        </row>
        <row r="354">
          <cell r="A354" t="str">
            <v>MAT,645</v>
          </cell>
          <cell r="B354" t="str">
            <v>Granito N° 1, 2, 3 por 25 Kg</v>
          </cell>
          <cell r="C354" t="str">
            <v>Sc</v>
          </cell>
          <cell r="D354"/>
          <cell r="E354">
            <v>30232.5</v>
          </cell>
        </row>
        <row r="355">
          <cell r="A355" t="str">
            <v>MAT,660</v>
          </cell>
          <cell r="B355" t="str">
            <v>Grapa bandit 5/8"</v>
          </cell>
          <cell r="C355" t="str">
            <v>Un</v>
          </cell>
          <cell r="D355"/>
          <cell r="E355">
            <v>750</v>
          </cell>
        </row>
        <row r="356">
          <cell r="A356" t="str">
            <v>MAT,590</v>
          </cell>
          <cell r="B356" t="str">
            <v>Grapa bimetálica DEHN unión alambrón - Cu 8 - 10 mm Ref 459129</v>
          </cell>
          <cell r="C356" t="str">
            <v>Un</v>
          </cell>
          <cell r="D356"/>
          <cell r="E356">
            <v>61250</v>
          </cell>
        </row>
        <row r="357">
          <cell r="A357" t="str">
            <v>MAT,164</v>
          </cell>
          <cell r="B357" t="str">
            <v>Grapa plástica para cerramiento</v>
          </cell>
          <cell r="C357" t="str">
            <v>Kg</v>
          </cell>
          <cell r="D357"/>
          <cell r="E357">
            <v>10900</v>
          </cell>
        </row>
        <row r="358">
          <cell r="A358" t="str">
            <v>MAT,165</v>
          </cell>
          <cell r="B358" t="str">
            <v>Gravilla # 2 saco x 20 Kg</v>
          </cell>
          <cell r="C358" t="str">
            <v>Sc</v>
          </cell>
          <cell r="D358"/>
          <cell r="E358">
            <v>9200</v>
          </cell>
        </row>
        <row r="359">
          <cell r="A359" t="str">
            <v>MAT,543</v>
          </cell>
          <cell r="B359" t="str">
            <v>Grifería (llave, canastilla y sifón), para lavaplatos</v>
          </cell>
          <cell r="C359" t="str">
            <v>Un</v>
          </cell>
          <cell r="D359"/>
          <cell r="E359">
            <v>59900</v>
          </cell>
        </row>
        <row r="360">
          <cell r="A360" t="str">
            <v>MAT,640</v>
          </cell>
          <cell r="B360" t="str">
            <v>Grifería de empotrar corta línea anti vandálica, incluye válvula tipo push para lavamanos</v>
          </cell>
          <cell r="C360" t="str">
            <v>Un</v>
          </cell>
          <cell r="D360"/>
          <cell r="E360">
            <v>316900</v>
          </cell>
        </row>
        <row r="361">
          <cell r="A361" t="str">
            <v>MAT,168</v>
          </cell>
          <cell r="B361" t="str">
            <v>Grifería lavamanos de mesa tipo push</v>
          </cell>
          <cell r="C361" t="str">
            <v>Un</v>
          </cell>
          <cell r="D361"/>
          <cell r="E361">
            <v>289900</v>
          </cell>
        </row>
        <row r="362">
          <cell r="A362" t="str">
            <v>MAT,169</v>
          </cell>
          <cell r="B362" t="str">
            <v>Grifería orinal a pared tipo push antivandálica, entrada de ½"</v>
          </cell>
          <cell r="C362" t="str">
            <v>Un</v>
          </cell>
          <cell r="D362"/>
          <cell r="E362">
            <v>354900</v>
          </cell>
        </row>
        <row r="363">
          <cell r="A363" t="str">
            <v>MAT,170</v>
          </cell>
          <cell r="B363" t="str">
            <v>Grifería orinal de empotrar tipo push mediano</v>
          </cell>
          <cell r="C363" t="str">
            <v>Un</v>
          </cell>
          <cell r="D363"/>
          <cell r="E363">
            <v>477900</v>
          </cell>
        </row>
        <row r="364">
          <cell r="A364" t="str">
            <v>MAT,533</v>
          </cell>
          <cell r="B364" t="str">
            <v>Grifería para lavamanos de pared tipo push, línea antivandálica</v>
          </cell>
          <cell r="C364" t="str">
            <v>Un</v>
          </cell>
          <cell r="D364"/>
          <cell r="E364">
            <v>415580</v>
          </cell>
        </row>
        <row r="365">
          <cell r="A365" t="str">
            <v>MAT,171</v>
          </cell>
          <cell r="B365" t="str">
            <v>Grifería para lavamanos tipo Artesa Grival</v>
          </cell>
          <cell r="C365" t="str">
            <v>Un</v>
          </cell>
          <cell r="D365"/>
          <cell r="E365">
            <v>45300</v>
          </cell>
        </row>
        <row r="366">
          <cell r="A366" t="str">
            <v>MAT,172</v>
          </cell>
          <cell r="B366" t="str">
            <v>Grifería para lavamanos tipo Monza Stick de 4" Cromo</v>
          </cell>
          <cell r="C366" t="str">
            <v>Un</v>
          </cell>
          <cell r="D366"/>
          <cell r="E366">
            <v>63900</v>
          </cell>
        </row>
        <row r="367">
          <cell r="A367" t="str">
            <v>MAT,173</v>
          </cell>
          <cell r="B367" t="str">
            <v>Grifería pico empotrado línea anti vandálica, incluye válvula tipo push</v>
          </cell>
          <cell r="C367" t="str">
            <v>Un</v>
          </cell>
          <cell r="D367"/>
          <cell r="E367">
            <v>521900</v>
          </cell>
        </row>
        <row r="368">
          <cell r="A368" t="str">
            <v>MAT,174</v>
          </cell>
          <cell r="B368" t="str">
            <v>Grifería taza tipo push anti vandálica</v>
          </cell>
          <cell r="C368" t="str">
            <v>Un</v>
          </cell>
          <cell r="D368"/>
          <cell r="E368">
            <v>354900</v>
          </cell>
        </row>
        <row r="369">
          <cell r="A369" t="str">
            <v>MAT,176</v>
          </cell>
          <cell r="B369" t="str">
            <v>Guadua basa longitud promedio = 5 m</v>
          </cell>
          <cell r="C369" t="str">
            <v>M</v>
          </cell>
          <cell r="D369"/>
          <cell r="E369">
            <v>5250</v>
          </cell>
        </row>
        <row r="370">
          <cell r="A370" t="str">
            <v>MAT,177</v>
          </cell>
          <cell r="B370" t="str">
            <v>Guadua sobrebasa longitud promedio = 4 m</v>
          </cell>
          <cell r="C370" t="str">
            <v>Un</v>
          </cell>
          <cell r="D370"/>
          <cell r="E370">
            <v>2833.3333333333335</v>
          </cell>
        </row>
        <row r="371">
          <cell r="A371" t="str">
            <v>MAT,785</v>
          </cell>
          <cell r="B371" t="str">
            <v>Guarda escoba en madera laminada MDF Petterson Oak Dark café o similar de ± 8 cm</v>
          </cell>
          <cell r="C371" t="str">
            <v>M</v>
          </cell>
          <cell r="D371"/>
          <cell r="E371">
            <v>6708</v>
          </cell>
        </row>
        <row r="372">
          <cell r="A372" t="str">
            <v>MAT,178</v>
          </cell>
          <cell r="B372" t="str">
            <v>Guarda escobas en madera a = 0,08 m cedro blanco</v>
          </cell>
          <cell r="C372" t="str">
            <v>M</v>
          </cell>
          <cell r="D372"/>
          <cell r="E372">
            <v>15375</v>
          </cell>
        </row>
        <row r="373">
          <cell r="A373" t="str">
            <v>MAT,585</v>
          </cell>
          <cell r="B373" t="str">
            <v>Hebilla para cinta bandit 3/4"</v>
          </cell>
          <cell r="C373" t="str">
            <v>Un</v>
          </cell>
          <cell r="D373"/>
          <cell r="E373">
            <v>959</v>
          </cell>
        </row>
        <row r="374">
          <cell r="A374" t="str">
            <v>MAT,180</v>
          </cell>
          <cell r="B374" t="str">
            <v>Herbicida</v>
          </cell>
          <cell r="C374" t="str">
            <v>Lt</v>
          </cell>
          <cell r="D374"/>
          <cell r="E374">
            <v>32900</v>
          </cell>
        </row>
        <row r="375">
          <cell r="A375" t="str">
            <v>MAT,776</v>
          </cell>
          <cell r="B375" t="str">
            <v>Herraje patch panel tera 24 Pta. adicionar 24 T7F-01</v>
          </cell>
          <cell r="C375" t="str">
            <v>Un</v>
          </cell>
          <cell r="D375"/>
          <cell r="E375">
            <v>382000</v>
          </cell>
        </row>
        <row r="376">
          <cell r="A376" t="str">
            <v>MAT,181</v>
          </cell>
          <cell r="B376" t="str">
            <v>Hidrante tipo Milán de 3" extremo brida, incluye kit de nivelación</v>
          </cell>
          <cell r="C376" t="str">
            <v>Un</v>
          </cell>
          <cell r="D376"/>
          <cell r="E376">
            <v>3119000</v>
          </cell>
        </row>
        <row r="377">
          <cell r="A377" t="str">
            <v>MAT,182</v>
          </cell>
          <cell r="B377" t="str">
            <v>Hidrante tipo Milán de 3" extremo liso, incluye kit de nivelación</v>
          </cell>
          <cell r="C377" t="str">
            <v>Un</v>
          </cell>
          <cell r="D377"/>
          <cell r="E377">
            <v>2899140</v>
          </cell>
        </row>
        <row r="378">
          <cell r="A378" t="str">
            <v>MAT,185</v>
          </cell>
          <cell r="B378" t="str">
            <v>Icopor e = 1"</v>
          </cell>
          <cell r="C378" t="str">
            <v>M2</v>
          </cell>
          <cell r="D378"/>
          <cell r="E378">
            <v>9598</v>
          </cell>
        </row>
        <row r="379">
          <cell r="A379" t="str">
            <v>MAT,186</v>
          </cell>
          <cell r="B379" t="str">
            <v>Impermeabilizante bituminoso para cubierta</v>
          </cell>
          <cell r="C379" t="str">
            <v>Kg</v>
          </cell>
          <cell r="D379"/>
          <cell r="E379">
            <v>8598</v>
          </cell>
        </row>
        <row r="380">
          <cell r="A380" t="str">
            <v>MAT,188</v>
          </cell>
          <cell r="B380" t="str">
            <v>Impermeabilizante integral para morteros, con polímeros sintéticos</v>
          </cell>
          <cell r="C380" t="str">
            <v>Kg</v>
          </cell>
          <cell r="D380"/>
          <cell r="E380">
            <v>22875</v>
          </cell>
        </row>
        <row r="381">
          <cell r="A381" t="str">
            <v>MAT,187</v>
          </cell>
          <cell r="B381" t="str">
            <v>Impermeabilizante para concreto</v>
          </cell>
          <cell r="C381" t="str">
            <v>Kg</v>
          </cell>
          <cell r="D381"/>
          <cell r="E381">
            <v>22945</v>
          </cell>
        </row>
        <row r="382">
          <cell r="A382" t="str">
            <v>MAT,191</v>
          </cell>
          <cell r="B382" t="str">
            <v>Insecticida agrícola (extracto de neem)</v>
          </cell>
          <cell r="C382" t="str">
            <v>Kg</v>
          </cell>
          <cell r="D382"/>
          <cell r="E382">
            <v>75400</v>
          </cell>
        </row>
        <row r="383">
          <cell r="A383" t="str">
            <v>MAT,670</v>
          </cell>
          <cell r="B383" t="str">
            <v>Interruptor conmutable doble LUMINEX AMBIA REFRESH o similar</v>
          </cell>
          <cell r="C383" t="str">
            <v>Un</v>
          </cell>
          <cell r="D383"/>
          <cell r="E383">
            <v>13450</v>
          </cell>
        </row>
        <row r="384">
          <cell r="A384" t="str">
            <v>MAT,192</v>
          </cell>
          <cell r="B384" t="str">
            <v>Interruptor conmutable sencillo LUMINEX AMBIA REFRESH o similar</v>
          </cell>
          <cell r="C384" t="str">
            <v>Un</v>
          </cell>
          <cell r="D384"/>
          <cell r="E384">
            <v>6500</v>
          </cell>
        </row>
        <row r="385">
          <cell r="A385" t="str">
            <v>MAT,671</v>
          </cell>
          <cell r="B385" t="str">
            <v>Interruptor doble LUMINEX AMBIA REFRESH o similar</v>
          </cell>
          <cell r="C385" t="str">
            <v>Un</v>
          </cell>
          <cell r="D385"/>
          <cell r="E385">
            <v>7550</v>
          </cell>
        </row>
        <row r="386">
          <cell r="A386" t="str">
            <v>MAT,612</v>
          </cell>
          <cell r="B386" t="str">
            <v>Interruptor doble sin luz piloto, marca Luminex similar</v>
          </cell>
          <cell r="C386" t="str">
            <v>Un</v>
          </cell>
          <cell r="D386"/>
          <cell r="E386">
            <v>7550</v>
          </cell>
        </row>
        <row r="387">
          <cell r="A387" t="str">
            <v>MAT,632</v>
          </cell>
          <cell r="B387" t="str">
            <v>Interruptor enchufable 1 x 20 A 10 KA marca Luminex o similar</v>
          </cell>
          <cell r="C387" t="str">
            <v>Un</v>
          </cell>
          <cell r="D387"/>
          <cell r="E387">
            <v>18000</v>
          </cell>
        </row>
        <row r="388">
          <cell r="A388" t="str">
            <v>MAT,624</v>
          </cell>
          <cell r="B388" t="str">
            <v>Interruptor enchufable 2 x 20 A 10 KA marca Luminex o similar</v>
          </cell>
          <cell r="C388" t="str">
            <v>Un</v>
          </cell>
          <cell r="D388"/>
          <cell r="E388">
            <v>49900</v>
          </cell>
        </row>
        <row r="389">
          <cell r="A389" t="str">
            <v>MAT,622</v>
          </cell>
          <cell r="B389" t="str">
            <v>Interruptor enchufable 3 x 20 A 10 KA marca Luminex o similar</v>
          </cell>
          <cell r="C389" t="str">
            <v>Un</v>
          </cell>
          <cell r="D389"/>
          <cell r="E389">
            <v>32500</v>
          </cell>
        </row>
        <row r="390">
          <cell r="A390" t="str">
            <v>MAT,672</v>
          </cell>
          <cell r="B390" t="str">
            <v>Interruptor enchufable 3 x 30 A 10 KA marca Luminex o similar</v>
          </cell>
          <cell r="C390" t="str">
            <v>Un</v>
          </cell>
          <cell r="D390"/>
          <cell r="E390">
            <v>114300</v>
          </cell>
        </row>
        <row r="391">
          <cell r="A391" t="str">
            <v>MAT,674</v>
          </cell>
          <cell r="B391" t="str">
            <v>Interruptor MERLIN GERIN EZC100N 100 A- 25 KA/240 o similar</v>
          </cell>
          <cell r="C391" t="str">
            <v>Un</v>
          </cell>
          <cell r="D391"/>
          <cell r="E391">
            <v>254000</v>
          </cell>
        </row>
        <row r="392">
          <cell r="A392" t="str">
            <v>MAT,675</v>
          </cell>
          <cell r="B392" t="str">
            <v>Interruptor MERLIN GERIN EZC100N 60 A - 25 KA/240 o similar</v>
          </cell>
          <cell r="C392" t="str">
            <v>Un</v>
          </cell>
          <cell r="D392"/>
          <cell r="E392">
            <v>228000</v>
          </cell>
        </row>
        <row r="393">
          <cell r="A393" t="str">
            <v>MAT,673</v>
          </cell>
          <cell r="B393" t="str">
            <v>Interruptor MERLIN GERIN EZC100N 80 A - 25 KA/240 o similar</v>
          </cell>
          <cell r="C393" t="str">
            <v>Un</v>
          </cell>
          <cell r="D393"/>
          <cell r="E393">
            <v>228000</v>
          </cell>
        </row>
        <row r="394">
          <cell r="A394" t="str">
            <v>MAT,676</v>
          </cell>
          <cell r="B394" t="str">
            <v>Interruptor sencillo LUMINEX AMBIA REFRESH o similar</v>
          </cell>
          <cell r="C394" t="str">
            <v>Un</v>
          </cell>
          <cell r="D394"/>
          <cell r="E394">
            <v>16700</v>
          </cell>
        </row>
        <row r="395">
          <cell r="A395" t="str">
            <v>MAT,614</v>
          </cell>
          <cell r="B395" t="str">
            <v>Interruptor sencillo sin luz piloto, marca Luminex o similar</v>
          </cell>
          <cell r="C395" t="str">
            <v>Un</v>
          </cell>
          <cell r="D395"/>
          <cell r="E395">
            <v>10300</v>
          </cell>
        </row>
        <row r="396">
          <cell r="A396" t="str">
            <v>MAT,677</v>
          </cell>
          <cell r="B396" t="str">
            <v>Interruptor triple LUMINEX AMBIA REFRESH o similar</v>
          </cell>
          <cell r="C396" t="str">
            <v>Un</v>
          </cell>
          <cell r="D396"/>
          <cell r="E396">
            <v>22000</v>
          </cell>
        </row>
        <row r="397">
          <cell r="A397" t="str">
            <v>MAT,635</v>
          </cell>
          <cell r="B397" t="str">
            <v>Interruptor triple sin luz piloto, marca Luminex  o similar</v>
          </cell>
          <cell r="C397" t="str">
            <v>Un</v>
          </cell>
          <cell r="D397"/>
          <cell r="E397">
            <v>19294</v>
          </cell>
        </row>
        <row r="398">
          <cell r="A398" t="str">
            <v>MAT,662</v>
          </cell>
          <cell r="B398" t="str">
            <v>Jabonera ducha cromada tipo Torino</v>
          </cell>
          <cell r="C398" t="str">
            <v>Un</v>
          </cell>
          <cell r="D398"/>
          <cell r="E398">
            <v>41900</v>
          </cell>
        </row>
        <row r="399">
          <cell r="A399" t="str">
            <v>MAT,661</v>
          </cell>
          <cell r="B399" t="str">
            <v>Jabonera en polímero de alta ingeniería cromada, sistema de fijación oculto tipo Nogal</v>
          </cell>
          <cell r="C399" t="str">
            <v>Un</v>
          </cell>
          <cell r="D399"/>
          <cell r="E399">
            <v>28700</v>
          </cell>
        </row>
        <row r="400">
          <cell r="A400" t="str">
            <v>MAT,678</v>
          </cell>
          <cell r="B400" t="str">
            <v>Jack tera outlet categoría 6A 23 AWG, marca SIEMON o similar</v>
          </cell>
          <cell r="C400" t="str">
            <v>Un</v>
          </cell>
          <cell r="D400"/>
          <cell r="E400">
            <v>32500</v>
          </cell>
        </row>
        <row r="401">
          <cell r="A401" t="str">
            <v>MAT,650</v>
          </cell>
          <cell r="B401" t="str">
            <v>Juego de estructura múltiple movible, (micro - baloncesto), elaborada en tubería agua negra de primera calidad, de diámetro interior de 2 ½" la portería, el resto de la estructura de 1 ½", tablero en acrílico de 10 mm color cristal de medidas 1.20 x 1.80 m. debidamente demarcado con aro, incluye mallas para aro y portería. Movible: con ruedas y sobrepeso (norte y sur)</v>
          </cell>
          <cell r="C401" t="str">
            <v>Un</v>
          </cell>
          <cell r="D401"/>
          <cell r="E401">
            <v>5908887</v>
          </cell>
        </row>
        <row r="402">
          <cell r="A402" t="str">
            <v>MAT,819</v>
          </cell>
          <cell r="B402" t="str">
            <v>Juego de mallas para aros de baloncesto par</v>
          </cell>
          <cell r="C402" t="str">
            <v>Un</v>
          </cell>
          <cell r="D402"/>
          <cell r="E402">
            <v>16000</v>
          </cell>
        </row>
        <row r="403">
          <cell r="A403" t="str">
            <v>MAT,820</v>
          </cell>
          <cell r="B403" t="str">
            <v>Juego de mallas para portería de microfútbol calibre 5 par</v>
          </cell>
          <cell r="C403" t="str">
            <v>Un</v>
          </cell>
          <cell r="D403"/>
          <cell r="E403">
            <v>149900</v>
          </cell>
        </row>
        <row r="404">
          <cell r="A404" t="str">
            <v>MAT,821</v>
          </cell>
          <cell r="B404" t="str">
            <v>Juego malla para arcos de fútbol 11 calibre 5 par</v>
          </cell>
          <cell r="C404" t="str">
            <v>Un</v>
          </cell>
          <cell r="D404"/>
          <cell r="E404">
            <v>395800</v>
          </cell>
        </row>
        <row r="405">
          <cell r="A405" t="str">
            <v>MAT,195</v>
          </cell>
          <cell r="B405" t="str">
            <v>Juegos infantiles de madera en pino completo</v>
          </cell>
          <cell r="C405" t="str">
            <v>Un</v>
          </cell>
          <cell r="D405"/>
          <cell r="E405">
            <v>5909250</v>
          </cell>
        </row>
        <row r="406">
          <cell r="A406" t="str">
            <v>MAT,196</v>
          </cell>
          <cell r="B406" t="str">
            <v>Juegos infantiles de madera en pino, básico</v>
          </cell>
          <cell r="C406" t="str">
            <v>Un</v>
          </cell>
          <cell r="D406"/>
          <cell r="E406">
            <v>2963525</v>
          </cell>
        </row>
        <row r="407">
          <cell r="A407" t="str">
            <v>MAT,285</v>
          </cell>
          <cell r="B407" t="str">
            <v>Juegos infantiles metálicos incluyen instalación wash primer y pintura, pasamanos sencillo</v>
          </cell>
          <cell r="C407" t="str">
            <v>Un</v>
          </cell>
          <cell r="D407"/>
          <cell r="E407">
            <v>1297500</v>
          </cell>
        </row>
        <row r="408">
          <cell r="A408" t="str">
            <v>MAT,197</v>
          </cell>
          <cell r="B408" t="str">
            <v>Kit de accesorios para sistema séptico de 2000 lt</v>
          </cell>
          <cell r="C408" t="str">
            <v>Un</v>
          </cell>
          <cell r="D408"/>
          <cell r="E408">
            <v>298900</v>
          </cell>
        </row>
        <row r="409">
          <cell r="A409" t="str">
            <v>MAT,198</v>
          </cell>
          <cell r="B409" t="str">
            <v>Kit de accesorios para sistema séptico de 4000 lt</v>
          </cell>
          <cell r="C409" t="str">
            <v>Un</v>
          </cell>
          <cell r="D409"/>
          <cell r="E409">
            <v>366900</v>
          </cell>
        </row>
        <row r="410">
          <cell r="A410" t="str">
            <v>MAT,199</v>
          </cell>
          <cell r="B410" t="str">
            <v>Kit séptico 2000 litros + aeróbico 1000 litros</v>
          </cell>
          <cell r="C410" t="str">
            <v>Un</v>
          </cell>
          <cell r="D410"/>
          <cell r="E410">
            <v>2203950</v>
          </cell>
        </row>
        <row r="411">
          <cell r="A411" t="str">
            <v>MAT,200</v>
          </cell>
          <cell r="B411" t="str">
            <v>Ladrillo farol rayado de 0,10 x 0,20 x 0,30 m (Nº 6)</v>
          </cell>
          <cell r="C411" t="str">
            <v>Un</v>
          </cell>
          <cell r="D411"/>
          <cell r="E411">
            <v>1800</v>
          </cell>
        </row>
        <row r="412">
          <cell r="A412" t="str">
            <v>MAT,201</v>
          </cell>
          <cell r="B412" t="str">
            <v>Ladrillo farol rayado de 0,12 x 0,20 x 0,30 m</v>
          </cell>
          <cell r="C412" t="str">
            <v>Un</v>
          </cell>
          <cell r="D412"/>
          <cell r="E412">
            <v>1900</v>
          </cell>
        </row>
        <row r="413">
          <cell r="A413" t="str">
            <v>MAT,515</v>
          </cell>
          <cell r="B413" t="str">
            <v>Ladrillo prensado tipo Santa Fe 24,5 x 12 x 5,5 cm</v>
          </cell>
          <cell r="C413" t="str">
            <v>Un</v>
          </cell>
          <cell r="D413"/>
          <cell r="E413">
            <v>1600</v>
          </cell>
        </row>
        <row r="414">
          <cell r="A414" t="str">
            <v>MAT,202</v>
          </cell>
          <cell r="B414" t="str">
            <v>Ladrillo tolete común</v>
          </cell>
          <cell r="C414" t="str">
            <v>Un</v>
          </cell>
          <cell r="D414"/>
          <cell r="E414">
            <v>800</v>
          </cell>
        </row>
        <row r="415">
          <cell r="A415" t="str">
            <v>MAT,517</v>
          </cell>
          <cell r="B415" t="str">
            <v>Lámina de cielo raso de 1.22 x 0.61 x 0.018 m, densidad 12</v>
          </cell>
          <cell r="C415" t="str">
            <v>M2</v>
          </cell>
          <cell r="D415"/>
          <cell r="E415">
            <v>9648</v>
          </cell>
        </row>
        <row r="416">
          <cell r="A416" t="str">
            <v>MAT,204</v>
          </cell>
          <cell r="B416" t="str">
            <v>Lámina de fibrocemento e = 10 mm</v>
          </cell>
          <cell r="C416" t="str">
            <v>M2</v>
          </cell>
          <cell r="D416"/>
          <cell r="E416">
            <v>32718</v>
          </cell>
        </row>
        <row r="417">
          <cell r="A417" t="str">
            <v>MAT,205</v>
          </cell>
          <cell r="B417" t="str">
            <v>Lámina de fibrocemento e = 8 mm</v>
          </cell>
          <cell r="C417" t="str">
            <v>M2</v>
          </cell>
          <cell r="D417"/>
          <cell r="E417">
            <v>26268</v>
          </cell>
        </row>
        <row r="418">
          <cell r="A418" t="str">
            <v>MAT,535</v>
          </cell>
          <cell r="B418" t="str">
            <v>Lámina de mármol para piso o mesón</v>
          </cell>
          <cell r="C418" t="str">
            <v>M2</v>
          </cell>
          <cell r="D418"/>
          <cell r="E418">
            <v>244900</v>
          </cell>
        </row>
        <row r="419">
          <cell r="A419" t="str">
            <v>MAT,542</v>
          </cell>
          <cell r="B419" t="str">
            <v>Lámina de yeso 1,22 m x 2,44 m e = 12,7 mm</v>
          </cell>
          <cell r="C419" t="str">
            <v>M2</v>
          </cell>
          <cell r="D419"/>
          <cell r="E419">
            <v>14612</v>
          </cell>
        </row>
        <row r="420">
          <cell r="A420" t="str">
            <v>MAT,526</v>
          </cell>
          <cell r="B420" t="str">
            <v>Lámina duracustic ± 1,2 x 0,61 m</v>
          </cell>
          <cell r="C420" t="str">
            <v>Un</v>
          </cell>
          <cell r="D420"/>
          <cell r="E420">
            <v>43365</v>
          </cell>
        </row>
        <row r="421">
          <cell r="A421" t="str">
            <v>MAT,600</v>
          </cell>
          <cell r="B421" t="str">
            <v>Lámina en PVC, de 3,48 m2, blanca (2,9 m x 0,30 m y e = 7 cm)</v>
          </cell>
          <cell r="C421" t="str">
            <v>M2</v>
          </cell>
          <cell r="D421"/>
          <cell r="E421">
            <v>20800</v>
          </cell>
        </row>
        <row r="422">
          <cell r="A422" t="str">
            <v>MAT,207</v>
          </cell>
          <cell r="B422" t="str">
            <v>Lámina galvanizada C 22, incluye 4 dobleces por metro lineal</v>
          </cell>
          <cell r="C422" t="str">
            <v>M</v>
          </cell>
          <cell r="D422"/>
          <cell r="E422">
            <v>98353</v>
          </cell>
        </row>
        <row r="423">
          <cell r="A423" t="str">
            <v>MAT,527</v>
          </cell>
          <cell r="B423" t="str">
            <v xml:space="preserve">Lámina galvanizada C 26 </v>
          </cell>
          <cell r="C423" t="str">
            <v>M2</v>
          </cell>
          <cell r="D423"/>
          <cell r="E423">
            <v>48443</v>
          </cell>
        </row>
        <row r="424">
          <cell r="A424" t="str">
            <v>MAT,679</v>
          </cell>
          <cell r="B424" t="str">
            <v>Lámpara aplique pared tipo BEGONIA 3 x 7 W o similar</v>
          </cell>
          <cell r="C424" t="str">
            <v>Un</v>
          </cell>
          <cell r="D424"/>
          <cell r="E424">
            <v>392000</v>
          </cell>
        </row>
        <row r="425">
          <cell r="A425" t="str">
            <v>MAT,680</v>
          </cell>
          <cell r="B425" t="str">
            <v>Lámpara aplique tortuga CFL 23 W</v>
          </cell>
          <cell r="C425" t="str">
            <v>Un</v>
          </cell>
          <cell r="D425"/>
          <cell r="E425">
            <v>123400</v>
          </cell>
        </row>
        <row r="426">
          <cell r="A426" t="str">
            <v>MAT,681</v>
          </cell>
          <cell r="B426" t="str">
            <v>Lámpara ATENEA 2.5 10800 lúmenes o similar</v>
          </cell>
          <cell r="C426" t="str">
            <v>Un</v>
          </cell>
          <cell r="D426"/>
          <cell r="E426">
            <v>1235000</v>
          </cell>
        </row>
        <row r="427">
          <cell r="A427" t="str">
            <v>MAT,682</v>
          </cell>
          <cell r="B427" t="str">
            <v>Lámpara aviso de salida autonomía 90 Min</v>
          </cell>
          <cell r="C427" t="str">
            <v>Un</v>
          </cell>
          <cell r="D427"/>
          <cell r="E427">
            <v>99900</v>
          </cell>
        </row>
        <row r="428">
          <cell r="A428" t="str">
            <v>MAT,683</v>
          </cell>
          <cell r="B428" t="str">
            <v>Lámpara bala led 13 W tipo 1050 lúmenes</v>
          </cell>
          <cell r="C428" t="str">
            <v>Un</v>
          </cell>
          <cell r="D428"/>
          <cell r="E428">
            <v>16900</v>
          </cell>
        </row>
        <row r="429">
          <cell r="A429" t="str">
            <v>MAT,684</v>
          </cell>
          <cell r="B429" t="str">
            <v>Lámpara bala led 23 W 1850 lúmenes</v>
          </cell>
          <cell r="C429" t="str">
            <v>Un</v>
          </cell>
          <cell r="D429"/>
          <cell r="E429">
            <v>32900</v>
          </cell>
        </row>
        <row r="430">
          <cell r="A430" t="str">
            <v>MAT,685</v>
          </cell>
          <cell r="B430" t="str">
            <v>Lámpara de emergencia 2 led 2 W</v>
          </cell>
          <cell r="C430" t="str">
            <v>Un</v>
          </cell>
          <cell r="D430"/>
          <cell r="E430">
            <v>66999</v>
          </cell>
        </row>
        <row r="431">
          <cell r="A431" t="str">
            <v>MAT,599</v>
          </cell>
          <cell r="B431" t="str">
            <v xml:space="preserve">Lámpara hermética led 2 x 20 W tira led Lb 20,000H </v>
          </cell>
          <cell r="C431" t="str">
            <v>Un</v>
          </cell>
          <cell r="D431"/>
          <cell r="E431">
            <v>119900</v>
          </cell>
        </row>
        <row r="432">
          <cell r="A432" t="str">
            <v>MAT,686</v>
          </cell>
          <cell r="B432" t="str">
            <v>Lámpara IT100 4400 lúmenes 2 tubos 16 W led</v>
          </cell>
          <cell r="C432" t="str">
            <v>Un</v>
          </cell>
          <cell r="D432"/>
          <cell r="E432">
            <v>112100</v>
          </cell>
        </row>
        <row r="433">
          <cell r="A433" t="str">
            <v>MAT,694</v>
          </cell>
          <cell r="B433" t="str">
            <v>Lámpara panel led sobre poner 60 x 60 48 W, blanca Halux o similar. Incluye accesorios de fijación</v>
          </cell>
          <cell r="C433" t="str">
            <v>Un</v>
          </cell>
          <cell r="D433"/>
          <cell r="E433">
            <v>84000</v>
          </cell>
        </row>
        <row r="434">
          <cell r="A434" t="str">
            <v>MAT,687</v>
          </cell>
          <cell r="B434" t="str">
            <v>Lámpara tipo ATENEA 2.5 14400 lúmenes o similar</v>
          </cell>
          <cell r="C434" t="str">
            <v>Un</v>
          </cell>
          <cell r="D434"/>
          <cell r="E434">
            <v>1728000</v>
          </cell>
        </row>
        <row r="435">
          <cell r="A435" t="str">
            <v>MAT,688</v>
          </cell>
          <cell r="B435" t="str">
            <v>Lámpara tipo ATENEA 2.5 17600 lúmenes o similar</v>
          </cell>
          <cell r="C435" t="str">
            <v>Un</v>
          </cell>
          <cell r="D435"/>
          <cell r="E435">
            <v>2135000</v>
          </cell>
        </row>
        <row r="436">
          <cell r="A436" t="str">
            <v>MAT,689</v>
          </cell>
          <cell r="B436" t="str">
            <v>Lámpara tipo ATENEA 2.5 18000 lúmenes o similar</v>
          </cell>
          <cell r="C436" t="str">
            <v>Un</v>
          </cell>
          <cell r="D436"/>
          <cell r="E436">
            <v>2015000</v>
          </cell>
        </row>
        <row r="437">
          <cell r="A437" t="str">
            <v>MAT,690</v>
          </cell>
          <cell r="B437" t="str">
            <v>Lámpara tipo ATENEA 2.5 21600 lúmenes o similar</v>
          </cell>
          <cell r="C437" t="str">
            <v>Un</v>
          </cell>
          <cell r="D437"/>
          <cell r="E437">
            <v>2345000</v>
          </cell>
        </row>
        <row r="438">
          <cell r="A438" t="str">
            <v>MAT,691</v>
          </cell>
          <cell r="B438" t="str">
            <v>Lámpara tipo BLOCK LENS 4400 lúmenes o similar</v>
          </cell>
          <cell r="C438" t="str">
            <v>Un</v>
          </cell>
          <cell r="D438"/>
          <cell r="E438">
            <v>572000</v>
          </cell>
        </row>
        <row r="439">
          <cell r="A439" t="str">
            <v>MAT,692</v>
          </cell>
          <cell r="B439" t="str">
            <v>Lámpara tipo BLOCK LENS 8000 lúmenes o similar</v>
          </cell>
          <cell r="C439" t="str">
            <v>Un</v>
          </cell>
          <cell r="D439"/>
          <cell r="E439">
            <v>776000</v>
          </cell>
        </row>
        <row r="440">
          <cell r="A440" t="str">
            <v>MAT,693</v>
          </cell>
          <cell r="B440" t="str">
            <v>Lámpara tipo CORAL LENS 6600 lúmenes o similar</v>
          </cell>
          <cell r="C440" t="str">
            <v>Un</v>
          </cell>
          <cell r="D440"/>
          <cell r="E440">
            <v>1354400</v>
          </cell>
        </row>
        <row r="441">
          <cell r="A441" t="str">
            <v>MAT,532</v>
          </cell>
          <cell r="B441" t="str">
            <v>Lavadero en resina de poliéster con tanque de 60 x 60 cm</v>
          </cell>
          <cell r="C441" t="str">
            <v>Un</v>
          </cell>
          <cell r="D441"/>
          <cell r="E441">
            <v>199900</v>
          </cell>
        </row>
        <row r="442">
          <cell r="A442" t="str">
            <v>MAT,210</v>
          </cell>
          <cell r="B442" t="str">
            <v>Lavadero prefabricado en granito pulido de 80 x 60 x 25 cm, incluye poceta con desagüe, tapón y rejilla</v>
          </cell>
          <cell r="C442" t="str">
            <v>Un</v>
          </cell>
          <cell r="D442"/>
          <cell r="E442">
            <v>327900</v>
          </cell>
        </row>
        <row r="443">
          <cell r="A443" t="str">
            <v>MAT,211</v>
          </cell>
          <cell r="B443" t="str">
            <v>Lavamanos tipo Acuacer beige de colgar (monosalida)</v>
          </cell>
          <cell r="C443" t="str">
            <v>Un</v>
          </cell>
          <cell r="D443"/>
          <cell r="E443">
            <v>83900</v>
          </cell>
        </row>
        <row r="444">
          <cell r="A444" t="str">
            <v>MAT,212</v>
          </cell>
          <cell r="B444" t="str">
            <v>Lavamanos tipo Acuacer beige de pedestal (monosalida)</v>
          </cell>
          <cell r="C444" t="str">
            <v>Un</v>
          </cell>
          <cell r="D444"/>
          <cell r="E444">
            <v>142800</v>
          </cell>
        </row>
        <row r="445">
          <cell r="A445" t="str">
            <v>MAT,213</v>
          </cell>
          <cell r="B445" t="str">
            <v>Lavamanos tipo Avanti de colgar blanco (monosalida)</v>
          </cell>
          <cell r="C445" t="str">
            <v>Un</v>
          </cell>
          <cell r="D445"/>
          <cell r="E445">
            <v>132900</v>
          </cell>
        </row>
        <row r="446">
          <cell r="A446" t="str">
            <v>MAT,214</v>
          </cell>
          <cell r="B446" t="str">
            <v>Lavamanos tipo Avanti de pedestal blanco para grifería de 4"</v>
          </cell>
          <cell r="C446" t="str">
            <v>Un</v>
          </cell>
          <cell r="D446"/>
          <cell r="E446">
            <v>139900</v>
          </cell>
        </row>
        <row r="447">
          <cell r="A447" t="str">
            <v>MAT,215</v>
          </cell>
          <cell r="B447" t="str">
            <v>Lavamanos tipo Happy blanco de colgar (monosalida)</v>
          </cell>
          <cell r="C447" t="str">
            <v>Un</v>
          </cell>
          <cell r="D447"/>
          <cell r="E447">
            <v>87900</v>
          </cell>
        </row>
        <row r="448">
          <cell r="A448" t="str">
            <v>MAT,216</v>
          </cell>
          <cell r="B448" t="str">
            <v>Lavamanos tipo Marsella blanco de sobreponer (monosalida)</v>
          </cell>
          <cell r="C448" t="str">
            <v>Un</v>
          </cell>
          <cell r="D448"/>
          <cell r="E448">
            <v>224900</v>
          </cell>
        </row>
        <row r="449">
          <cell r="A449" t="str">
            <v>MAT,217</v>
          </cell>
          <cell r="B449" t="str">
            <v>Lavaplatos en acero inoxidable de 0,4 x 0,6 m, básico de empotrar (monosalida)</v>
          </cell>
          <cell r="C449" t="str">
            <v>Un</v>
          </cell>
          <cell r="D449"/>
          <cell r="E449">
            <v>104900</v>
          </cell>
        </row>
        <row r="450">
          <cell r="A450" t="str">
            <v>MAT,218</v>
          </cell>
          <cell r="B450" t="str">
            <v>Lija de agua</v>
          </cell>
          <cell r="C450" t="str">
            <v>Un</v>
          </cell>
          <cell r="D450"/>
          <cell r="E450">
            <v>1700</v>
          </cell>
        </row>
        <row r="451">
          <cell r="A451" t="str">
            <v>MAT,219</v>
          </cell>
          <cell r="B451" t="str">
            <v>Lima plana con mango de 8"</v>
          </cell>
          <cell r="C451" t="str">
            <v>Un</v>
          </cell>
          <cell r="D451"/>
          <cell r="E451">
            <v>25900</v>
          </cell>
        </row>
        <row r="452">
          <cell r="A452" t="str">
            <v>MAT,220</v>
          </cell>
          <cell r="B452" t="str">
            <v>Limatesa, limahoya de fibrocemento</v>
          </cell>
          <cell r="C452" t="str">
            <v>M</v>
          </cell>
          <cell r="D452"/>
          <cell r="E452">
            <v>28000</v>
          </cell>
        </row>
        <row r="453">
          <cell r="A453" t="str">
            <v>MAT,782</v>
          </cell>
          <cell r="B453" t="str">
            <v>Limpiador final de obra</v>
          </cell>
          <cell r="C453" t="str">
            <v>Ml</v>
          </cell>
          <cell r="D453"/>
          <cell r="E453">
            <v>44</v>
          </cell>
        </row>
        <row r="454">
          <cell r="A454" t="str">
            <v>MAT,221</v>
          </cell>
          <cell r="B454" t="str">
            <v>Limpiador removedor PVC ¼</v>
          </cell>
          <cell r="C454" t="str">
            <v>Un</v>
          </cell>
          <cell r="D454"/>
          <cell r="E454">
            <v>46900</v>
          </cell>
        </row>
        <row r="455">
          <cell r="A455" t="str">
            <v>MAT,801</v>
          </cell>
          <cell r="B455" t="str">
            <v>Limpiavidrios</v>
          </cell>
          <cell r="C455" t="str">
            <v>Lt</v>
          </cell>
          <cell r="D455"/>
          <cell r="E455">
            <v>5500</v>
          </cell>
        </row>
        <row r="456">
          <cell r="A456" t="str">
            <v>MAT,376</v>
          </cell>
          <cell r="B456" t="str">
            <v>Listón en lámina de vinilo click ± h = 8 cm</v>
          </cell>
          <cell r="C456" t="str">
            <v>M</v>
          </cell>
          <cell r="D456"/>
          <cell r="E456">
            <v>3000</v>
          </cell>
        </row>
        <row r="457">
          <cell r="A457" t="str">
            <v>MAT,222</v>
          </cell>
          <cell r="B457" t="str">
            <v>Listón sajo de 5 x 3 cm x 2,5 m (varilla)</v>
          </cell>
          <cell r="C457" t="str">
            <v>M</v>
          </cell>
          <cell r="D457"/>
          <cell r="E457">
            <v>4704</v>
          </cell>
        </row>
        <row r="458">
          <cell r="A458" t="str">
            <v>MAT,225</v>
          </cell>
          <cell r="B458" t="str">
            <v>Llave de paso tipo Red White de ½" 200 PSI</v>
          </cell>
          <cell r="C458" t="str">
            <v>Un</v>
          </cell>
          <cell r="D458"/>
          <cell r="E458">
            <v>79900</v>
          </cell>
        </row>
        <row r="459">
          <cell r="A459" t="str">
            <v>MAT,223</v>
          </cell>
          <cell r="B459" t="str">
            <v>Llave de paso tipo Red White de 1 ½"</v>
          </cell>
          <cell r="C459" t="str">
            <v>Un</v>
          </cell>
          <cell r="D459"/>
          <cell r="E459">
            <v>285369</v>
          </cell>
        </row>
        <row r="460">
          <cell r="A460" t="str">
            <v>MAT,224</v>
          </cell>
          <cell r="B460" t="str">
            <v>Llave de paso tipo Red White de 1" 200 PSI</v>
          </cell>
          <cell r="C460" t="str">
            <v>Un</v>
          </cell>
          <cell r="D460"/>
          <cell r="E460">
            <v>109900</v>
          </cell>
        </row>
        <row r="461">
          <cell r="A461" t="str">
            <v>MAT,226</v>
          </cell>
          <cell r="B461" t="str">
            <v>Llave de paso tipo Red White de 2"</v>
          </cell>
          <cell r="C461" t="str">
            <v>Un</v>
          </cell>
          <cell r="D461"/>
          <cell r="E461">
            <v>460649</v>
          </cell>
        </row>
        <row r="462">
          <cell r="A462" t="str">
            <v>MAT,227</v>
          </cell>
          <cell r="B462" t="str">
            <v>Llave de paso tipo Red White de 3/4"</v>
          </cell>
          <cell r="C462" t="str">
            <v>Un</v>
          </cell>
          <cell r="D462"/>
          <cell r="E462">
            <v>111372</v>
          </cell>
        </row>
        <row r="463">
          <cell r="A463" t="str">
            <v>MAT,228</v>
          </cell>
          <cell r="B463" t="str">
            <v>Llave terminal cromada de ½"</v>
          </cell>
          <cell r="C463" t="str">
            <v>Un</v>
          </cell>
          <cell r="D463"/>
          <cell r="E463">
            <v>34900</v>
          </cell>
        </row>
        <row r="464">
          <cell r="A464" t="str">
            <v>MAT,229</v>
          </cell>
          <cell r="B464" t="str">
            <v>Llave terminal roscada de ½" pesada</v>
          </cell>
          <cell r="C464" t="str">
            <v>Un</v>
          </cell>
          <cell r="D464"/>
          <cell r="E464">
            <v>14960</v>
          </cell>
        </row>
        <row r="465">
          <cell r="A465" t="str">
            <v>MAT,013</v>
          </cell>
          <cell r="B465" t="str">
            <v>Loseta de concreto gris de 4,5 Mpa de 40 x 40 x 6 cm para línea de invidentes</v>
          </cell>
          <cell r="C465" t="str">
            <v>Un</v>
          </cell>
          <cell r="D465"/>
          <cell r="E465">
            <v>11900</v>
          </cell>
        </row>
        <row r="466">
          <cell r="A466" t="str">
            <v>MAT,230</v>
          </cell>
          <cell r="B466" t="str">
            <v>Loseta prefabricada gris A30 (Aprox. 400 x 400 x 60 mm)</v>
          </cell>
          <cell r="C466" t="str">
            <v>M2</v>
          </cell>
          <cell r="D466"/>
          <cell r="E466">
            <v>78901</v>
          </cell>
        </row>
        <row r="467">
          <cell r="A467" t="str">
            <v>MAT,695</v>
          </cell>
          <cell r="B467" t="str">
            <v>Luminaria led, micro plus de REARTO simétrico 85 W</v>
          </cell>
          <cell r="C467" t="str">
            <v>Un</v>
          </cell>
          <cell r="D467"/>
          <cell r="E467">
            <v>2780000</v>
          </cell>
        </row>
        <row r="468">
          <cell r="A468" t="str">
            <v>MAT,696</v>
          </cell>
          <cell r="B468" t="str">
            <v>Luminaria tipo TRIA LENS de sobre poner, 2 tubos led de 18 W ILTEC. Incluye 1,5 m de cable encauchetado</v>
          </cell>
          <cell r="C468" t="str">
            <v>Un</v>
          </cell>
          <cell r="D468"/>
          <cell r="E468">
            <v>398700</v>
          </cell>
        </row>
        <row r="469">
          <cell r="A469" t="str">
            <v>MAT,231</v>
          </cell>
          <cell r="B469" t="str">
            <v>Machete mínimo de 22"</v>
          </cell>
          <cell r="C469" t="str">
            <v>Un</v>
          </cell>
          <cell r="D469"/>
          <cell r="E469">
            <v>24900</v>
          </cell>
        </row>
        <row r="470">
          <cell r="A470" t="str">
            <v>MAT,232</v>
          </cell>
          <cell r="B470" t="str">
            <v>Malla con vena de 0,50 x 2,00 m C 24</v>
          </cell>
          <cell r="C470" t="str">
            <v>M2</v>
          </cell>
          <cell r="D470"/>
          <cell r="E470">
            <v>5100</v>
          </cell>
        </row>
        <row r="471">
          <cell r="A471" t="str">
            <v>MAT,233</v>
          </cell>
          <cell r="B471" t="str">
            <v>Malla de gallinero o hexagonal</v>
          </cell>
          <cell r="C471" t="str">
            <v>M2</v>
          </cell>
          <cell r="D471"/>
          <cell r="E471">
            <v>2276</v>
          </cell>
        </row>
        <row r="472">
          <cell r="A472" t="str">
            <v>MAT,235</v>
          </cell>
          <cell r="B472" t="str">
            <v>Malla electrosoldada ojo 0,15 x 0,15 m 6,00 x 2,35 m de 5 mm</v>
          </cell>
          <cell r="C472" t="str">
            <v>M2</v>
          </cell>
          <cell r="D472"/>
          <cell r="E472">
            <v>4992</v>
          </cell>
        </row>
        <row r="473">
          <cell r="A473" t="str">
            <v>MAT,237</v>
          </cell>
          <cell r="B473" t="str">
            <v>Malla eslabonada galvanizada calibre 13 ojo de 2 1/4” que cumpla con la norma 80 gramos de galvanizado/m2</v>
          </cell>
          <cell r="C473" t="str">
            <v>M2</v>
          </cell>
          <cell r="D473"/>
          <cell r="E473">
            <v>17717</v>
          </cell>
        </row>
        <row r="474">
          <cell r="A474" t="str">
            <v>MAT,236</v>
          </cell>
          <cell r="B474" t="str">
            <v>Malla gavión 1 x 1 x 1 C13 triple torsión</v>
          </cell>
          <cell r="C474" t="str">
            <v>Un</v>
          </cell>
          <cell r="D474"/>
          <cell r="E474">
            <v>72483</v>
          </cell>
        </row>
        <row r="475">
          <cell r="A475" t="str">
            <v>MAT,239</v>
          </cell>
          <cell r="B475" t="str">
            <v>Manija (asa) para puerta Ej. Mediana italiana cromada master</v>
          </cell>
          <cell r="C475" t="str">
            <v>Un</v>
          </cell>
          <cell r="D475"/>
          <cell r="E475">
            <v>17900</v>
          </cell>
        </row>
        <row r="476">
          <cell r="A476" t="str">
            <v>MAT,240</v>
          </cell>
          <cell r="B476" t="str">
            <v>Manto impermeabilizante con base en asfalto</v>
          </cell>
          <cell r="C476" t="str">
            <v>M2</v>
          </cell>
          <cell r="D476"/>
          <cell r="E476">
            <v>12990</v>
          </cell>
        </row>
        <row r="477">
          <cell r="A477" t="str">
            <v>MAT,241</v>
          </cell>
          <cell r="B477" t="str">
            <v>Marco metálico en lámina C 20 de 0,60 x 2,05 m, incluye anticorrosivo</v>
          </cell>
          <cell r="C477" t="str">
            <v>Un</v>
          </cell>
          <cell r="D477"/>
          <cell r="E477">
            <v>81503.760000000009</v>
          </cell>
        </row>
        <row r="478">
          <cell r="A478" t="str">
            <v>MAT,242</v>
          </cell>
          <cell r="B478" t="str">
            <v>Marco metálico en lámina C 20 de 0,80 x 2,05 m, incluye anticorrosivo</v>
          </cell>
          <cell r="C478" t="str">
            <v>Un</v>
          </cell>
          <cell r="D478"/>
          <cell r="E478">
            <v>91457.142000000007</v>
          </cell>
        </row>
        <row r="479">
          <cell r="A479" t="str">
            <v>MAT,243</v>
          </cell>
          <cell r="B479" t="str">
            <v>Marco metálico en lámina C 20 de 0,90 x 2,05 m, incluye anticorrosivo</v>
          </cell>
          <cell r="C479" t="str">
            <v>Un</v>
          </cell>
          <cell r="D479"/>
          <cell r="E479">
            <v>105189.882</v>
          </cell>
        </row>
        <row r="480">
          <cell r="A480" t="str">
            <v>MAT,244</v>
          </cell>
          <cell r="B480" t="str">
            <v>Marco metálico en lámina C 20 de 1 x 2,05 m, incluye anticorrosivo</v>
          </cell>
          <cell r="C480" t="str">
            <v>Un</v>
          </cell>
          <cell r="D480"/>
          <cell r="E480">
            <v>121122.144</v>
          </cell>
        </row>
        <row r="481">
          <cell r="A481" t="str">
            <v>MAT,245</v>
          </cell>
          <cell r="B481" t="str">
            <v>Marco metálico en lámina C 20 de 1,20 x 2,05 m, incluye anticorrosivo</v>
          </cell>
          <cell r="C481" t="str">
            <v>Un</v>
          </cell>
          <cell r="D481"/>
          <cell r="E481">
            <v>242000</v>
          </cell>
        </row>
        <row r="482">
          <cell r="A482" t="str">
            <v>MAT,779</v>
          </cell>
          <cell r="B482" t="str">
            <v>Marmolina café</v>
          </cell>
          <cell r="C482" t="str">
            <v>Bt</v>
          </cell>
          <cell r="D482"/>
          <cell r="E482">
            <v>11900</v>
          </cell>
        </row>
        <row r="483">
          <cell r="A483" t="str">
            <v>MAT,697</v>
          </cell>
          <cell r="B483" t="str">
            <v>Marquilla acrílica 15 x 30 mm</v>
          </cell>
          <cell r="C483" t="str">
            <v>Un</v>
          </cell>
          <cell r="D483"/>
          <cell r="E483">
            <v>3500</v>
          </cell>
        </row>
        <row r="484">
          <cell r="A484" t="str">
            <v>MAT,247</v>
          </cell>
          <cell r="B484" t="str">
            <v>Masilla topex joint</v>
          </cell>
          <cell r="C484" t="str">
            <v>Gl</v>
          </cell>
          <cell r="D484"/>
          <cell r="E484">
            <v>20900</v>
          </cell>
        </row>
        <row r="485">
          <cell r="A485" t="str">
            <v>MAT,251</v>
          </cell>
          <cell r="B485" t="str">
            <v>Material de base granular tipo Invías Clase A</v>
          </cell>
          <cell r="C485" t="str">
            <v>M3</v>
          </cell>
          <cell r="D485"/>
          <cell r="E485">
            <v>115000</v>
          </cell>
        </row>
        <row r="486">
          <cell r="A486" t="str">
            <v>MAT,643</v>
          </cell>
          <cell r="B486" t="str">
            <v>Material de peña (recebo) en cantera</v>
          </cell>
          <cell r="C486" t="str">
            <v>M3</v>
          </cell>
          <cell r="D486"/>
          <cell r="E486">
            <v>37368</v>
          </cell>
        </row>
        <row r="487">
          <cell r="A487" t="str">
            <v>MAT,249</v>
          </cell>
          <cell r="B487" t="str">
            <v xml:space="preserve">Material de sub-base granular tipo Invías Clase A </v>
          </cell>
          <cell r="C487" t="str">
            <v>M3</v>
          </cell>
          <cell r="D487"/>
          <cell r="E487">
            <v>118311</v>
          </cell>
        </row>
        <row r="488">
          <cell r="A488" t="str">
            <v>MAT,250</v>
          </cell>
          <cell r="B488" t="str">
            <v>Material granular seleccionado</v>
          </cell>
          <cell r="C488" t="str">
            <v>M3</v>
          </cell>
          <cell r="D488"/>
          <cell r="E488">
            <v>24990</v>
          </cell>
        </row>
        <row r="489">
          <cell r="A489" t="str">
            <v>MAT,252</v>
          </cell>
          <cell r="B489" t="str">
            <v>Material seleccionado para filtro</v>
          </cell>
          <cell r="C489" t="str">
            <v>M3</v>
          </cell>
          <cell r="D489"/>
          <cell r="E489">
            <v>68951.5</v>
          </cell>
        </row>
        <row r="490">
          <cell r="A490" t="str">
            <v>MAT,789</v>
          </cell>
          <cell r="B490" t="str">
            <v>Media caña PVC de 60 mm blanco para paredes, cielo raso o pisos terminados</v>
          </cell>
          <cell r="C490" t="str">
            <v>M</v>
          </cell>
          <cell r="D490"/>
          <cell r="E490">
            <v>19953.77049180328</v>
          </cell>
        </row>
        <row r="491">
          <cell r="A491" t="str">
            <v>MAT,790</v>
          </cell>
          <cell r="B491" t="str">
            <v>Media caña PVC de 90 mm blanco para pared liviana</v>
          </cell>
          <cell r="C491" t="str">
            <v>M</v>
          </cell>
          <cell r="D491"/>
          <cell r="E491">
            <v>23065</v>
          </cell>
        </row>
        <row r="492">
          <cell r="A492" t="str">
            <v>MAT,254</v>
          </cell>
          <cell r="B492" t="str">
            <v>Medidor de ½" volumétrico tipo "C"</v>
          </cell>
          <cell r="C492" t="str">
            <v>Un</v>
          </cell>
          <cell r="D492"/>
          <cell r="E492">
            <v>138126</v>
          </cell>
        </row>
        <row r="493">
          <cell r="A493" t="str">
            <v>MAT,253</v>
          </cell>
          <cell r="B493" t="str">
            <v>Medidor de 1" volumétrico tipo "B"</v>
          </cell>
          <cell r="C493" t="str">
            <v>Un</v>
          </cell>
          <cell r="D493"/>
          <cell r="E493">
            <v>556900</v>
          </cell>
        </row>
        <row r="494">
          <cell r="A494" t="str">
            <v>MAT,560</v>
          </cell>
          <cell r="B494" t="str">
            <v>Medidor de 3/4" volumétrico tipo "B"</v>
          </cell>
          <cell r="C494" t="str">
            <v>Un</v>
          </cell>
          <cell r="D494"/>
          <cell r="E494">
            <v>314900</v>
          </cell>
        </row>
        <row r="495">
          <cell r="A495" t="str">
            <v>MAT,698</v>
          </cell>
          <cell r="B495" t="str">
            <v>Medidor de energía electrónico bifásico trifilar, conexión directa, 15 a 60 A, 2 x 120/208 V neutro incorporado</v>
          </cell>
          <cell r="C495" t="str">
            <v>Un</v>
          </cell>
          <cell r="D495"/>
          <cell r="E495">
            <v>260000</v>
          </cell>
        </row>
        <row r="496">
          <cell r="A496" t="str">
            <v>MAT,699</v>
          </cell>
          <cell r="B496" t="str">
            <v>Medidor de energía trifilar 3 H, 240/120 V - 15/80 A</v>
          </cell>
          <cell r="C496" t="str">
            <v>Un</v>
          </cell>
          <cell r="D496"/>
          <cell r="E496">
            <v>389600</v>
          </cell>
        </row>
        <row r="497">
          <cell r="A497" t="str">
            <v>MAT,777</v>
          </cell>
          <cell r="B497" t="str">
            <v>Medidor ELSTER electrónico ACT + REACT clase 0.5 o similar</v>
          </cell>
          <cell r="C497" t="str">
            <v>Un</v>
          </cell>
          <cell r="D497"/>
          <cell r="E497">
            <v>1675000</v>
          </cell>
        </row>
        <row r="498">
          <cell r="A498" t="str">
            <v>MAT,255</v>
          </cell>
          <cell r="B498" t="str">
            <v>Mezcla asfáltica MDC 19 con asfalto normalizado 60/70</v>
          </cell>
          <cell r="C498" t="str">
            <v>M3</v>
          </cell>
          <cell r="D498"/>
          <cell r="E498">
            <v>857237</v>
          </cell>
        </row>
        <row r="499">
          <cell r="A499" t="str">
            <v>MAT,256</v>
          </cell>
          <cell r="B499" t="str">
            <v>Mezclador para lavaplatos 8"</v>
          </cell>
          <cell r="C499" t="str">
            <v>Un</v>
          </cell>
          <cell r="D499"/>
          <cell r="E499">
            <v>80900</v>
          </cell>
        </row>
        <row r="500">
          <cell r="A500" t="str">
            <v>MAT,499</v>
          </cell>
          <cell r="B500" t="str">
            <v>Microesferas reflectivas</v>
          </cell>
          <cell r="C500" t="str">
            <v>Kg</v>
          </cell>
          <cell r="D500"/>
          <cell r="E500">
            <v>10960</v>
          </cell>
        </row>
        <row r="501">
          <cell r="A501" t="str">
            <v>MAT,260</v>
          </cell>
          <cell r="B501" t="str">
            <v>Mortero para bloques de vidrio</v>
          </cell>
          <cell r="C501" t="str">
            <v>Kg</v>
          </cell>
          <cell r="D501"/>
          <cell r="E501">
            <v>4290</v>
          </cell>
        </row>
        <row r="502">
          <cell r="A502" t="str">
            <v>MAT,261</v>
          </cell>
          <cell r="B502" t="str">
            <v>Mueble inferior en fórmica para mesón cocineta h ± 0,90 m</v>
          </cell>
          <cell r="C502" t="str">
            <v>M</v>
          </cell>
          <cell r="D502"/>
          <cell r="E502">
            <v>349900</v>
          </cell>
        </row>
        <row r="503">
          <cell r="A503" t="str">
            <v>MAT,812</v>
          </cell>
          <cell r="B503" t="str">
            <v>Mulch orgánico</v>
          </cell>
          <cell r="C503" t="str">
            <v>Kg</v>
          </cell>
          <cell r="D503"/>
          <cell r="E503">
            <v>14300</v>
          </cell>
        </row>
        <row r="504">
          <cell r="A504" t="str">
            <v>MAT,700</v>
          </cell>
          <cell r="B504" t="str">
            <v>Multi-toma horizontal 12 salidas para gabinete</v>
          </cell>
          <cell r="C504" t="str">
            <v>Un</v>
          </cell>
          <cell r="D504"/>
          <cell r="E504">
            <v>370200</v>
          </cell>
        </row>
        <row r="505">
          <cell r="A505" t="str">
            <v>MAT,262</v>
          </cell>
          <cell r="B505" t="str">
            <v>Nave en madera triplex de 0,90 x 2,05 m, entamborada</v>
          </cell>
          <cell r="C505" t="str">
            <v>Un</v>
          </cell>
          <cell r="D505"/>
          <cell r="E505">
            <v>131900</v>
          </cell>
        </row>
        <row r="506">
          <cell r="A506" t="str">
            <v>MAT,263</v>
          </cell>
          <cell r="B506" t="str">
            <v>Nave metálica en lámina C 20 de 0,60 x 2,05 m, incluye anticorrosivo</v>
          </cell>
          <cell r="C506" t="str">
            <v>Un</v>
          </cell>
          <cell r="D506"/>
          <cell r="E506">
            <v>122900</v>
          </cell>
        </row>
        <row r="507">
          <cell r="A507" t="str">
            <v>MAT,264</v>
          </cell>
          <cell r="B507" t="str">
            <v>Nave metálica en lamina C 20 de 0,80 x 2,05 m, incluye anticorrosivo</v>
          </cell>
          <cell r="C507" t="str">
            <v>Un</v>
          </cell>
          <cell r="D507"/>
          <cell r="E507">
            <v>171685.2</v>
          </cell>
        </row>
        <row r="508">
          <cell r="A508" t="str">
            <v>MAT,265</v>
          </cell>
          <cell r="B508" t="str">
            <v>Nave metálica en lamina C 20 de 0,90 x 2,05 m, incluye anticorrosivo</v>
          </cell>
          <cell r="C508" t="str">
            <v>Un</v>
          </cell>
          <cell r="D508"/>
          <cell r="E508">
            <v>188397</v>
          </cell>
        </row>
        <row r="509">
          <cell r="A509" t="str">
            <v>MAT,266</v>
          </cell>
          <cell r="B509" t="str">
            <v>Nave metálica en lamina C 20 de 1 x 2,05 m, incluye anticorrosivo</v>
          </cell>
          <cell r="C509" t="str">
            <v>Un</v>
          </cell>
          <cell r="D509"/>
          <cell r="E509">
            <v>213828</v>
          </cell>
        </row>
        <row r="510">
          <cell r="A510" t="str">
            <v>MAT,267</v>
          </cell>
          <cell r="B510" t="str">
            <v>Niple de H G o PPR  ½" L ± 0,15 m</v>
          </cell>
          <cell r="C510" t="str">
            <v>Un</v>
          </cell>
          <cell r="D510"/>
          <cell r="E510">
            <v>1547</v>
          </cell>
        </row>
        <row r="511">
          <cell r="A511" t="str">
            <v>MAT,271</v>
          </cell>
          <cell r="B511" t="str">
            <v>Niple de H G o PPR 1 ¼" L ± 0.15 m</v>
          </cell>
          <cell r="C511" t="str">
            <v>Un</v>
          </cell>
          <cell r="D511"/>
          <cell r="E511">
            <v>4522</v>
          </cell>
        </row>
        <row r="512">
          <cell r="A512" t="str">
            <v>MAT,272</v>
          </cell>
          <cell r="B512" t="str">
            <v>Niple de H G o PPR 1 ½" L ± 0.15 m</v>
          </cell>
          <cell r="C512" t="str">
            <v>Un</v>
          </cell>
          <cell r="D512"/>
          <cell r="E512">
            <v>6545</v>
          </cell>
        </row>
        <row r="513">
          <cell r="A513" t="str">
            <v>MAT,270</v>
          </cell>
          <cell r="B513" t="str">
            <v>Niple de H G o PPR 1" L ± 0.15 m</v>
          </cell>
          <cell r="C513" t="str">
            <v>Un</v>
          </cell>
          <cell r="D513"/>
          <cell r="E513">
            <v>3094</v>
          </cell>
        </row>
        <row r="514">
          <cell r="A514" t="str">
            <v>MAT,510</v>
          </cell>
          <cell r="B514" t="str">
            <v>Niple de H G o PPR 2" L ± 0.15 m</v>
          </cell>
          <cell r="C514" t="str">
            <v>Un</v>
          </cell>
          <cell r="D514"/>
          <cell r="E514">
            <v>11305</v>
          </cell>
        </row>
        <row r="515">
          <cell r="A515" t="str">
            <v>MAT,167</v>
          </cell>
          <cell r="B515" t="str">
            <v>Niple de H G o PPR 3" L ± 0.15 m</v>
          </cell>
          <cell r="C515" t="str">
            <v>Un</v>
          </cell>
          <cell r="D515"/>
          <cell r="E515">
            <v>36771</v>
          </cell>
        </row>
        <row r="516">
          <cell r="A516" t="str">
            <v>MAT,268</v>
          </cell>
          <cell r="B516" t="str">
            <v>Niple de H G o PPR 3/4" L ± 0.15 m</v>
          </cell>
          <cell r="C516" t="str">
            <v>Un</v>
          </cell>
          <cell r="D516"/>
          <cell r="E516">
            <v>2142</v>
          </cell>
        </row>
        <row r="517">
          <cell r="A517" t="str">
            <v>MAT,273</v>
          </cell>
          <cell r="B517" t="str">
            <v>Omega en 63 liviana en 2,4</v>
          </cell>
          <cell r="C517" t="str">
            <v>Un</v>
          </cell>
          <cell r="D517"/>
          <cell r="E517">
            <v>10606</v>
          </cell>
        </row>
        <row r="518">
          <cell r="A518" t="str">
            <v>MAT,274</v>
          </cell>
          <cell r="B518" t="str">
            <v>Orinal Gotta antibacterial o similar con grifería push</v>
          </cell>
          <cell r="C518" t="str">
            <v>Un</v>
          </cell>
          <cell r="D518"/>
          <cell r="E518">
            <v>1172900</v>
          </cell>
        </row>
        <row r="519">
          <cell r="A519" t="str">
            <v>MAT,275</v>
          </cell>
          <cell r="B519" t="str">
            <v>Orinal mediano con grifería push anti vandálica</v>
          </cell>
          <cell r="C519" t="str">
            <v>Un</v>
          </cell>
          <cell r="D519"/>
          <cell r="E519">
            <v>477900</v>
          </cell>
        </row>
        <row r="520">
          <cell r="A520" t="str">
            <v>MAT,276</v>
          </cell>
          <cell r="B520" t="str">
            <v>Orinal tipo Institucional Arrecife o similar con válvula tipo push</v>
          </cell>
          <cell r="C520" t="str">
            <v>Un</v>
          </cell>
          <cell r="D520"/>
          <cell r="E520">
            <v>582900</v>
          </cell>
        </row>
        <row r="521">
          <cell r="A521" t="str">
            <v>MAT,809</v>
          </cell>
          <cell r="B521" t="str">
            <v>Orinal tipo Petite blanco en caja</v>
          </cell>
          <cell r="C521" t="str">
            <v>Un</v>
          </cell>
          <cell r="D521"/>
          <cell r="E521">
            <v>198900</v>
          </cell>
        </row>
        <row r="522">
          <cell r="A522" t="str">
            <v>MAT,808</v>
          </cell>
          <cell r="B522" t="str">
            <v>Orinal tipo Petite blanco en caja con grifería</v>
          </cell>
          <cell r="C522" t="str">
            <v>Un</v>
          </cell>
          <cell r="D522"/>
          <cell r="E522">
            <v>392249</v>
          </cell>
        </row>
        <row r="523">
          <cell r="A523" t="str">
            <v>MAT,701</v>
          </cell>
          <cell r="B523" t="str">
            <v>Pago derechos ante la empresa de energía por cortes, revisión, conexión y parametrización de medidores de energía</v>
          </cell>
          <cell r="C523" t="str">
            <v>Un</v>
          </cell>
          <cell r="D523"/>
          <cell r="E523">
            <v>600000</v>
          </cell>
        </row>
        <row r="524">
          <cell r="A524" t="str">
            <v>MAT,702</v>
          </cell>
          <cell r="B524" t="str">
            <v>Pago tarifa disposición final</v>
          </cell>
          <cell r="C524" t="str">
            <v>$/Tn</v>
          </cell>
          <cell r="D524"/>
          <cell r="E524">
            <v>32943</v>
          </cell>
        </row>
        <row r="525">
          <cell r="A525" t="str">
            <v>MAT,277</v>
          </cell>
          <cell r="B525" t="str">
            <v>Pala redonda con cabo</v>
          </cell>
          <cell r="C525" t="str">
            <v>Un</v>
          </cell>
          <cell r="D525"/>
          <cell r="E525">
            <v>76900</v>
          </cell>
        </row>
        <row r="526">
          <cell r="A526" t="str">
            <v>MAT,278</v>
          </cell>
          <cell r="B526" t="str">
            <v>Paleta pare - siga en polietileno y texto reflectivo, de 45 cm</v>
          </cell>
          <cell r="C526" t="str">
            <v>Un</v>
          </cell>
          <cell r="D526"/>
          <cell r="E526">
            <v>55340</v>
          </cell>
        </row>
        <row r="527">
          <cell r="A527" t="str">
            <v>MAT,279</v>
          </cell>
          <cell r="B527" t="str">
            <v>Papel de colgadura a ± 0,50 m x 10 m, tejido gris o similar</v>
          </cell>
          <cell r="C527" t="str">
            <v>Rll</v>
          </cell>
          <cell r="D527"/>
          <cell r="E527">
            <v>144900</v>
          </cell>
        </row>
        <row r="528">
          <cell r="A528" t="str">
            <v>MAT,280</v>
          </cell>
          <cell r="B528" t="str">
            <v>Papelería, fotografías, fotocopias - rocerías</v>
          </cell>
          <cell r="C528" t="str">
            <v>Mes</v>
          </cell>
          <cell r="D528"/>
          <cell r="E528">
            <v>63997</v>
          </cell>
        </row>
        <row r="529">
          <cell r="A529" t="str">
            <v>MAT,281</v>
          </cell>
          <cell r="B529" t="str">
            <v>Par de botas lisa dieléctrico con puntera en acero de caucho, cinta amarilla, puntera y plantilla de acero</v>
          </cell>
          <cell r="C529" t="str">
            <v>Un</v>
          </cell>
          <cell r="D529"/>
          <cell r="E529">
            <v>169900</v>
          </cell>
        </row>
        <row r="530">
          <cell r="A530" t="str">
            <v>MAT,282</v>
          </cell>
          <cell r="B530" t="str">
            <v>Paral 59 en 2,4 m C 26</v>
          </cell>
          <cell r="C530" t="str">
            <v>Un</v>
          </cell>
          <cell r="D530"/>
          <cell r="E530">
            <v>6851</v>
          </cell>
        </row>
        <row r="531">
          <cell r="A531" t="str">
            <v>MAT,703</v>
          </cell>
          <cell r="B531" t="str">
            <v>Pararrayos polimérico 12 KV - 10 KA</v>
          </cell>
          <cell r="C531" t="str">
            <v>Un</v>
          </cell>
          <cell r="D531"/>
          <cell r="E531">
            <v>112207</v>
          </cell>
        </row>
        <row r="532">
          <cell r="A532" t="str">
            <v>MAT,283</v>
          </cell>
          <cell r="B532" t="str">
            <v>Pasador metálico de ± 3"</v>
          </cell>
          <cell r="C532" t="str">
            <v>Un</v>
          </cell>
          <cell r="D532"/>
          <cell r="E532">
            <v>30000</v>
          </cell>
        </row>
        <row r="533">
          <cell r="A533" t="str">
            <v>MAT,284</v>
          </cell>
          <cell r="B533" t="str">
            <v>Pasamanos con casita, escalera: casita y pasamanos en tubo de 1 ½", escalera en 1", la casita de 1.20 x 1.20 m, con piso en lámina y techo en fibra de vidrio anclado en concreto. Incluye anticorrosivo y pintura en esmalte para exteriores</v>
          </cell>
          <cell r="C533" t="str">
            <v>Un</v>
          </cell>
          <cell r="D533"/>
          <cell r="E533">
            <v>6711450</v>
          </cell>
        </row>
        <row r="534">
          <cell r="A534" t="str">
            <v>MAT,704</v>
          </cell>
          <cell r="B534" t="str">
            <v>Patch cord categoría 6A 5´ rojo</v>
          </cell>
          <cell r="C534" t="str">
            <v>Un</v>
          </cell>
          <cell r="D534"/>
          <cell r="E534">
            <v>28666.666666666668</v>
          </cell>
        </row>
        <row r="535">
          <cell r="A535" t="str">
            <v>MAT,652</v>
          </cell>
          <cell r="B535" t="str">
            <v>Pegante papel colgadura</v>
          </cell>
          <cell r="C535" t="str">
            <v>Kg</v>
          </cell>
          <cell r="D535"/>
          <cell r="E535">
            <v>229000</v>
          </cell>
        </row>
        <row r="536">
          <cell r="A536" t="str">
            <v>MAT,667</v>
          </cell>
          <cell r="B536" t="str">
            <v>Percha para unidad sanitaria en polímero de alta ingeniería tipo Nogal, cromada</v>
          </cell>
          <cell r="C536" t="str">
            <v>Un</v>
          </cell>
          <cell r="D536"/>
          <cell r="E536">
            <v>25200</v>
          </cell>
        </row>
        <row r="537">
          <cell r="A537" t="str">
            <v>MAT,579</v>
          </cell>
          <cell r="B537" t="str">
            <v>Percha tipo pesada de un puesto</v>
          </cell>
          <cell r="C537" t="str">
            <v>Un</v>
          </cell>
          <cell r="D537"/>
          <cell r="E537">
            <v>10850</v>
          </cell>
        </row>
        <row r="538">
          <cell r="A538" t="str">
            <v>MAT,292</v>
          </cell>
          <cell r="B538" t="str">
            <v>Perfil aluminio anoloc ángulo L = 6 m</v>
          </cell>
          <cell r="C538" t="str">
            <v>Un</v>
          </cell>
          <cell r="D538"/>
          <cell r="E538"/>
        </row>
        <row r="539">
          <cell r="A539" t="str">
            <v>MAT,286</v>
          </cell>
          <cell r="B539" t="str">
            <v>Perfil aluminio anoloc T L = 6 m</v>
          </cell>
          <cell r="C539" t="str">
            <v>Un</v>
          </cell>
          <cell r="D539"/>
          <cell r="E539"/>
        </row>
        <row r="540">
          <cell r="A540" t="str">
            <v>MAT,287</v>
          </cell>
          <cell r="B540" t="str">
            <v>Perfil aluminio blanco ángulo L = 6 m</v>
          </cell>
          <cell r="C540" t="str">
            <v>Un</v>
          </cell>
          <cell r="D540"/>
          <cell r="E540"/>
        </row>
        <row r="541">
          <cell r="A541" t="str">
            <v>MAT,288</v>
          </cell>
          <cell r="B541" t="str">
            <v>Perfil aluminio blanco T L = 6 m</v>
          </cell>
          <cell r="C541" t="str">
            <v>Un</v>
          </cell>
          <cell r="D541"/>
          <cell r="E541"/>
        </row>
        <row r="542">
          <cell r="A542" t="str">
            <v>MAT,289</v>
          </cell>
          <cell r="B542" t="str">
            <v>Perfil aluminio natural ángulo L = 6 m</v>
          </cell>
          <cell r="C542" t="str">
            <v>Un</v>
          </cell>
          <cell r="D542"/>
          <cell r="E542"/>
        </row>
        <row r="543">
          <cell r="A543" t="str">
            <v>MAT,290</v>
          </cell>
          <cell r="B543" t="str">
            <v>Perfil aluminio natural T L = 6 m</v>
          </cell>
          <cell r="C543" t="str">
            <v>Un</v>
          </cell>
          <cell r="D543"/>
          <cell r="E543"/>
        </row>
        <row r="544">
          <cell r="A544" t="str">
            <v>MAT,549</v>
          </cell>
          <cell r="B544" t="str">
            <v>Perfil de fijación RCSN (galvanizado continuo) GS</v>
          </cell>
          <cell r="C544" t="str">
            <v>Pz</v>
          </cell>
          <cell r="D544"/>
          <cell r="E544">
            <v>91722</v>
          </cell>
        </row>
        <row r="545">
          <cell r="A545" t="str">
            <v>MAT,294</v>
          </cell>
          <cell r="B545" t="str">
            <v>Perlín promedio (0,12 x 0,6) C 16</v>
          </cell>
          <cell r="C545" t="str">
            <v>M</v>
          </cell>
          <cell r="D545"/>
          <cell r="E545">
            <v>24721</v>
          </cell>
        </row>
        <row r="546">
          <cell r="A546" t="str">
            <v>MAT,295</v>
          </cell>
          <cell r="B546" t="str">
            <v>Pica con cabo</v>
          </cell>
          <cell r="C546" t="str">
            <v>Un</v>
          </cell>
          <cell r="D546"/>
          <cell r="E546">
            <v>84900</v>
          </cell>
        </row>
        <row r="547">
          <cell r="A547" t="str">
            <v>MAT,296</v>
          </cell>
          <cell r="B547" t="str">
            <v>Piedra media songa</v>
          </cell>
          <cell r="C547" t="str">
            <v>M3</v>
          </cell>
          <cell r="D547"/>
          <cell r="E547">
            <v>77345</v>
          </cell>
        </row>
        <row r="548">
          <cell r="A548" t="str">
            <v>MAT,573</v>
          </cell>
          <cell r="B548" t="str">
            <v>Pin de corte bipolar 40 A 10 KA Luminex o similar</v>
          </cell>
          <cell r="C548" t="str">
            <v>Un</v>
          </cell>
          <cell r="D548"/>
          <cell r="E548">
            <v>67400</v>
          </cell>
        </row>
        <row r="549">
          <cell r="A549" t="str">
            <v>MAT,297</v>
          </cell>
          <cell r="B549" t="str">
            <v>Pintura acrílica para tráfico</v>
          </cell>
          <cell r="C549" t="str">
            <v>Gl</v>
          </cell>
          <cell r="D549"/>
          <cell r="E549">
            <v>156900</v>
          </cell>
        </row>
        <row r="550">
          <cell r="A550" t="str">
            <v>MAT,787</v>
          </cell>
          <cell r="B550" t="str">
            <v>Pintura epóxica base solvente para pisos y paredes</v>
          </cell>
          <cell r="C550" t="str">
            <v>Gl</v>
          </cell>
          <cell r="D550"/>
          <cell r="E550">
            <v>883960</v>
          </cell>
        </row>
        <row r="551">
          <cell r="A551" t="str">
            <v>MAT,298</v>
          </cell>
          <cell r="B551" t="str">
            <v>Pintura esmalte para exteriores</v>
          </cell>
          <cell r="C551" t="str">
            <v>Gl</v>
          </cell>
          <cell r="D551"/>
          <cell r="E551">
            <v>118900</v>
          </cell>
        </row>
        <row r="552">
          <cell r="A552" t="str">
            <v>MAT,299</v>
          </cell>
          <cell r="B552" t="str">
            <v>Pintura reflectiva de aluminio</v>
          </cell>
          <cell r="C552" t="str">
            <v>Kg</v>
          </cell>
          <cell r="D552"/>
          <cell r="E552">
            <v>63300</v>
          </cell>
        </row>
        <row r="553">
          <cell r="A553" t="str">
            <v>MAT,300</v>
          </cell>
          <cell r="B553" t="str">
            <v>Pintura texturizada hidrorepelente</v>
          </cell>
          <cell r="C553" t="str">
            <v>Gl</v>
          </cell>
          <cell r="D553"/>
          <cell r="E553">
            <v>116980</v>
          </cell>
        </row>
        <row r="554">
          <cell r="A554" t="str">
            <v>MAT,301</v>
          </cell>
          <cell r="B554" t="str">
            <v>Pintura transparente protectora de fachadas</v>
          </cell>
          <cell r="C554" t="str">
            <v>Kg</v>
          </cell>
          <cell r="D554"/>
          <cell r="E554">
            <v>15695</v>
          </cell>
        </row>
        <row r="555">
          <cell r="A555" t="str">
            <v>MAT,302</v>
          </cell>
          <cell r="B555" t="str">
            <v>Pintura verde óptico (tablero)</v>
          </cell>
          <cell r="C555" t="str">
            <v>Ml</v>
          </cell>
          <cell r="D555"/>
          <cell r="E555">
            <v>20.07</v>
          </cell>
        </row>
        <row r="556">
          <cell r="A556" t="str">
            <v>MAT,303</v>
          </cell>
          <cell r="B556" t="str">
            <v>Pintura vinilo para exteriores koraza o similar</v>
          </cell>
          <cell r="C556" t="str">
            <v>Gl</v>
          </cell>
          <cell r="D556"/>
          <cell r="E556">
            <v>115980</v>
          </cell>
        </row>
        <row r="557">
          <cell r="A557" t="str">
            <v>MAT,304</v>
          </cell>
          <cell r="B557" t="str">
            <v>Pintura vinilo tipo I ultralavable</v>
          </cell>
          <cell r="C557" t="str">
            <v>Gl</v>
          </cell>
          <cell r="D557"/>
          <cell r="E557">
            <v>91980</v>
          </cell>
        </row>
        <row r="558">
          <cell r="A558" t="str">
            <v>MAT,305</v>
          </cell>
          <cell r="B558" t="str">
            <v>Pintura vinilo tipo II</v>
          </cell>
          <cell r="C558" t="str">
            <v>Gl</v>
          </cell>
          <cell r="D558"/>
          <cell r="E558">
            <v>69900</v>
          </cell>
        </row>
        <row r="559">
          <cell r="A559" t="str">
            <v>MAT,306</v>
          </cell>
          <cell r="B559" t="str">
            <v>Pirlán de bronce</v>
          </cell>
          <cell r="C559" t="str">
            <v>M</v>
          </cell>
          <cell r="D559"/>
          <cell r="E559">
            <v>19960</v>
          </cell>
        </row>
        <row r="560">
          <cell r="A560" t="str">
            <v>MAT,340</v>
          </cell>
          <cell r="B560" t="str">
            <v>Piso en lámina de vinilo de ± 3 mm tráfico pesado</v>
          </cell>
          <cell r="C560" t="str">
            <v>M2</v>
          </cell>
          <cell r="D560"/>
          <cell r="E560">
            <v>49900</v>
          </cell>
        </row>
        <row r="561">
          <cell r="A561" t="str">
            <v>MAT,311</v>
          </cell>
          <cell r="B561" t="str">
            <v>Piso estilo cemento Habitat Zen de 46 x 46 cm gris o similar, tráfico medio</v>
          </cell>
          <cell r="C561" t="str">
            <v>M2</v>
          </cell>
          <cell r="D561"/>
          <cell r="E561">
            <v>37900</v>
          </cell>
        </row>
        <row r="562">
          <cell r="A562" t="str">
            <v>MAT,380</v>
          </cell>
          <cell r="B562" t="str">
            <v>Piso exterior mate color gris, de diseño rustico,  lavra o similar superficies menos deslizantes de ± 33.8 x 33.8 cm</v>
          </cell>
          <cell r="C562" t="str">
            <v>M2</v>
          </cell>
          <cell r="D562"/>
          <cell r="E562">
            <v>38400</v>
          </cell>
        </row>
        <row r="563">
          <cell r="A563" t="str">
            <v>MAT,783</v>
          </cell>
          <cell r="B563" t="str">
            <v>Piso Gran Terrazo dark de 40 x 60 cm, tipo Alfa o similar</v>
          </cell>
          <cell r="C563" t="str">
            <v>M2</v>
          </cell>
          <cell r="D563"/>
          <cell r="E563">
            <v>79260</v>
          </cell>
        </row>
        <row r="564">
          <cell r="A564" t="str">
            <v>MAT,524</v>
          </cell>
          <cell r="B564" t="str">
            <v>Piso grano tradicional blanco Huila BH5 de 30 x 30 cm, tipo Alfa o similar</v>
          </cell>
          <cell r="C564" t="str">
            <v>M2</v>
          </cell>
          <cell r="D564"/>
          <cell r="E564">
            <v>64871</v>
          </cell>
        </row>
        <row r="565">
          <cell r="A565" t="str">
            <v>MAT,307</v>
          </cell>
          <cell r="B565" t="str">
            <v>Piso porcelanato de 60 x 60 cm súper blanco brillante tránsito medio</v>
          </cell>
          <cell r="C565" t="str">
            <v>M2</v>
          </cell>
          <cell r="D565"/>
          <cell r="E565">
            <v>86999</v>
          </cell>
        </row>
        <row r="566">
          <cell r="A566" t="str">
            <v>MAT,309</v>
          </cell>
          <cell r="B566" t="str">
            <v>Piso Porto Muicolor de 45.8 x 45.8 cm o similar, tráfico semi-comercial</v>
          </cell>
          <cell r="C566" t="str">
            <v>M2</v>
          </cell>
          <cell r="D566"/>
          <cell r="E566">
            <v>31376</v>
          </cell>
        </row>
        <row r="567">
          <cell r="A567" t="str">
            <v>MAT,308</v>
          </cell>
          <cell r="B567" t="str">
            <v>Piso tipo Duropiso de 33,8 x 33,8 cm</v>
          </cell>
          <cell r="C567" t="str">
            <v>M2</v>
          </cell>
          <cell r="D567"/>
          <cell r="E567">
            <v>40313</v>
          </cell>
        </row>
        <row r="568">
          <cell r="A568" t="str">
            <v>MAT,046</v>
          </cell>
          <cell r="B568" t="str">
            <v xml:space="preserve">Piso tipo Payande Nº 5 de 30 x 30 cm, fondo gris, tipo Alfa o similar </v>
          </cell>
          <cell r="C568" t="str">
            <v>M2</v>
          </cell>
          <cell r="D568"/>
          <cell r="E568">
            <v>63579</v>
          </cell>
        </row>
        <row r="569">
          <cell r="A569" t="str">
            <v>MAT,310</v>
          </cell>
          <cell r="B569" t="str">
            <v>Piso vinílico antideslizante, tráfico alto e = 4 mm de aproximadamente 18 x 122 cm</v>
          </cell>
          <cell r="C569" t="str">
            <v>M2</v>
          </cell>
          <cell r="D569"/>
          <cell r="E569">
            <v>52400</v>
          </cell>
        </row>
        <row r="570">
          <cell r="A570" t="str">
            <v>MAT,706</v>
          </cell>
          <cell r="B570" t="str">
            <v>Planta de emergencia 100 KW-125 KVA PERKINS o similar</v>
          </cell>
          <cell r="C570" t="str">
            <v>Un</v>
          </cell>
          <cell r="D570"/>
          <cell r="E570">
            <v>154600000</v>
          </cell>
        </row>
        <row r="571">
          <cell r="A571" t="str">
            <v>MAT,805</v>
          </cell>
          <cell r="B571" t="str">
            <v>Plantillas y pegante (marcas viales)</v>
          </cell>
          <cell r="C571" t="str">
            <v>Un</v>
          </cell>
          <cell r="D571"/>
          <cell r="E571">
            <v>65900</v>
          </cell>
        </row>
        <row r="572">
          <cell r="A572" t="str">
            <v>MAT,312</v>
          </cell>
          <cell r="B572" t="str">
            <v>Plántula (nacedero, carey, leucaena, matarratón), altura promedio 0.25 m</v>
          </cell>
          <cell r="C572" t="str">
            <v>Un</v>
          </cell>
          <cell r="D572"/>
          <cell r="E572">
            <v>35000</v>
          </cell>
        </row>
        <row r="573">
          <cell r="A573" t="str">
            <v>MAT,803</v>
          </cell>
          <cell r="B573" t="str">
            <v>Plántula (vainillo, guayacán (varios colores), acacia, eucalipto, guadua, guamo, gualanday, chachafruto, cámbulo), altura promedio 0.25 m</v>
          </cell>
          <cell r="C573" t="str">
            <v>Un</v>
          </cell>
          <cell r="D573"/>
          <cell r="E573">
            <v>17500</v>
          </cell>
        </row>
        <row r="574">
          <cell r="A574" t="str">
            <v>MAT,313</v>
          </cell>
          <cell r="B574" t="str">
            <v>Plántula (vetiver, limoncillo, lirio y afines), altura promedio 0.25 m</v>
          </cell>
          <cell r="C574" t="str">
            <v>Un</v>
          </cell>
          <cell r="D574"/>
          <cell r="E574">
            <v>15000</v>
          </cell>
        </row>
        <row r="575">
          <cell r="A575" t="str">
            <v>MAT,314</v>
          </cell>
          <cell r="B575" t="str">
            <v>Plántula con especies diferentes guayacán, acacia, eucalipto, altura promedio 0.25</v>
          </cell>
          <cell r="C575" t="str">
            <v>Un</v>
          </cell>
          <cell r="D575"/>
          <cell r="E575">
            <v>17500</v>
          </cell>
        </row>
        <row r="576">
          <cell r="A576" t="str">
            <v>MAT,707</v>
          </cell>
          <cell r="B576" t="str">
            <v>Platina acanalada de armazón doble en U de 60 cm</v>
          </cell>
          <cell r="C576" t="str">
            <v>Un</v>
          </cell>
          <cell r="D576"/>
          <cell r="E576">
            <v>64540</v>
          </cell>
        </row>
        <row r="577">
          <cell r="A577" t="str">
            <v>MAT,318</v>
          </cell>
          <cell r="B577" t="str">
            <v>Platinas para claraboya</v>
          </cell>
          <cell r="C577" t="str">
            <v>Jg</v>
          </cell>
          <cell r="D577"/>
          <cell r="E577">
            <v>4800</v>
          </cell>
        </row>
        <row r="578">
          <cell r="A578" t="str">
            <v>MAT,507</v>
          </cell>
          <cell r="B578" t="str">
            <v>Polietileno negro C 4 a = 3 m</v>
          </cell>
          <cell r="C578" t="str">
            <v>M2</v>
          </cell>
          <cell r="D578"/>
          <cell r="E578">
            <v>1009</v>
          </cell>
        </row>
        <row r="579">
          <cell r="A579" t="str">
            <v>MAT,544</v>
          </cell>
          <cell r="B579" t="str">
            <v>Pomos de porcelana</v>
          </cell>
          <cell r="C579" t="str">
            <v>Par</v>
          </cell>
          <cell r="D579"/>
          <cell r="E579">
            <v>14900</v>
          </cell>
        </row>
        <row r="580">
          <cell r="A580" t="str">
            <v>MAT,666</v>
          </cell>
          <cell r="B580" t="str">
            <v>Porta rollo en polímero de alta ingeniería a ≥ 27 cm, cromado, incluye vástago plástico, tipo Nilo</v>
          </cell>
          <cell r="C580" t="str">
            <v>Un</v>
          </cell>
          <cell r="D580"/>
          <cell r="E580">
            <v>24900</v>
          </cell>
        </row>
        <row r="581">
          <cell r="A581" t="str">
            <v>MAT,708</v>
          </cell>
          <cell r="B581" t="str">
            <v>Poste de ferroconcreto 14 m x 750 kg</v>
          </cell>
          <cell r="C581" t="str">
            <v>Un</v>
          </cell>
          <cell r="D581"/>
          <cell r="E581">
            <v>1437000</v>
          </cell>
        </row>
        <row r="582">
          <cell r="A582" t="str">
            <v>MAT,322</v>
          </cell>
          <cell r="B582" t="str">
            <v>Poste de madera (estacón de 2,50 m diámetro ± 0,10 m inmunizado)</v>
          </cell>
          <cell r="C582" t="str">
            <v>Un</v>
          </cell>
          <cell r="D582"/>
          <cell r="E582">
            <v>48900</v>
          </cell>
        </row>
        <row r="583">
          <cell r="A583" t="str">
            <v>MAT,323</v>
          </cell>
          <cell r="B583" t="str">
            <v>Poste de madera para cerramiento ± l = 2,50 m Ø ± 9 cm, inmunizado</v>
          </cell>
          <cell r="C583" t="str">
            <v>Un</v>
          </cell>
          <cell r="D583"/>
          <cell r="E583">
            <v>48900</v>
          </cell>
        </row>
        <row r="584">
          <cell r="A584" t="str">
            <v>MAT,324</v>
          </cell>
          <cell r="B584" t="str">
            <v>Poste en ángulo de ± 2 x 2 x 1/8" de 3,5 m (completo)</v>
          </cell>
          <cell r="C584" t="str">
            <v>Un</v>
          </cell>
          <cell r="D584"/>
          <cell r="E584">
            <v>94900</v>
          </cell>
        </row>
        <row r="585">
          <cell r="A585" t="str">
            <v>MAT,709</v>
          </cell>
          <cell r="B585" t="str">
            <v>Poste metálico de 6 m alumbrado público tipo MEGABUS</v>
          </cell>
          <cell r="C585" t="str">
            <v>Und</v>
          </cell>
          <cell r="D585"/>
          <cell r="E585">
            <v>2356000</v>
          </cell>
        </row>
        <row r="586">
          <cell r="A586" t="str">
            <v>MAT,326</v>
          </cell>
          <cell r="B586" t="str">
            <v>Poste para cerramiento en concreto 3,00 m</v>
          </cell>
          <cell r="C586" t="str">
            <v>Un</v>
          </cell>
          <cell r="D586"/>
          <cell r="E586">
            <v>59980</v>
          </cell>
        </row>
        <row r="587">
          <cell r="A587" t="str">
            <v>MAT,328</v>
          </cell>
          <cell r="B587" t="str">
            <v>Postes para defensa metálica (1.80 m) 6 mm, galvanizado (incluye tornillos)</v>
          </cell>
          <cell r="C587" t="str">
            <v>Un</v>
          </cell>
          <cell r="D587"/>
          <cell r="E587">
            <v>207600</v>
          </cell>
        </row>
        <row r="588">
          <cell r="A588" t="str">
            <v>MAT,329</v>
          </cell>
          <cell r="B588" t="str">
            <v>Prado kikuyo</v>
          </cell>
          <cell r="C588" t="str">
            <v>M2</v>
          </cell>
          <cell r="D588"/>
          <cell r="E588">
            <v>16000</v>
          </cell>
        </row>
        <row r="589">
          <cell r="A589" t="str">
            <v>MAT,330</v>
          </cell>
          <cell r="B589" t="str">
            <v>Prado trenza</v>
          </cell>
          <cell r="C589" t="str">
            <v>M2</v>
          </cell>
          <cell r="D589"/>
          <cell r="E589">
            <v>16000</v>
          </cell>
        </row>
        <row r="590">
          <cell r="A590" t="str">
            <v>MAT,581</v>
          </cell>
          <cell r="B590" t="str">
            <v>Proyector Indulux BC redondo con cofre de 250 W MH, reactor 208/220/240V o similar. Incluye bombillo</v>
          </cell>
          <cell r="C590" t="str">
            <v>Un</v>
          </cell>
          <cell r="D590"/>
          <cell r="E590">
            <v>2529900</v>
          </cell>
        </row>
        <row r="591">
          <cell r="A591" t="str">
            <v>MAT,710</v>
          </cell>
          <cell r="B591" t="str">
            <v>Proyector led tipo RGB 10800 lúmenes</v>
          </cell>
          <cell r="C591" t="str">
            <v>Un</v>
          </cell>
          <cell r="D591"/>
          <cell r="E591">
            <v>3567000</v>
          </cell>
        </row>
        <row r="592">
          <cell r="A592" t="str">
            <v>MAT,582</v>
          </cell>
          <cell r="B592" t="str">
            <v>Proyector RRA 400W MH incluye bombillo</v>
          </cell>
          <cell r="C592" t="str">
            <v>Un</v>
          </cell>
          <cell r="D592"/>
          <cell r="E592">
            <v>85600</v>
          </cell>
        </row>
        <row r="593">
          <cell r="A593" t="str">
            <v>MAT,711</v>
          </cell>
          <cell r="B593" t="str">
            <v>Puerta para división en lámina doble C 20 h = 1,60 m, incluye anticorrosivo</v>
          </cell>
          <cell r="C593" t="str">
            <v>M2</v>
          </cell>
          <cell r="D593"/>
          <cell r="E593">
            <v>399630.00000000006</v>
          </cell>
        </row>
        <row r="594">
          <cell r="A594" t="str">
            <v>MAT,712</v>
          </cell>
          <cell r="B594" t="str">
            <v>Punta de captación de aluminio ø 5/8" x 60 cm</v>
          </cell>
          <cell r="C594" t="str">
            <v>Un</v>
          </cell>
          <cell r="D594"/>
          <cell r="E594">
            <v>88100</v>
          </cell>
        </row>
        <row r="595">
          <cell r="A595" t="str">
            <v>MAT,333</v>
          </cell>
          <cell r="B595" t="str">
            <v>Puntilla (promedio)</v>
          </cell>
          <cell r="C595" t="str">
            <v>Lb</v>
          </cell>
          <cell r="D595"/>
          <cell r="E595">
            <v>5650</v>
          </cell>
        </row>
        <row r="596">
          <cell r="A596" t="str">
            <v>MAT,334</v>
          </cell>
          <cell r="B596" t="str">
            <v>Puntilla de 3"</v>
          </cell>
          <cell r="C596" t="str">
            <v>Lb</v>
          </cell>
          <cell r="D596"/>
          <cell r="E596">
            <v>5100</v>
          </cell>
        </row>
        <row r="597">
          <cell r="A597" t="str">
            <v>MAT,713</v>
          </cell>
          <cell r="B597" t="str">
            <v>Rack vertical cerrado QUEST o similar 2.1 m x 22,5" x 24"</v>
          </cell>
          <cell r="C597" t="str">
            <v>Un</v>
          </cell>
          <cell r="D597"/>
          <cell r="E597">
            <v>2856000</v>
          </cell>
        </row>
        <row r="598">
          <cell r="A598" t="str">
            <v>MAT,337</v>
          </cell>
          <cell r="B598" t="str">
            <v>Regadera corriente (tipo Grival)</v>
          </cell>
          <cell r="C598" t="str">
            <v>Un</v>
          </cell>
          <cell r="D598"/>
          <cell r="E598">
            <v>29900</v>
          </cell>
        </row>
        <row r="599">
          <cell r="A599" t="str">
            <v>MAT,336</v>
          </cell>
          <cell r="B599" t="str">
            <v>Regadera mezclador tipo rival (Balta Dalia)</v>
          </cell>
          <cell r="C599" t="str">
            <v>Un</v>
          </cell>
          <cell r="D599"/>
          <cell r="E599">
            <v>152900</v>
          </cell>
        </row>
        <row r="600">
          <cell r="A600" t="str">
            <v>MAT,338</v>
          </cell>
          <cell r="B600" t="str">
            <v>Registro de corte de ½" antifraude</v>
          </cell>
          <cell r="C600" t="str">
            <v>Un</v>
          </cell>
          <cell r="D600"/>
          <cell r="E600">
            <v>23562</v>
          </cell>
        </row>
        <row r="601">
          <cell r="A601" t="str">
            <v>MAT,339</v>
          </cell>
          <cell r="B601" t="str">
            <v>Registro de incorporación de ½"</v>
          </cell>
          <cell r="C601" t="str">
            <v>Un</v>
          </cell>
          <cell r="D601"/>
          <cell r="E601">
            <v>23900</v>
          </cell>
        </row>
        <row r="602">
          <cell r="A602" t="str">
            <v>MAT,714</v>
          </cell>
          <cell r="B602" t="str">
            <v>Regleta SIEMON S-66 25 pares con soportes o similar</v>
          </cell>
          <cell r="C602" t="str">
            <v>Un</v>
          </cell>
          <cell r="D602"/>
          <cell r="E602">
            <v>48100</v>
          </cell>
        </row>
        <row r="603">
          <cell r="A603" t="str">
            <v>MAT,715</v>
          </cell>
          <cell r="B603" t="str">
            <v>Reja para sumidero de 50 x 70 cm y ángulo de 2 x 2 x ¼" incluye anticorrosivo y pintura</v>
          </cell>
          <cell r="C603" t="str">
            <v>Un</v>
          </cell>
          <cell r="D603"/>
          <cell r="E603">
            <v>534310</v>
          </cell>
        </row>
        <row r="604">
          <cell r="A604" t="str">
            <v>MAT,341</v>
          </cell>
          <cell r="B604" t="str">
            <v>Rejilla para piso corriente de 3" x 2" aluminio / bronce</v>
          </cell>
          <cell r="C604" t="str">
            <v>Un</v>
          </cell>
          <cell r="D604"/>
          <cell r="E604">
            <v>53900</v>
          </cell>
        </row>
        <row r="605">
          <cell r="A605" t="str">
            <v>MAT,342</v>
          </cell>
          <cell r="B605" t="str">
            <v>Remache de aluminio</v>
          </cell>
          <cell r="C605" t="str">
            <v>Un</v>
          </cell>
          <cell r="D605"/>
          <cell r="E605">
            <v>329</v>
          </cell>
        </row>
        <row r="606">
          <cell r="A606" t="str">
            <v>MAT,594</v>
          </cell>
          <cell r="B606" t="str">
            <v>Riel tipo chaner perforado 4 x 2"</v>
          </cell>
          <cell r="C606" t="str">
            <v>M</v>
          </cell>
          <cell r="D606"/>
          <cell r="E606">
            <v>16633</v>
          </cell>
        </row>
        <row r="607">
          <cell r="A607" t="str">
            <v>MAT,716</v>
          </cell>
          <cell r="B607" t="str">
            <v>Router WIFI 300 MBPS - 183 M</v>
          </cell>
          <cell r="C607" t="str">
            <v>Un</v>
          </cell>
          <cell r="D607"/>
          <cell r="E607">
            <v>817600</v>
          </cell>
        </row>
        <row r="608">
          <cell r="A608" t="str">
            <v>MAT,343</v>
          </cell>
          <cell r="B608" t="str">
            <v>Sanitario infantil bicolor incluye grifería</v>
          </cell>
          <cell r="C608" t="str">
            <v>Un</v>
          </cell>
          <cell r="D608"/>
          <cell r="E608">
            <v>628900</v>
          </cell>
        </row>
        <row r="609">
          <cell r="A609" t="str">
            <v>MAT,653</v>
          </cell>
          <cell r="B609" t="str">
            <v>Sanitario One Piece Solare blanco tipo Corona</v>
          </cell>
          <cell r="C609" t="str">
            <v>Un</v>
          </cell>
          <cell r="D609"/>
          <cell r="E609">
            <v>245000</v>
          </cell>
        </row>
        <row r="610">
          <cell r="A610" t="str">
            <v>MAT,344</v>
          </cell>
          <cell r="B610" t="str">
            <v>Sanitario tipo Acuaplus blanco</v>
          </cell>
          <cell r="C610" t="str">
            <v>Un</v>
          </cell>
          <cell r="D610"/>
          <cell r="E610">
            <v>247900</v>
          </cell>
        </row>
        <row r="611">
          <cell r="A611" t="str">
            <v>MAT,345</v>
          </cell>
          <cell r="B611" t="str">
            <v>Sanitario tipo Avanti Plus</v>
          </cell>
          <cell r="C611" t="str">
            <v>Un</v>
          </cell>
          <cell r="D611"/>
          <cell r="E611">
            <v>296900</v>
          </cell>
        </row>
        <row r="612">
          <cell r="A612" t="str">
            <v>MAT,346</v>
          </cell>
          <cell r="B612" t="str">
            <v>Sardinel prefabricado A80 (800 x 200 x 350 mm)</v>
          </cell>
          <cell r="C612" t="str">
            <v>Un</v>
          </cell>
          <cell r="D612"/>
          <cell r="E612">
            <v>39900</v>
          </cell>
        </row>
        <row r="613">
          <cell r="A613" t="str">
            <v>MAT,347</v>
          </cell>
          <cell r="B613" t="str">
            <v>Seguro para puerta en lámina</v>
          </cell>
          <cell r="C613" t="str">
            <v>Un</v>
          </cell>
          <cell r="D613"/>
          <cell r="E613">
            <v>39900</v>
          </cell>
        </row>
        <row r="614">
          <cell r="A614" t="str">
            <v>MAT,741</v>
          </cell>
          <cell r="B614" t="str">
            <v>Sellador acrílico base solvente transparente, semimate</v>
          </cell>
          <cell r="C614" t="str">
            <v>Lt</v>
          </cell>
          <cell r="D614"/>
          <cell r="E614">
            <v>32000</v>
          </cell>
        </row>
        <row r="615">
          <cell r="A615" t="str">
            <v>MAT,804</v>
          </cell>
          <cell r="B615" t="str">
            <v>Semilla de grama clima templado</v>
          </cell>
          <cell r="C615" t="str">
            <v>Lb</v>
          </cell>
          <cell r="D615"/>
          <cell r="E615">
            <v>32400</v>
          </cell>
        </row>
        <row r="616">
          <cell r="A616" t="str">
            <v>MAT,813</v>
          </cell>
          <cell r="B616" t="str">
            <v>Semilla para empradizar</v>
          </cell>
          <cell r="C616" t="str">
            <v>Kg</v>
          </cell>
          <cell r="D616"/>
          <cell r="E616">
            <v>59300</v>
          </cell>
        </row>
        <row r="617">
          <cell r="A617" t="str">
            <v>MAT,348</v>
          </cell>
          <cell r="B617" t="str">
            <v>Señal (grupo 1). Tablero en lámina galvanizada de 75 cm x 75 cm, calibre 16 reflectivo tipo III</v>
          </cell>
          <cell r="C617" t="str">
            <v>Un</v>
          </cell>
          <cell r="D617"/>
          <cell r="E617">
            <v>313200</v>
          </cell>
        </row>
        <row r="618">
          <cell r="A618" t="str">
            <v>MAT,349</v>
          </cell>
          <cell r="B618" t="str">
            <v>Señal (grupo 2). Tablero en lámina galvanizada de 1.2 m x 0.4 m, calibre16, reflectivo tipo III</v>
          </cell>
          <cell r="C618" t="str">
            <v>Un</v>
          </cell>
          <cell r="D618"/>
          <cell r="E618">
            <v>344600</v>
          </cell>
        </row>
        <row r="619">
          <cell r="A619" t="str">
            <v>MAT,350</v>
          </cell>
          <cell r="B619" t="str">
            <v>Señal vertical completa con cinta reflectiva, mástil de 0,90 m</v>
          </cell>
          <cell r="C619" t="str">
            <v>Un</v>
          </cell>
          <cell r="D619"/>
          <cell r="E619">
            <v>210000</v>
          </cell>
        </row>
        <row r="620">
          <cell r="A620" t="str">
            <v>MAT,351</v>
          </cell>
          <cell r="B620" t="str">
            <v>Señalizador tubular de 1 m (2 líneas de cinta)</v>
          </cell>
          <cell r="C620" t="str">
            <v>Un</v>
          </cell>
          <cell r="D620"/>
          <cell r="E620">
            <v>48900</v>
          </cell>
        </row>
        <row r="621">
          <cell r="A621" t="str">
            <v>MAT,352</v>
          </cell>
          <cell r="B621" t="str">
            <v>Separador plástico para bloques de vidrio</v>
          </cell>
          <cell r="C621" t="str">
            <v>Un</v>
          </cell>
          <cell r="D621"/>
          <cell r="E621">
            <v>1081</v>
          </cell>
        </row>
        <row r="622">
          <cell r="A622" t="str">
            <v>MAT,190</v>
          </cell>
          <cell r="B622" t="str">
            <v>Sikaflex 401 pavenent SL o similar (autonivelante)</v>
          </cell>
          <cell r="C622" t="str">
            <v>Gl</v>
          </cell>
          <cell r="D622"/>
          <cell r="E622">
            <v>459900</v>
          </cell>
        </row>
        <row r="623">
          <cell r="A623" t="str">
            <v>MAT,815</v>
          </cell>
          <cell r="B623" t="str">
            <v>Sikagrout-212 o similar bulto x 30 Kg (relleno de nivelación con área &gt; 1.5 m2 y e entre 5 y 12 cm</v>
          </cell>
          <cell r="C623" t="str">
            <v>Kg</v>
          </cell>
          <cell r="D623"/>
          <cell r="E623">
            <v>6430</v>
          </cell>
        </row>
        <row r="624">
          <cell r="A624" t="str">
            <v>MAT,355</v>
          </cell>
          <cell r="B624" t="str">
            <v xml:space="preserve">Sikarod 6 -10 mm de diámetro </v>
          </cell>
          <cell r="C624" t="str">
            <v>M</v>
          </cell>
          <cell r="D624"/>
          <cell r="E624">
            <v>1097</v>
          </cell>
        </row>
        <row r="625">
          <cell r="A625" t="str">
            <v>MAT,246</v>
          </cell>
          <cell r="B625" t="str">
            <v>Silicona antihongos sello vidrio transparente (Masilla para vidrios)</v>
          </cell>
          <cell r="C625" t="str">
            <v>M</v>
          </cell>
          <cell r="D625"/>
          <cell r="E625">
            <v>88.928571428571431</v>
          </cell>
        </row>
        <row r="626">
          <cell r="A626" t="str">
            <v>MAT,356</v>
          </cell>
          <cell r="B626" t="str">
            <v>Silicona transparente sellador de vidrios</v>
          </cell>
          <cell r="C626" t="str">
            <v>M</v>
          </cell>
          <cell r="D626"/>
          <cell r="E626">
            <v>79.666666666666671</v>
          </cell>
        </row>
        <row r="627">
          <cell r="A627" t="str">
            <v>MAT,357</v>
          </cell>
          <cell r="B627" t="str">
            <v>Silla Yee PVC de pared estructural 400 x 160</v>
          </cell>
          <cell r="C627" t="str">
            <v>Un</v>
          </cell>
          <cell r="D627"/>
          <cell r="E627">
            <v>331900</v>
          </cell>
        </row>
        <row r="628">
          <cell r="A628" t="str">
            <v>MAT,358</v>
          </cell>
          <cell r="B628" t="str">
            <v>Silla Yee PVC de pared estructural 450 x 160</v>
          </cell>
          <cell r="C628" t="str">
            <v>Un</v>
          </cell>
          <cell r="D628"/>
          <cell r="E628">
            <v>354900</v>
          </cell>
        </row>
        <row r="629">
          <cell r="A629" t="str">
            <v>MAT,359</v>
          </cell>
          <cell r="B629" t="str">
            <v>Silla Yee PVC de pared estructural 500 x 160</v>
          </cell>
          <cell r="C629" t="str">
            <v>Un</v>
          </cell>
          <cell r="D629"/>
          <cell r="E629">
            <v>252335</v>
          </cell>
        </row>
        <row r="630">
          <cell r="A630" t="str">
            <v>MAT,360</v>
          </cell>
          <cell r="B630" t="str">
            <v>Sistema séptico Integrado horizontal 4000 litros subterráneo</v>
          </cell>
          <cell r="C630" t="str">
            <v>Un</v>
          </cell>
          <cell r="D630"/>
          <cell r="E630">
            <v>5607900</v>
          </cell>
        </row>
        <row r="631">
          <cell r="A631" t="str">
            <v>MAT,361</v>
          </cell>
          <cell r="B631" t="str">
            <v xml:space="preserve">Soldadura 6013 </v>
          </cell>
          <cell r="C631" t="str">
            <v>Kg</v>
          </cell>
          <cell r="D631"/>
          <cell r="E631">
            <v>25900</v>
          </cell>
        </row>
        <row r="632">
          <cell r="A632" t="str">
            <v>MAT,718</v>
          </cell>
          <cell r="B632" t="str">
            <v>Soldadura CADWELD promedio</v>
          </cell>
          <cell r="C632" t="str">
            <v>Un</v>
          </cell>
          <cell r="D632"/>
          <cell r="E632">
            <v>21169.833333333332</v>
          </cell>
        </row>
        <row r="633">
          <cell r="A633" t="str">
            <v>MAT,505</v>
          </cell>
          <cell r="B633" t="str">
            <v>Soldadura Color PVC de Pavco o similar</v>
          </cell>
          <cell r="C633" t="str">
            <v>Gl</v>
          </cell>
          <cell r="D633"/>
          <cell r="E633">
            <v>399200</v>
          </cell>
        </row>
        <row r="634">
          <cell r="A634" t="str">
            <v>MAT,362</v>
          </cell>
          <cell r="B634" t="str">
            <v>Soldadura CPVC líquida para agua caliente ¼</v>
          </cell>
          <cell r="C634" t="str">
            <v>Un</v>
          </cell>
          <cell r="D634"/>
          <cell r="E634">
            <v>104900</v>
          </cell>
        </row>
        <row r="635">
          <cell r="A635" t="str">
            <v>MAT,587</v>
          </cell>
          <cell r="B635" t="str">
            <v>Soldadura exotérmica 115 gr</v>
          </cell>
          <cell r="C635" t="str">
            <v>Un</v>
          </cell>
          <cell r="D635"/>
          <cell r="E635">
            <v>18850</v>
          </cell>
        </row>
        <row r="636">
          <cell r="A636" t="str">
            <v>MAT,508</v>
          </cell>
          <cell r="B636" t="str">
            <v>Soldadura para hierro estructural</v>
          </cell>
          <cell r="C636" t="str">
            <v>Kg</v>
          </cell>
          <cell r="D636"/>
          <cell r="E636">
            <v>15580</v>
          </cell>
        </row>
        <row r="637">
          <cell r="A637" t="str">
            <v>MAT,364</v>
          </cell>
          <cell r="B637" t="str">
            <v>Soldadura PVC (¼ galón)</v>
          </cell>
          <cell r="C637" t="str">
            <v>Un</v>
          </cell>
          <cell r="D637"/>
          <cell r="E637">
            <v>80900</v>
          </cell>
        </row>
        <row r="638">
          <cell r="A638" t="str">
            <v>MAT,539</v>
          </cell>
          <cell r="B638" t="str">
            <v xml:space="preserve">Soporte bajante PVC </v>
          </cell>
          <cell r="C638" t="str">
            <v>Un</v>
          </cell>
          <cell r="D638"/>
          <cell r="E638">
            <v>2900</v>
          </cell>
        </row>
        <row r="639">
          <cell r="A639" t="str">
            <v>MAT,719</v>
          </cell>
          <cell r="B639" t="str">
            <v>Soporte colgante bandeja porta cable tipo canasta CABLOFIL  de 200 mm</v>
          </cell>
          <cell r="C639" t="str">
            <v>Un</v>
          </cell>
          <cell r="D639"/>
          <cell r="E639">
            <v>13774.25</v>
          </cell>
        </row>
        <row r="640">
          <cell r="A640" t="str">
            <v>MAT,720</v>
          </cell>
          <cell r="B640" t="str">
            <v>Soporte metálico de sujeción de cable a alambrón OBB</v>
          </cell>
          <cell r="C640" t="str">
            <v>Un</v>
          </cell>
          <cell r="D640"/>
          <cell r="E640">
            <v>42300</v>
          </cell>
        </row>
        <row r="641">
          <cell r="A641" t="str">
            <v>MAT,597</v>
          </cell>
          <cell r="B641" t="str">
            <v>Soporte para alambrón de 8 mm tipo Snap</v>
          </cell>
          <cell r="C641" t="str">
            <v>Un</v>
          </cell>
          <cell r="D641"/>
          <cell r="E641">
            <v>5000</v>
          </cell>
        </row>
        <row r="642">
          <cell r="A642" t="str">
            <v>MAT,500</v>
          </cell>
          <cell r="B642" t="str">
            <v>Steeldeck, C 22 0,94 x 5,60 m e = 0,75 mm, perfil e = 1,5 mm 90 x 130 mm l = 6 m</v>
          </cell>
          <cell r="C642" t="str">
            <v>M2</v>
          </cell>
          <cell r="D642"/>
          <cell r="E642">
            <v>61431</v>
          </cell>
        </row>
        <row r="643">
          <cell r="A643" t="str">
            <v>MAT,721</v>
          </cell>
          <cell r="B643" t="str">
            <v>Suministro UPS 3ø 10 kava, 208/120 V</v>
          </cell>
          <cell r="C643" t="str">
            <v>Un</v>
          </cell>
          <cell r="D643"/>
          <cell r="E643">
            <v>20508386.899999999</v>
          </cell>
        </row>
        <row r="644">
          <cell r="A644" t="str">
            <v>MAT,368</v>
          </cell>
          <cell r="B644" t="str">
            <v>Tabla para formaleta de 1" x 10" x 2,9 m</v>
          </cell>
          <cell r="C644" t="str">
            <v>M</v>
          </cell>
          <cell r="D644"/>
          <cell r="E644">
            <v>10991</v>
          </cell>
        </row>
        <row r="645">
          <cell r="A645" t="str">
            <v>MAT,722</v>
          </cell>
          <cell r="B645" t="str">
            <v xml:space="preserve">TABLERO BIFASICO CU/AL 125A 240V TQ-CP- 12 </v>
          </cell>
          <cell r="C645" t="str">
            <v>Un</v>
          </cell>
          <cell r="D645"/>
          <cell r="E645">
            <v>163490</v>
          </cell>
        </row>
        <row r="646">
          <cell r="A646" t="str">
            <v>MAT,723</v>
          </cell>
          <cell r="B646" t="str">
            <v>Tablero 3 ø 12 Ctos con espacio totalizador y puerta</v>
          </cell>
          <cell r="C646" t="str">
            <v>Un</v>
          </cell>
          <cell r="D646"/>
          <cell r="E646">
            <v>349900</v>
          </cell>
        </row>
        <row r="647">
          <cell r="A647" t="str">
            <v>MAT,724</v>
          </cell>
          <cell r="B647" t="str">
            <v>Tablero 3 ø 18 Ctos con espacio totalizador y puerta</v>
          </cell>
          <cell r="C647" t="str">
            <v>Un</v>
          </cell>
          <cell r="D647"/>
          <cell r="E647">
            <v>505999</v>
          </cell>
        </row>
        <row r="648">
          <cell r="A648" t="str">
            <v>MAT,725</v>
          </cell>
          <cell r="B648" t="str">
            <v>Tablero 3 ø 30 Ctos con espacio totalizador y puerta</v>
          </cell>
          <cell r="C648" t="str">
            <v>Un</v>
          </cell>
          <cell r="D648"/>
          <cell r="E648">
            <v>599000</v>
          </cell>
        </row>
        <row r="649">
          <cell r="A649" t="str">
            <v>MAT,726</v>
          </cell>
          <cell r="B649" t="str">
            <v>Tablero 3 ø 36 Ctos con espacio totalizador y puerta</v>
          </cell>
          <cell r="C649" t="str">
            <v>Un</v>
          </cell>
          <cell r="D649"/>
          <cell r="E649">
            <v>649900</v>
          </cell>
        </row>
        <row r="650">
          <cell r="A650" t="str">
            <v>MAT,727</v>
          </cell>
          <cell r="B650" t="str">
            <v>Tablero 3 ø 42 Ctos con espacio totalizador y puerta</v>
          </cell>
          <cell r="C650" t="str">
            <v>Un</v>
          </cell>
          <cell r="D650"/>
          <cell r="E650">
            <v>699900</v>
          </cell>
        </row>
        <row r="651">
          <cell r="A651" t="str">
            <v>MAT,625</v>
          </cell>
          <cell r="B651" t="str">
            <v>Tablero bifásico 4 circuitos con barraje de 75 A, barras de neutro y tierra.  Ref VTQ-4M-SQ marca Schneider Electric o similar</v>
          </cell>
          <cell r="C651" t="str">
            <v>Un</v>
          </cell>
          <cell r="D651"/>
          <cell r="E651">
            <v>58268</v>
          </cell>
        </row>
        <row r="652">
          <cell r="A652" t="str">
            <v>MAT,379</v>
          </cell>
          <cell r="B652" t="str">
            <v>Tablero bifásico 8 circuitos con barraje de 125 A, barras de neutro y tierra, puerta y chapa. Ref TQ-CP-8-SQ marca Schneider Electric o similar</v>
          </cell>
          <cell r="C652" t="str">
            <v>Un</v>
          </cell>
          <cell r="D652"/>
          <cell r="E652">
            <v>143700</v>
          </cell>
        </row>
        <row r="653">
          <cell r="A653" t="str">
            <v>MAT,562</v>
          </cell>
          <cell r="B653" t="str">
            <v>Tablero de baloncesto acrílico, de 1,20 x 1,80 m, C 10 mm, incluye aro y malla</v>
          </cell>
          <cell r="C653" t="str">
            <v>Un</v>
          </cell>
          <cell r="D653"/>
          <cell r="E653">
            <v>803620</v>
          </cell>
        </row>
        <row r="654">
          <cell r="A654" t="str">
            <v>MAT,561</v>
          </cell>
          <cell r="B654" t="str">
            <v>Tablero melamínico de ± 2,40 x 1,80 m, base en MDF de ± 15 mm, para marcador seco, incluye ticero en madera, instalado</v>
          </cell>
          <cell r="C654" t="str">
            <v>Un</v>
          </cell>
          <cell r="D654"/>
          <cell r="E654">
            <v>331370</v>
          </cell>
        </row>
        <row r="655">
          <cell r="A655" t="str">
            <v>MAT,633</v>
          </cell>
          <cell r="B655" t="str">
            <v>Tablero monofásico 6 circuitos con barraje de 75 A, barras de neutro y tierra. Ref VTQ-6-SQ marca Schneider Electric o similar</v>
          </cell>
          <cell r="C655" t="str">
            <v>Un</v>
          </cell>
          <cell r="D655"/>
          <cell r="E655">
            <v>99900</v>
          </cell>
        </row>
        <row r="656">
          <cell r="A656" t="str">
            <v>MAT,728</v>
          </cell>
          <cell r="B656" t="str">
            <v>Tablero PHILIPS DYNALITE y controlador 2 RELES-DALI o similar</v>
          </cell>
          <cell r="C656" t="str">
            <v>Un</v>
          </cell>
          <cell r="D656"/>
          <cell r="E656">
            <v>12340000</v>
          </cell>
        </row>
        <row r="657">
          <cell r="A657" t="str">
            <v>MAT,623</v>
          </cell>
          <cell r="B657" t="str">
            <v>Tablero trifásico 12 circuitos con barraje de 200 A, barras de neutro y tierra. Puerta y chapa. Ref NTQ-412-SQ marca Schneider Electric o similar</v>
          </cell>
          <cell r="C657" t="str">
            <v>Un</v>
          </cell>
          <cell r="D657"/>
          <cell r="E657">
            <v>393000</v>
          </cell>
        </row>
        <row r="658">
          <cell r="A658" t="str">
            <v>MAT,621</v>
          </cell>
          <cell r="B658" t="str">
            <v>Tablero trifásico 18 circuitos NTQ-418-SQ, con barraje de 200 A, barra de neutro, barra de tierra, puerta y chapa. Marca Schneider Electric o similar</v>
          </cell>
          <cell r="C658" t="str">
            <v>Un</v>
          </cell>
          <cell r="D658"/>
          <cell r="E658">
            <v>499900</v>
          </cell>
        </row>
        <row r="659">
          <cell r="A659" t="str">
            <v>MAT,620</v>
          </cell>
          <cell r="B659" t="str">
            <v>Tablero trifásico 24 circuitos con barraje de 200 A, barras de neutro y tierra, puerta y chapa. Ref NTQ-424-SQ marca Schneider Electric o similar</v>
          </cell>
          <cell r="C659" t="str">
            <v>Un</v>
          </cell>
          <cell r="D659"/>
          <cell r="E659">
            <v>499900</v>
          </cell>
        </row>
        <row r="660">
          <cell r="A660" t="str">
            <v>MAT,729</v>
          </cell>
          <cell r="B660" t="str">
            <v>Tablet 7" 16 GB</v>
          </cell>
          <cell r="C660" t="str">
            <v>Un</v>
          </cell>
          <cell r="D660"/>
          <cell r="E660">
            <v>344999</v>
          </cell>
        </row>
        <row r="661">
          <cell r="A661" t="str">
            <v>MAT,374</v>
          </cell>
          <cell r="B661" t="str">
            <v>Tablón tipo Túnez de 0,15 x 0,15 m</v>
          </cell>
          <cell r="C661" t="str">
            <v>M2</v>
          </cell>
          <cell r="D661"/>
          <cell r="E661">
            <v>35900</v>
          </cell>
        </row>
        <row r="662">
          <cell r="A662" t="str">
            <v>MAT,375</v>
          </cell>
          <cell r="B662" t="str">
            <v>Tablilla fina para piso (chanú)</v>
          </cell>
          <cell r="C662" t="str">
            <v>M2</v>
          </cell>
          <cell r="D662"/>
          <cell r="E662">
            <v>87921</v>
          </cell>
        </row>
        <row r="663">
          <cell r="A663" t="str">
            <v>MAT,377</v>
          </cell>
          <cell r="B663" t="str">
            <v>Tablón de 0,20 x 0,20 m rojo</v>
          </cell>
          <cell r="C663" t="str">
            <v>M2</v>
          </cell>
          <cell r="D663"/>
          <cell r="E663">
            <v>10500</v>
          </cell>
        </row>
        <row r="664">
          <cell r="A664" t="str">
            <v>MAT,381</v>
          </cell>
          <cell r="B664" t="str">
            <v>Tacha reflectiva uni o bidireccional</v>
          </cell>
          <cell r="C664" t="str">
            <v>Un</v>
          </cell>
          <cell r="D664"/>
          <cell r="E664">
            <v>5600</v>
          </cell>
        </row>
        <row r="665">
          <cell r="A665" t="str">
            <v>MAT,382</v>
          </cell>
          <cell r="B665" t="str">
            <v>Tachón en resina 0,4 x 0,15 x 0,08 m</v>
          </cell>
          <cell r="C665" t="str">
            <v>Un</v>
          </cell>
          <cell r="D665"/>
          <cell r="E665">
            <v>37200</v>
          </cell>
        </row>
        <row r="666">
          <cell r="A666" t="str">
            <v>MAT,383</v>
          </cell>
          <cell r="B666" t="str">
            <v>Tanque para agua plástico de 1000 lt completo</v>
          </cell>
          <cell r="C666" t="str">
            <v>Un</v>
          </cell>
          <cell r="D666"/>
          <cell r="E666">
            <v>536900</v>
          </cell>
        </row>
        <row r="667">
          <cell r="A667" t="str">
            <v>MAT,384</v>
          </cell>
          <cell r="B667" t="str">
            <v>Tanque para agua plástico de 250 lt completo</v>
          </cell>
          <cell r="C667" t="str">
            <v>Un</v>
          </cell>
          <cell r="D667"/>
          <cell r="E667">
            <v>198900</v>
          </cell>
        </row>
        <row r="668">
          <cell r="A668" t="str">
            <v>MAT,385</v>
          </cell>
          <cell r="B668" t="str">
            <v>Tanque para agua plástico de 500 lt completo</v>
          </cell>
          <cell r="C668" t="str">
            <v>Un</v>
          </cell>
          <cell r="D668"/>
          <cell r="E668">
            <v>273900</v>
          </cell>
        </row>
        <row r="669">
          <cell r="A669" t="str">
            <v>MAT,591</v>
          </cell>
          <cell r="B669" t="str">
            <v>Tapa ciega metálica 4 x 4" para caja rawelt</v>
          </cell>
          <cell r="C669" t="str">
            <v>Un</v>
          </cell>
          <cell r="D669"/>
          <cell r="E669">
            <v>3550</v>
          </cell>
        </row>
        <row r="670">
          <cell r="A670" t="str">
            <v>MAT,386</v>
          </cell>
          <cell r="B670" t="str">
            <v>Tapa para cámara, incluye aro de 70 cm, fabricada en polietileno de alta densidad. Medidas aro: diámetro 93 cm, alto 20 cm, peso Aprox. 26.4 kg, medidas tapa: diámetro 70 cm, alto 20 cm, peso aprox 33 kg. Resistencia por prueba de laboratorio de ruptura y flexión: 18 toneladas por decímetro cuadrado</v>
          </cell>
          <cell r="C670" t="str">
            <v>Un</v>
          </cell>
          <cell r="D670"/>
          <cell r="E670">
            <v>791900</v>
          </cell>
        </row>
        <row r="671">
          <cell r="A671" t="str">
            <v>MAT,387</v>
          </cell>
          <cell r="B671" t="str">
            <v>Tapa plástica de registro de 0,20 x 0,20 m</v>
          </cell>
          <cell r="C671" t="str">
            <v>Un</v>
          </cell>
          <cell r="D671"/>
          <cell r="E671">
            <v>20900</v>
          </cell>
        </row>
        <row r="672">
          <cell r="A672" t="str">
            <v>MAT,388</v>
          </cell>
          <cell r="B672" t="str">
            <v>Tapaporos referencia 7203 o similar</v>
          </cell>
          <cell r="C672" t="str">
            <v>Gl</v>
          </cell>
          <cell r="D672"/>
          <cell r="E672">
            <v>108900</v>
          </cell>
        </row>
        <row r="673">
          <cell r="A673" t="str">
            <v>MAT,798</v>
          </cell>
          <cell r="B673" t="str">
            <v>Tapón tubería galvanizada para cerramiento de 2"</v>
          </cell>
          <cell r="C673" t="str">
            <v>Un</v>
          </cell>
          <cell r="D673"/>
          <cell r="E673">
            <v>18000</v>
          </cell>
        </row>
        <row r="674">
          <cell r="A674" t="str">
            <v>MAT,389</v>
          </cell>
          <cell r="B674" t="str">
            <v>Tee de HG 2"</v>
          </cell>
          <cell r="C674" t="str">
            <v>Un</v>
          </cell>
          <cell r="D674"/>
          <cell r="E674">
            <v>37180</v>
          </cell>
        </row>
        <row r="675">
          <cell r="A675" t="str">
            <v>MAT,390</v>
          </cell>
          <cell r="B675" t="str">
            <v>Tee de HG 3"</v>
          </cell>
          <cell r="C675" t="str">
            <v>Un</v>
          </cell>
          <cell r="D675"/>
          <cell r="E675">
            <v>98200</v>
          </cell>
        </row>
        <row r="676">
          <cell r="A676" t="str">
            <v>MAT,563</v>
          </cell>
          <cell r="B676" t="str">
            <v>Teja española de fibrocemento</v>
          </cell>
          <cell r="C676" t="str">
            <v>M2</v>
          </cell>
          <cell r="D676"/>
          <cell r="E676">
            <v>61409</v>
          </cell>
        </row>
        <row r="677">
          <cell r="A677" t="str">
            <v>MAT,574</v>
          </cell>
          <cell r="B677" t="str">
            <v>Teja metálica aluzinc pintada 4 C 28 roja (tipo Techolum Plus RAL 9002)</v>
          </cell>
          <cell r="C677" t="str">
            <v>M2</v>
          </cell>
          <cell r="D677"/>
          <cell r="E677">
            <v>29706</v>
          </cell>
        </row>
        <row r="678">
          <cell r="A678" t="str">
            <v>MAT,497</v>
          </cell>
          <cell r="B678" t="str">
            <v>Teja ondulada de fibrocemento Nº 6</v>
          </cell>
          <cell r="C678" t="str">
            <v>M2</v>
          </cell>
          <cell r="D678"/>
          <cell r="E678">
            <v>21319</v>
          </cell>
        </row>
        <row r="679">
          <cell r="A679" t="str">
            <v>MAT,392</v>
          </cell>
          <cell r="B679" t="str">
            <v>Teja ondulada transparente policarbonato perfil 7 de 2.44 x 0.92m x 0.7mm (útil 0,74 x 2,29 m)</v>
          </cell>
          <cell r="C679" t="str">
            <v>M2</v>
          </cell>
          <cell r="D679"/>
          <cell r="E679">
            <v>18397</v>
          </cell>
        </row>
        <row r="680">
          <cell r="A680" t="str">
            <v>MAT,391</v>
          </cell>
          <cell r="B680" t="str">
            <v>Teja S de barro ± l = 0,46 m a = 0,285 m</v>
          </cell>
          <cell r="C680" t="str">
            <v>Un</v>
          </cell>
          <cell r="D680"/>
          <cell r="E680">
            <v>4900</v>
          </cell>
        </row>
        <row r="681">
          <cell r="A681" t="str">
            <v>MAT,393</v>
          </cell>
          <cell r="B681" t="str">
            <v>Teja termoacústica UPVC 2,5 mm, azul, roja, verde o blanca</v>
          </cell>
          <cell r="C681" t="str">
            <v>M2</v>
          </cell>
          <cell r="D681"/>
          <cell r="E681">
            <v>58394</v>
          </cell>
        </row>
        <row r="682">
          <cell r="A682" t="str">
            <v>MAT,166</v>
          </cell>
          <cell r="B682" t="str">
            <v>Teja zinc ondulada ± 2,13 x 0,80 m C 34</v>
          </cell>
          <cell r="C682" t="str">
            <v>M2</v>
          </cell>
          <cell r="D682"/>
          <cell r="E682">
            <v>13767</v>
          </cell>
        </row>
        <row r="683">
          <cell r="A683" t="str">
            <v>MAT,394</v>
          </cell>
          <cell r="B683" t="str">
            <v>Tela de cerramiento a = 2,10 m (rollo por 100 m)</v>
          </cell>
          <cell r="C683" t="str">
            <v>M2</v>
          </cell>
          <cell r="D683"/>
          <cell r="E683">
            <v>1418</v>
          </cell>
        </row>
        <row r="684">
          <cell r="A684" t="str">
            <v>MAT,395</v>
          </cell>
          <cell r="B684" t="str">
            <v>Tela para protección de edificios</v>
          </cell>
          <cell r="C684" t="str">
            <v>M2</v>
          </cell>
          <cell r="D684"/>
          <cell r="E684">
            <v>1724</v>
          </cell>
        </row>
        <row r="685">
          <cell r="A685" t="str">
            <v>MAT,730</v>
          </cell>
          <cell r="B685" t="str">
            <v>Terminal compresión cable 1/0 AMP AWG</v>
          </cell>
          <cell r="C685" t="str">
            <v>Un</v>
          </cell>
          <cell r="D685"/>
          <cell r="E685">
            <v>15600</v>
          </cell>
        </row>
        <row r="686">
          <cell r="A686" t="str">
            <v>MAT,731</v>
          </cell>
          <cell r="B686" t="str">
            <v>Terminal compresión cable 6 AMP AWG</v>
          </cell>
          <cell r="C686" t="str">
            <v>Un</v>
          </cell>
          <cell r="D686"/>
          <cell r="E686">
            <v>1269</v>
          </cell>
        </row>
        <row r="687">
          <cell r="A687" t="str">
            <v>MAT,732</v>
          </cell>
          <cell r="B687" t="str">
            <v>Terminal conduit EMT 1 ½"</v>
          </cell>
          <cell r="C687" t="str">
            <v>Un</v>
          </cell>
          <cell r="D687"/>
          <cell r="E687">
            <v>2600</v>
          </cell>
        </row>
        <row r="688">
          <cell r="A688" t="str">
            <v>MAT,733</v>
          </cell>
          <cell r="B688" t="str">
            <v>Terminal conduit EMT 1"</v>
          </cell>
          <cell r="C688" t="str">
            <v>Un</v>
          </cell>
          <cell r="D688"/>
          <cell r="E688">
            <v>1500</v>
          </cell>
        </row>
        <row r="689">
          <cell r="A689" t="str">
            <v>MAT,734</v>
          </cell>
          <cell r="B689" t="str">
            <v>Terminal conduit EMT 3/4"</v>
          </cell>
          <cell r="C689" t="str">
            <v>Un</v>
          </cell>
          <cell r="D689"/>
          <cell r="E689">
            <v>1150</v>
          </cell>
        </row>
        <row r="690">
          <cell r="A690" t="str">
            <v>MAT,397</v>
          </cell>
          <cell r="B690" t="str">
            <v>Tierra no vegetal</v>
          </cell>
          <cell r="C690" t="str">
            <v>M3</v>
          </cell>
          <cell r="D690"/>
          <cell r="E690">
            <v>93750</v>
          </cell>
        </row>
        <row r="691">
          <cell r="A691" t="str">
            <v>MAT,398</v>
          </cell>
          <cell r="B691" t="str">
            <v>Tierra vegetal</v>
          </cell>
          <cell r="C691" t="str">
            <v>M3</v>
          </cell>
          <cell r="D691"/>
          <cell r="E691">
            <v>93750</v>
          </cell>
        </row>
        <row r="692">
          <cell r="A692" t="str">
            <v>MAT,664</v>
          </cell>
          <cell r="B692" t="str">
            <v>Toallero de barra cromado a ≥ 47 cm, fácil click</v>
          </cell>
          <cell r="C692" t="str">
            <v>Un</v>
          </cell>
          <cell r="D692"/>
          <cell r="E692">
            <v>31800</v>
          </cell>
        </row>
        <row r="693">
          <cell r="A693" t="str">
            <v>MAT,663</v>
          </cell>
          <cell r="B693" t="str">
            <v>Toallero en polímero de alta ingeniería cromado, de argolla tipo Valencia, fácil click</v>
          </cell>
          <cell r="C693" t="str">
            <v>Un</v>
          </cell>
          <cell r="D693"/>
          <cell r="E693">
            <v>39900</v>
          </cell>
        </row>
        <row r="694">
          <cell r="A694" t="str">
            <v>MAT,735</v>
          </cell>
          <cell r="B694" t="str">
            <v>Toma coaxial Luminex AMBIA REFRESH o similar</v>
          </cell>
          <cell r="C694" t="str">
            <v>Un</v>
          </cell>
          <cell r="D694"/>
          <cell r="E694">
            <v>6150</v>
          </cell>
        </row>
        <row r="695">
          <cell r="A695" t="str">
            <v>MAT,611</v>
          </cell>
          <cell r="B695" t="str">
            <v>Toma corriente doble con polo a tierra, marca Luminex o similar</v>
          </cell>
          <cell r="C695" t="str">
            <v>Un</v>
          </cell>
          <cell r="D695"/>
          <cell r="E695">
            <v>6150</v>
          </cell>
        </row>
        <row r="696">
          <cell r="A696" t="str">
            <v>MAT,605</v>
          </cell>
          <cell r="B696" t="str">
            <v>Toma corriente doble tipo GFCI, marca Luminex o similar</v>
          </cell>
          <cell r="C696" t="str">
            <v>Un</v>
          </cell>
          <cell r="D696"/>
          <cell r="E696">
            <v>33150</v>
          </cell>
        </row>
        <row r="697">
          <cell r="A697" t="str">
            <v>MAT,736</v>
          </cell>
          <cell r="B697" t="str">
            <v>Toma doble polo a tierra aislada LEVITON NEMA 5 - 15 o similar</v>
          </cell>
          <cell r="C697" t="str">
            <v>Un</v>
          </cell>
          <cell r="D697"/>
          <cell r="E697">
            <v>39900</v>
          </cell>
        </row>
        <row r="698">
          <cell r="A698" t="str">
            <v>MAT,737</v>
          </cell>
          <cell r="B698" t="str">
            <v>Toma doble polo a tierra GFCI Luminex AMBIA REFRESH o similar</v>
          </cell>
          <cell r="C698" t="str">
            <v>Un</v>
          </cell>
          <cell r="D698"/>
          <cell r="E698">
            <v>33150</v>
          </cell>
        </row>
        <row r="699">
          <cell r="A699" t="str">
            <v>MAT,738</v>
          </cell>
          <cell r="B699" t="str">
            <v>Toma doble polo a tierra LEVITON 20 A o similar</v>
          </cell>
          <cell r="C699" t="str">
            <v>Un</v>
          </cell>
          <cell r="D699"/>
          <cell r="E699">
            <v>13000</v>
          </cell>
        </row>
        <row r="700">
          <cell r="A700" t="str">
            <v>MAT,739</v>
          </cell>
          <cell r="B700" t="str">
            <v>Toma doble polo a tierra Luminex AMBIA REFRESH</v>
          </cell>
          <cell r="C700" t="str">
            <v>Un</v>
          </cell>
          <cell r="D700"/>
          <cell r="E700">
            <v>6100</v>
          </cell>
        </row>
        <row r="701">
          <cell r="A701" t="str">
            <v>MAT,740</v>
          </cell>
          <cell r="B701" t="str">
            <v>Toma industrial de sobre poner 3 F, N, T 63A</v>
          </cell>
          <cell r="C701" t="str">
            <v>Un</v>
          </cell>
          <cell r="D701"/>
          <cell r="E701">
            <v>239900</v>
          </cell>
        </row>
        <row r="702">
          <cell r="A702" t="str">
            <v>MAT,602</v>
          </cell>
          <cell r="B702" t="str">
            <v>Toma sencilla de incrustar 20 A 250 V 2F Turnlock</v>
          </cell>
          <cell r="C702" t="str">
            <v>Un</v>
          </cell>
          <cell r="D702"/>
          <cell r="E702">
            <v>49990</v>
          </cell>
        </row>
        <row r="703">
          <cell r="A703" t="str">
            <v>MAT,511</v>
          </cell>
          <cell r="B703" t="str">
            <v>Tope para puerta (caucho - resorte)</v>
          </cell>
          <cell r="C703" t="str">
            <v>Un</v>
          </cell>
          <cell r="D703"/>
          <cell r="E703">
            <v>6900</v>
          </cell>
        </row>
        <row r="704">
          <cell r="A704" t="str">
            <v>MAT,405</v>
          </cell>
          <cell r="B704" t="str">
            <v>Tornillo autoperforante 8/18" x ½" zinc hexágono metal tecks</v>
          </cell>
          <cell r="C704" t="str">
            <v>Un</v>
          </cell>
          <cell r="D704"/>
          <cell r="E704">
            <v>8033.333333333333</v>
          </cell>
        </row>
        <row r="705">
          <cell r="A705" t="str">
            <v>MAT,583</v>
          </cell>
          <cell r="B705" t="str">
            <v>Tornillo de carriaje de 5/8" x 2", incluye tuerca, arandela plana y de presión</v>
          </cell>
          <cell r="C705" t="str">
            <v>Un</v>
          </cell>
          <cell r="D705"/>
          <cell r="E705">
            <v>1800</v>
          </cell>
        </row>
        <row r="706">
          <cell r="A706" t="str">
            <v>MAT,406</v>
          </cell>
          <cell r="B706" t="str">
            <v>Tornillo drywall 6 x 1"</v>
          </cell>
          <cell r="C706" t="str">
            <v>Un</v>
          </cell>
          <cell r="D706"/>
          <cell r="E706">
            <v>38</v>
          </cell>
        </row>
        <row r="707">
          <cell r="A707" t="str">
            <v>MAT,742</v>
          </cell>
          <cell r="B707" t="str">
            <v>Tornillo espaciador 5/8" x 14"</v>
          </cell>
          <cell r="C707" t="str">
            <v>Un</v>
          </cell>
          <cell r="D707"/>
          <cell r="E707">
            <v>7800</v>
          </cell>
        </row>
        <row r="708">
          <cell r="A708" t="str">
            <v>MAT,407</v>
          </cell>
          <cell r="B708" t="str">
            <v>Tornillo estructura drywall 8 x 1/2"</v>
          </cell>
          <cell r="C708" t="str">
            <v>Un</v>
          </cell>
          <cell r="D708"/>
          <cell r="E708">
            <v>86</v>
          </cell>
        </row>
        <row r="709">
          <cell r="A709" t="str">
            <v>MAT,743</v>
          </cell>
          <cell r="B709" t="str">
            <v>Tornillo máquina ½" x 1 ½"</v>
          </cell>
          <cell r="C709" t="str">
            <v>Un</v>
          </cell>
          <cell r="D709"/>
          <cell r="E709">
            <v>1400</v>
          </cell>
        </row>
        <row r="710">
          <cell r="A710" t="str">
            <v>MAT,744</v>
          </cell>
          <cell r="B710" t="str">
            <v>Tornillo máquina 3/4" x 2"</v>
          </cell>
          <cell r="C710" t="str">
            <v>Un</v>
          </cell>
          <cell r="D710"/>
          <cell r="E710">
            <v>3000</v>
          </cell>
        </row>
        <row r="711">
          <cell r="A711" t="str">
            <v>MAT,745</v>
          </cell>
          <cell r="B711" t="str">
            <v>Tornillo máquina 5/8" x 2"</v>
          </cell>
          <cell r="C711" t="str">
            <v>Un</v>
          </cell>
          <cell r="D711"/>
          <cell r="E711">
            <v>1700</v>
          </cell>
        </row>
        <row r="712">
          <cell r="A712" t="str">
            <v>MAT,409</v>
          </cell>
          <cell r="B712" t="str">
            <v>Trampa de grasa 250 lt</v>
          </cell>
          <cell r="C712" t="str">
            <v>Un</v>
          </cell>
          <cell r="D712"/>
          <cell r="E712">
            <v>284900</v>
          </cell>
        </row>
        <row r="713">
          <cell r="A713" t="str">
            <v>MAT,746</v>
          </cell>
          <cell r="B713" t="str">
            <v>Transformador 3ø 150 KVA, 13.2 Kv, 214/123 V</v>
          </cell>
          <cell r="C713" t="str">
            <v>Un</v>
          </cell>
          <cell r="D713"/>
          <cell r="E713">
            <v>23487650</v>
          </cell>
        </row>
        <row r="714">
          <cell r="A714" t="str">
            <v>MAT,747</v>
          </cell>
          <cell r="B714" t="str">
            <v>Transformador de corriente 15 Kv, 5A uso exterior</v>
          </cell>
          <cell r="C714" t="str">
            <v>Un</v>
          </cell>
          <cell r="D714"/>
          <cell r="E714">
            <v>3400000</v>
          </cell>
        </row>
        <row r="715">
          <cell r="A715" t="str">
            <v>MAT,748</v>
          </cell>
          <cell r="B715" t="str">
            <v>Transformador de potencia 15 Kv/120v uso exterior</v>
          </cell>
          <cell r="C715" t="str">
            <v>Un</v>
          </cell>
          <cell r="D715"/>
          <cell r="E715">
            <v>4472000</v>
          </cell>
        </row>
        <row r="716">
          <cell r="A716" t="str">
            <v>MAT,410</v>
          </cell>
          <cell r="B716" t="str">
            <v>Triturado 3/4" para concreto</v>
          </cell>
          <cell r="C716" t="str">
            <v>M3</v>
          </cell>
          <cell r="D716"/>
          <cell r="E716">
            <v>74972.5</v>
          </cell>
        </row>
        <row r="717">
          <cell r="A717" t="str">
            <v>MAT,751</v>
          </cell>
          <cell r="B717" t="str">
            <v>Tubería conduit EMT ½"</v>
          </cell>
          <cell r="C717" t="str">
            <v>M</v>
          </cell>
          <cell r="D717"/>
          <cell r="E717">
            <v>6600</v>
          </cell>
        </row>
        <row r="718">
          <cell r="A718" t="str">
            <v>MAT,749</v>
          </cell>
          <cell r="B718" t="str">
            <v>Tubería conduit EMT 1 ½"</v>
          </cell>
          <cell r="C718" t="str">
            <v>M</v>
          </cell>
          <cell r="D718"/>
          <cell r="E718">
            <v>24100</v>
          </cell>
        </row>
        <row r="719">
          <cell r="A719" t="str">
            <v>MAT,750</v>
          </cell>
          <cell r="B719" t="str">
            <v>Tubería conduit EMT 1"</v>
          </cell>
          <cell r="C719" t="str">
            <v>M</v>
          </cell>
          <cell r="D719"/>
          <cell r="E719">
            <v>13283.333333333334</v>
          </cell>
        </row>
        <row r="720">
          <cell r="A720" t="str">
            <v>MAT,752</v>
          </cell>
          <cell r="B720" t="str">
            <v>Tubería conduit EMT 2"</v>
          </cell>
          <cell r="C720" t="str">
            <v>M</v>
          </cell>
          <cell r="D720"/>
          <cell r="E720">
            <v>35433.333333333336</v>
          </cell>
        </row>
        <row r="721">
          <cell r="A721" t="str">
            <v>MAT,753</v>
          </cell>
          <cell r="B721" t="str">
            <v>Tubería conduit EMT 3"</v>
          </cell>
          <cell r="C721" t="str">
            <v>M</v>
          </cell>
          <cell r="D721"/>
          <cell r="E721">
            <v>79100</v>
          </cell>
        </row>
        <row r="722">
          <cell r="A722" t="str">
            <v>MAT,609</v>
          </cell>
          <cell r="B722" t="str">
            <v>Tubería conduit EMT 3/4"</v>
          </cell>
          <cell r="C722" t="str">
            <v>M</v>
          </cell>
          <cell r="D722"/>
          <cell r="E722">
            <v>9100</v>
          </cell>
        </row>
        <row r="723">
          <cell r="A723" t="str">
            <v>MAT,754</v>
          </cell>
          <cell r="B723" t="str">
            <v>Tubería conduit EMT 4"</v>
          </cell>
          <cell r="C723" t="str">
            <v>M</v>
          </cell>
          <cell r="D723"/>
          <cell r="E723">
            <v>112333.33333333333</v>
          </cell>
        </row>
        <row r="724">
          <cell r="A724" t="str">
            <v>MAT,584</v>
          </cell>
          <cell r="B724" t="str">
            <v>Tubería conduit IMC ½"</v>
          </cell>
          <cell r="C724" t="str">
            <v>M</v>
          </cell>
          <cell r="D724"/>
          <cell r="E724">
            <v>15200</v>
          </cell>
        </row>
        <row r="725">
          <cell r="A725" t="str">
            <v>MAT,755</v>
          </cell>
          <cell r="B725" t="str">
            <v>Tubería conduit IMC 1 ½"</v>
          </cell>
          <cell r="C725" t="str">
            <v>M</v>
          </cell>
          <cell r="D725"/>
          <cell r="E725">
            <v>42516.666666666664</v>
          </cell>
        </row>
        <row r="726">
          <cell r="A726" t="str">
            <v>MAT,571</v>
          </cell>
          <cell r="B726" t="str">
            <v>Tubería conduit IMC 1"</v>
          </cell>
          <cell r="C726" t="str">
            <v>M</v>
          </cell>
          <cell r="D726"/>
          <cell r="E726">
            <v>26150</v>
          </cell>
        </row>
        <row r="727">
          <cell r="A727" t="str">
            <v>MAT,756</v>
          </cell>
          <cell r="B727" t="str">
            <v>Tubería conduit IMC 2"</v>
          </cell>
          <cell r="C727" t="str">
            <v>M</v>
          </cell>
          <cell r="D727"/>
          <cell r="E727">
            <v>53533.333333333336</v>
          </cell>
        </row>
        <row r="728">
          <cell r="A728" t="str">
            <v>MAT,595</v>
          </cell>
          <cell r="B728" t="str">
            <v>Tubería conduit IMC 3/4"</v>
          </cell>
          <cell r="C728" t="str">
            <v>M</v>
          </cell>
          <cell r="D728"/>
          <cell r="E728">
            <v>23050</v>
          </cell>
        </row>
        <row r="729">
          <cell r="A729" t="str">
            <v>MAT,757</v>
          </cell>
          <cell r="B729" t="str">
            <v>Tubería conduit IMC 4"</v>
          </cell>
          <cell r="C729" t="str">
            <v>M</v>
          </cell>
          <cell r="D729"/>
          <cell r="E729">
            <v>162733.33333333334</v>
          </cell>
        </row>
        <row r="730">
          <cell r="A730" t="str">
            <v>MAT,619</v>
          </cell>
          <cell r="B730" t="str">
            <v>Tubería conduit PVC ½"</v>
          </cell>
          <cell r="C730" t="str">
            <v>M</v>
          </cell>
          <cell r="D730"/>
          <cell r="E730">
            <v>1283.3333333333333</v>
          </cell>
        </row>
        <row r="731">
          <cell r="A731" t="str">
            <v>MAT,638</v>
          </cell>
          <cell r="B731" t="str">
            <v>Tubería conduit PVC ½" SCH 40</v>
          </cell>
          <cell r="C731" t="str">
            <v>M</v>
          </cell>
          <cell r="D731"/>
          <cell r="E731">
            <v>2566.6666666666665</v>
          </cell>
        </row>
        <row r="732">
          <cell r="A732" t="str">
            <v>MAT,758</v>
          </cell>
          <cell r="B732" t="str">
            <v>Tubería conduit PVC 1"</v>
          </cell>
          <cell r="C732" t="str">
            <v>M</v>
          </cell>
          <cell r="D732"/>
          <cell r="E732">
            <v>2350</v>
          </cell>
        </row>
        <row r="733">
          <cell r="A733" t="str">
            <v>MAT,636</v>
          </cell>
          <cell r="B733" t="str">
            <v>Tubería conduit PVC 3/4"</v>
          </cell>
          <cell r="C733" t="str">
            <v>M</v>
          </cell>
          <cell r="D733"/>
          <cell r="E733">
            <v>1733.3333333333333</v>
          </cell>
        </row>
        <row r="734">
          <cell r="A734" t="str">
            <v>MAT,411</v>
          </cell>
          <cell r="B734" t="str">
            <v>Tubería CPVC de ½" 100 PSI</v>
          </cell>
          <cell r="C734" t="str">
            <v>M</v>
          </cell>
          <cell r="D734"/>
          <cell r="E734">
            <v>4667</v>
          </cell>
        </row>
        <row r="735">
          <cell r="A735" t="str">
            <v>MAT,412</v>
          </cell>
          <cell r="B735" t="str">
            <v>Tubería de concreto vibrada de 10" unión caucho C 2 (250 mm)</v>
          </cell>
          <cell r="C735" t="str">
            <v>M</v>
          </cell>
          <cell r="D735"/>
          <cell r="E735">
            <v>27167</v>
          </cell>
        </row>
        <row r="736">
          <cell r="A736" t="str">
            <v>MAT,413</v>
          </cell>
          <cell r="B736" t="str">
            <v>Tubería de concreto vibrada de 12" unión caucho C 2 (300 mm)</v>
          </cell>
          <cell r="C736" t="str">
            <v>M</v>
          </cell>
          <cell r="D736"/>
          <cell r="E736">
            <v>28667</v>
          </cell>
        </row>
        <row r="737">
          <cell r="A737" t="str">
            <v>MAT,414</v>
          </cell>
          <cell r="B737" t="str">
            <v>Tubería de concreto vibrada de 15" unión caucho C 2 (375 mm)</v>
          </cell>
          <cell r="C737" t="str">
            <v>M</v>
          </cell>
          <cell r="D737"/>
          <cell r="E737">
            <v>59119</v>
          </cell>
        </row>
        <row r="738">
          <cell r="A738" t="str">
            <v>MAT,415</v>
          </cell>
          <cell r="B738" t="str">
            <v>Tubería de concreto vibrada de 16" unión caucho C 2 (400 mm)</v>
          </cell>
          <cell r="C738" t="str">
            <v>M</v>
          </cell>
          <cell r="D738"/>
          <cell r="E738">
            <v>59833</v>
          </cell>
        </row>
        <row r="739">
          <cell r="A739" t="str">
            <v>MAT,416</v>
          </cell>
          <cell r="B739" t="str">
            <v>Tubería de concreto vibrada de 18" unión caucho C 2 (450 mm)</v>
          </cell>
          <cell r="C739" t="str">
            <v>M</v>
          </cell>
          <cell r="D739"/>
          <cell r="E739">
            <v>92820</v>
          </cell>
        </row>
        <row r="740">
          <cell r="A740" t="str">
            <v>MAT,417</v>
          </cell>
          <cell r="B740" t="str">
            <v>Tubería de concreto vibrada de 21" unión caucho C 2 (525 mm)</v>
          </cell>
          <cell r="C740" t="str">
            <v>M</v>
          </cell>
          <cell r="D740"/>
          <cell r="E740">
            <v>105672</v>
          </cell>
        </row>
        <row r="741">
          <cell r="A741" t="str">
            <v>MAT,418</v>
          </cell>
          <cell r="B741" t="str">
            <v>Tubería de concreto vibrada de 24" unión caucho C 2 (600 mm)</v>
          </cell>
          <cell r="C741" t="str">
            <v>M</v>
          </cell>
          <cell r="D741"/>
          <cell r="E741">
            <v>137088</v>
          </cell>
        </row>
        <row r="742">
          <cell r="A742" t="str">
            <v>MAT,420</v>
          </cell>
          <cell r="B742" t="str">
            <v>Tubería de concreto vibrada reforzada de 24" unión caucho C 2 (600 mm)</v>
          </cell>
          <cell r="C742" t="str">
            <v>M</v>
          </cell>
          <cell r="D742"/>
          <cell r="E742">
            <v>234136</v>
          </cell>
        </row>
        <row r="743">
          <cell r="A743" t="str">
            <v>MAT,421</v>
          </cell>
          <cell r="B743" t="str">
            <v>Tubería de concreto vibrada reforzada de 30" unión caucho C 2 (750 mm)</v>
          </cell>
          <cell r="C743" t="str">
            <v>M</v>
          </cell>
          <cell r="D743"/>
          <cell r="E743">
            <v>448868</v>
          </cell>
        </row>
        <row r="744">
          <cell r="A744" t="str">
            <v>MAT,422</v>
          </cell>
          <cell r="B744" t="str">
            <v>Tubería de concreto vibrada reforzada de 36" unión caucho C 2 (900 mm)</v>
          </cell>
          <cell r="C744" t="str">
            <v>M</v>
          </cell>
          <cell r="D744"/>
          <cell r="E744">
            <v>549177</v>
          </cell>
        </row>
        <row r="745">
          <cell r="A745" t="str">
            <v>MAT,423</v>
          </cell>
          <cell r="B745" t="str">
            <v>Tubería de concreto vibrada reforzada de 40" unión caucho C 2 (1000 mm)</v>
          </cell>
          <cell r="C745" t="str">
            <v>M</v>
          </cell>
          <cell r="D745"/>
          <cell r="E745">
            <v>697975</v>
          </cell>
        </row>
        <row r="746">
          <cell r="A746" t="str">
            <v>MAT,424</v>
          </cell>
          <cell r="B746" t="str">
            <v>Tubería de concreto vibrada reforzada de 48" unión caucho C 2 (1200 mm)</v>
          </cell>
          <cell r="C746" t="str">
            <v>M</v>
          </cell>
          <cell r="D746"/>
          <cell r="E746">
            <v>525076</v>
          </cell>
        </row>
        <row r="747">
          <cell r="A747" t="str">
            <v>MAT,425</v>
          </cell>
          <cell r="B747" t="str">
            <v>Tubería de concreto vibrada reforzada de 52" unión caucho C 2 (1300 mm)</v>
          </cell>
          <cell r="C747" t="str">
            <v>M</v>
          </cell>
          <cell r="D747"/>
          <cell r="E747">
            <v>568454</v>
          </cell>
        </row>
        <row r="748">
          <cell r="A748" t="str">
            <v>MAT,426</v>
          </cell>
          <cell r="B748" t="str">
            <v>Tubería de concreto vibrada reforzada de 60" unión caucho C 2 (1500 mm)</v>
          </cell>
          <cell r="C748" t="str">
            <v>M</v>
          </cell>
          <cell r="D748"/>
          <cell r="E748">
            <v>755412</v>
          </cell>
        </row>
        <row r="749">
          <cell r="A749" t="str">
            <v>MAT,519</v>
          </cell>
          <cell r="B749" t="str">
            <v>Tubería de HG de 2" C 14</v>
          </cell>
          <cell r="C749" t="str">
            <v>M</v>
          </cell>
          <cell r="D749"/>
          <cell r="E749">
            <v>19650</v>
          </cell>
        </row>
        <row r="750">
          <cell r="A750" t="str">
            <v>MAT,427</v>
          </cell>
          <cell r="B750" t="str">
            <v>Tubería de HG de 3"</v>
          </cell>
          <cell r="C750" t="str">
            <v>M</v>
          </cell>
          <cell r="D750"/>
          <cell r="E750">
            <v>72640.333333333328</v>
          </cell>
        </row>
        <row r="751">
          <cell r="A751" t="str">
            <v>MAT,428</v>
          </cell>
          <cell r="B751" t="str">
            <v>Tubería galvanizada para cerramiento de 1 ½" x 6 m</v>
          </cell>
          <cell r="C751" t="str">
            <v>M</v>
          </cell>
          <cell r="D751"/>
          <cell r="E751">
            <v>10712</v>
          </cell>
        </row>
        <row r="752">
          <cell r="A752" t="str">
            <v>MAT,472</v>
          </cell>
          <cell r="B752" t="str">
            <v>Tubería galvanizada para cerramiento de 1 ½" x 6 m incluye tapa</v>
          </cell>
          <cell r="C752" t="str">
            <v>Un</v>
          </cell>
          <cell r="D752"/>
          <cell r="E752">
            <v>64270</v>
          </cell>
        </row>
        <row r="753">
          <cell r="A753" t="str">
            <v>MAT,429</v>
          </cell>
          <cell r="B753" t="str">
            <v>Tubería PF + UAD ½" (manguera)</v>
          </cell>
          <cell r="C753" t="str">
            <v>M</v>
          </cell>
          <cell r="D753"/>
          <cell r="E753">
            <v>3950</v>
          </cell>
        </row>
        <row r="754">
          <cell r="A754" t="str">
            <v>MAT,430</v>
          </cell>
          <cell r="B754" t="str">
            <v>Tubería PVC acueducto unión platino de 2" RDE 21</v>
          </cell>
          <cell r="C754" t="str">
            <v>M</v>
          </cell>
          <cell r="D754"/>
          <cell r="E754">
            <v>12317</v>
          </cell>
        </row>
        <row r="755">
          <cell r="A755" t="str">
            <v>MAT,431</v>
          </cell>
          <cell r="B755" t="str">
            <v>Tubería PVC acueducto unión platino de 3" RDE 21</v>
          </cell>
          <cell r="C755" t="str">
            <v>M</v>
          </cell>
          <cell r="D755"/>
          <cell r="E755">
            <v>34984</v>
          </cell>
        </row>
        <row r="756">
          <cell r="A756" t="str">
            <v>MAT,432</v>
          </cell>
          <cell r="B756" t="str">
            <v>Tubería PVC acueducto unión platino de 4" RDE 21</v>
          </cell>
          <cell r="C756" t="str">
            <v>M</v>
          </cell>
          <cell r="D756"/>
          <cell r="E756">
            <v>73150</v>
          </cell>
        </row>
        <row r="757">
          <cell r="A757" t="str">
            <v>MAT,433</v>
          </cell>
          <cell r="B757" t="str">
            <v>Tubería PVC acueducto unión platino de 6" RDE 21</v>
          </cell>
          <cell r="C757" t="str">
            <v>M</v>
          </cell>
          <cell r="D757"/>
          <cell r="E757">
            <v>90650</v>
          </cell>
        </row>
        <row r="758">
          <cell r="A758" t="str">
            <v>MAT,434</v>
          </cell>
          <cell r="B758" t="str">
            <v>Tubería PVC acueducto unión platino de 8" RDE 21</v>
          </cell>
          <cell r="C758" t="str">
            <v>M</v>
          </cell>
          <cell r="D758"/>
          <cell r="E758">
            <v>144084</v>
          </cell>
        </row>
        <row r="759">
          <cell r="A759" t="str">
            <v>MAT,435</v>
          </cell>
          <cell r="B759" t="str">
            <v>Tubería PVC agua lluvia cuadrada</v>
          </cell>
          <cell r="C759" t="str">
            <v>M</v>
          </cell>
          <cell r="D759"/>
          <cell r="E759">
            <v>16300</v>
          </cell>
        </row>
        <row r="760">
          <cell r="A760" t="str">
            <v>MAT,436</v>
          </cell>
          <cell r="B760" t="str">
            <v>Tubería PVC agua lluvia de 2"</v>
          </cell>
          <cell r="C760" t="str">
            <v>M</v>
          </cell>
          <cell r="D760"/>
          <cell r="E760">
            <v>8484</v>
          </cell>
        </row>
        <row r="761">
          <cell r="A761" t="str">
            <v>MAT,437</v>
          </cell>
          <cell r="B761" t="str">
            <v>Tubería PVC agua lluvia de 3"</v>
          </cell>
          <cell r="C761" t="str">
            <v>M</v>
          </cell>
          <cell r="D761"/>
          <cell r="E761">
            <v>12317</v>
          </cell>
        </row>
        <row r="762">
          <cell r="A762" t="str">
            <v>MAT,438</v>
          </cell>
          <cell r="B762" t="str">
            <v>Tubería PVC agua lluvia de 4"</v>
          </cell>
          <cell r="C762" t="str">
            <v>M</v>
          </cell>
          <cell r="D762"/>
          <cell r="E762">
            <v>16141.666666666666</v>
          </cell>
        </row>
        <row r="763">
          <cell r="A763" t="str">
            <v>MAT,441</v>
          </cell>
          <cell r="B763" t="str">
            <v>Tubería PVC corrugada perforada de 100 mm (4")</v>
          </cell>
          <cell r="C763" t="str">
            <v>M</v>
          </cell>
          <cell r="D763"/>
          <cell r="E763">
            <v>17990</v>
          </cell>
        </row>
        <row r="764">
          <cell r="A764" t="str">
            <v>MAT,442</v>
          </cell>
          <cell r="B764" t="str">
            <v>Tubería PVC corrugada perforada de 160 mm (6")</v>
          </cell>
          <cell r="C764" t="str">
            <v>M</v>
          </cell>
          <cell r="D764"/>
          <cell r="E764">
            <v>34260</v>
          </cell>
        </row>
        <row r="765">
          <cell r="A765" t="str">
            <v>MAT,443</v>
          </cell>
          <cell r="B765" t="str">
            <v>Tubería PVC corrugada perforada de 200 mm (8")</v>
          </cell>
          <cell r="C765" t="str">
            <v>M</v>
          </cell>
          <cell r="D765"/>
          <cell r="E765">
            <v>30670.666666666668</v>
          </cell>
        </row>
        <row r="766">
          <cell r="A766" t="str">
            <v>MAT,444</v>
          </cell>
          <cell r="B766" t="str">
            <v>Tubería PVC de alcantarillado de pared estructural d =  10", exterior corrugado</v>
          </cell>
          <cell r="C766" t="str">
            <v>M</v>
          </cell>
          <cell r="D766"/>
          <cell r="E766">
            <v>63484</v>
          </cell>
        </row>
        <row r="767">
          <cell r="A767" t="str">
            <v>MAT,445</v>
          </cell>
          <cell r="B767" t="str">
            <v>Tubería PVC de alcantarillado de pared estructural d =  12", exterior corrugado</v>
          </cell>
          <cell r="C767" t="str">
            <v>M</v>
          </cell>
          <cell r="D767"/>
          <cell r="E767">
            <v>124650</v>
          </cell>
        </row>
        <row r="768">
          <cell r="A768" t="str">
            <v>MAT,446</v>
          </cell>
          <cell r="B768" t="str">
            <v>Tubería PVC de alcantarillado de pared estructural d =  16", exterior corrugado</v>
          </cell>
          <cell r="C768" t="str">
            <v>M</v>
          </cell>
          <cell r="D768"/>
          <cell r="E768">
            <v>228650</v>
          </cell>
        </row>
        <row r="769">
          <cell r="A769" t="str">
            <v>MAT,447</v>
          </cell>
          <cell r="B769" t="str">
            <v>Tubería PVC de alcantarillado de pared estructural d =  4", exterior corrugado</v>
          </cell>
          <cell r="C769" t="str">
            <v>M</v>
          </cell>
          <cell r="D769"/>
          <cell r="E769">
            <v>12816.666666666666</v>
          </cell>
        </row>
        <row r="770">
          <cell r="A770" t="str">
            <v>MAT,448</v>
          </cell>
          <cell r="B770" t="str">
            <v>Tubería PVC de alcantarillado de pared estructural d =  6", exterior corrugado</v>
          </cell>
          <cell r="C770" t="str">
            <v>M</v>
          </cell>
          <cell r="D770"/>
          <cell r="E770">
            <v>41484</v>
          </cell>
        </row>
        <row r="771">
          <cell r="A771" t="str">
            <v>MAT,449</v>
          </cell>
          <cell r="B771" t="str">
            <v>Tubería PVC de alcantarillado de pared estructural d =  8", exterior corrugado</v>
          </cell>
          <cell r="C771" t="str">
            <v>M</v>
          </cell>
          <cell r="D771"/>
          <cell r="E771">
            <v>43150</v>
          </cell>
        </row>
        <row r="772">
          <cell r="A772" t="str">
            <v>MAT,541</v>
          </cell>
          <cell r="B772" t="str">
            <v>Tubería PVC de alcantarillado de pared estructural d = 24", exterior corrugado</v>
          </cell>
          <cell r="C772" t="str">
            <v>M</v>
          </cell>
          <cell r="D772"/>
          <cell r="E772">
            <v>607184.61538461538</v>
          </cell>
        </row>
        <row r="773">
          <cell r="A773" t="str">
            <v>MAT,450</v>
          </cell>
          <cell r="B773" t="str">
            <v>Tubería PVC de alcantarillado de pared estructural d = 27", exterior corrugado</v>
          </cell>
          <cell r="C773" t="str">
            <v>M</v>
          </cell>
          <cell r="D773"/>
          <cell r="E773">
            <v>714030.76923076925</v>
          </cell>
        </row>
        <row r="774">
          <cell r="A774" t="str">
            <v>MAT,451</v>
          </cell>
          <cell r="B774" t="str">
            <v>Tubería PVC de alcantarillado de pared estructural d = 30", exterior corrugado</v>
          </cell>
          <cell r="C774" t="str">
            <v>M</v>
          </cell>
          <cell r="D774"/>
          <cell r="E774">
            <v>813114</v>
          </cell>
        </row>
        <row r="775">
          <cell r="A775" t="str">
            <v>MAT,452</v>
          </cell>
          <cell r="B775" t="str">
            <v>Tubería PVC de alcantarillado de pared estructural d = 36", exterior corrugado</v>
          </cell>
          <cell r="C775" t="str">
            <v>M</v>
          </cell>
          <cell r="D775"/>
          <cell r="E775">
            <v>1653892.3076923077</v>
          </cell>
        </row>
        <row r="776">
          <cell r="A776" t="str">
            <v>MAT,453</v>
          </cell>
          <cell r="B776" t="str">
            <v>Tubería PVC de alcantarillado de pared estructural d = 42", exterior corrugado</v>
          </cell>
          <cell r="C776" t="str">
            <v>M</v>
          </cell>
          <cell r="D776"/>
          <cell r="E776">
            <v>2597838.4615384615</v>
          </cell>
        </row>
        <row r="777">
          <cell r="A777" t="str">
            <v>MAT,564</v>
          </cell>
          <cell r="B777" t="str">
            <v>Tubería PVC de alcantarillado de pared estructural d = 45", exterior liso</v>
          </cell>
          <cell r="C777" t="str">
            <v>M</v>
          </cell>
          <cell r="D777"/>
          <cell r="E777">
            <v>2547435.076923077</v>
          </cell>
        </row>
        <row r="778">
          <cell r="A778" t="str">
            <v>MAT,454</v>
          </cell>
          <cell r="B778" t="str">
            <v>Tubería PVC de alcantarillado de pared estructural d = 48", exterior liso</v>
          </cell>
          <cell r="C778" t="str">
            <v>M</v>
          </cell>
          <cell r="D778"/>
          <cell r="E778">
            <v>3105506.153846154</v>
          </cell>
        </row>
        <row r="779">
          <cell r="A779" t="str">
            <v>MAT,455</v>
          </cell>
          <cell r="B779" t="str">
            <v>Tubería PVC de alcantarillado de pared estructural d = 51", con unión</v>
          </cell>
          <cell r="C779" t="str">
            <v>M</v>
          </cell>
          <cell r="D779"/>
          <cell r="E779">
            <v>601948.16666666663</v>
          </cell>
        </row>
        <row r="780">
          <cell r="A780" t="str">
            <v>MAT,456</v>
          </cell>
          <cell r="B780" t="str">
            <v>Tubería PVC de alcantarillado de pared estructural d = 54", con unión</v>
          </cell>
          <cell r="C780" t="str">
            <v>M</v>
          </cell>
          <cell r="D780"/>
          <cell r="E780">
            <v>633693.66666666663</v>
          </cell>
        </row>
        <row r="781">
          <cell r="A781" t="str">
            <v>MAT,657</v>
          </cell>
          <cell r="B781" t="str">
            <v>Tubería PVC de alcantarillado de pared estructural d = 57", con unión</v>
          </cell>
          <cell r="C781" t="str">
            <v>M</v>
          </cell>
          <cell r="D781"/>
          <cell r="E781">
            <v>661732</v>
          </cell>
        </row>
        <row r="782">
          <cell r="A782" t="str">
            <v>MAT,458</v>
          </cell>
          <cell r="B782" t="str">
            <v>Tubería PVC de alcantarillado de pared estructural d = 60", con unión</v>
          </cell>
          <cell r="C782" t="str">
            <v>M</v>
          </cell>
          <cell r="D782"/>
          <cell r="E782">
            <v>749553.66666666663</v>
          </cell>
        </row>
        <row r="783">
          <cell r="A783" t="str">
            <v>MAT,459</v>
          </cell>
          <cell r="B783" t="str">
            <v>Tubería PVC de ventilación de 2"</v>
          </cell>
          <cell r="C783" t="str">
            <v>M</v>
          </cell>
          <cell r="D783"/>
          <cell r="E783">
            <v>8484</v>
          </cell>
        </row>
        <row r="784">
          <cell r="A784" t="str">
            <v>MAT,460</v>
          </cell>
          <cell r="B784" t="str">
            <v>Tubería PVC de ventilación de 3"</v>
          </cell>
          <cell r="C784" t="str">
            <v>M</v>
          </cell>
          <cell r="D784"/>
          <cell r="E784">
            <v>12317</v>
          </cell>
        </row>
        <row r="785">
          <cell r="A785" t="str">
            <v>MAT,464</v>
          </cell>
          <cell r="B785" t="str">
            <v>Tubería PVC presión de ½" RDE 9</v>
          </cell>
          <cell r="C785" t="str">
            <v>M</v>
          </cell>
          <cell r="D785"/>
          <cell r="E785">
            <v>2317</v>
          </cell>
        </row>
        <row r="786">
          <cell r="A786" t="str">
            <v>MAT,462</v>
          </cell>
          <cell r="B786" t="str">
            <v>Tubería PVC presión de 1 ¼" RDE 21</v>
          </cell>
          <cell r="C786" t="str">
            <v>M</v>
          </cell>
          <cell r="D786"/>
          <cell r="E786">
            <v>9484</v>
          </cell>
        </row>
        <row r="787">
          <cell r="A787" t="str">
            <v>MAT,461</v>
          </cell>
          <cell r="B787" t="str">
            <v>Tubería PVC presión de 1 ½" RDE 21</v>
          </cell>
          <cell r="C787" t="str">
            <v>M</v>
          </cell>
          <cell r="D787"/>
          <cell r="E787">
            <v>12484</v>
          </cell>
        </row>
        <row r="788">
          <cell r="A788" t="str">
            <v>MAT,463</v>
          </cell>
          <cell r="B788" t="str">
            <v>Tubería PVC presión de 1" RDE 21</v>
          </cell>
          <cell r="C788" t="str">
            <v>M</v>
          </cell>
          <cell r="D788"/>
          <cell r="E788">
            <v>5484</v>
          </cell>
        </row>
        <row r="789">
          <cell r="A789" t="str">
            <v>MAT,465</v>
          </cell>
          <cell r="B789" t="str">
            <v>Tubería PVC presión de 2" RDE 21</v>
          </cell>
          <cell r="C789" t="str">
            <v>M</v>
          </cell>
          <cell r="D789"/>
          <cell r="E789">
            <v>18817</v>
          </cell>
        </row>
        <row r="790">
          <cell r="A790" t="str">
            <v>MAT,466</v>
          </cell>
          <cell r="B790" t="str">
            <v>Tubería PVC presión de 3" RDE 21</v>
          </cell>
          <cell r="C790" t="str">
            <v>M</v>
          </cell>
          <cell r="D790"/>
          <cell r="E790">
            <v>12550</v>
          </cell>
        </row>
        <row r="791">
          <cell r="A791" t="str">
            <v>MAT,467</v>
          </cell>
          <cell r="B791" t="str">
            <v>Tubería PVC presión de 3/4" RDE 21</v>
          </cell>
          <cell r="C791" t="str">
            <v>M</v>
          </cell>
          <cell r="D791"/>
          <cell r="E791">
            <v>1250</v>
          </cell>
        </row>
        <row r="792">
          <cell r="A792" t="str">
            <v>MAT,468</v>
          </cell>
          <cell r="B792" t="str">
            <v>Tubería PVC sanitaria de 2"</v>
          </cell>
          <cell r="C792" t="str">
            <v>M</v>
          </cell>
          <cell r="D792"/>
          <cell r="E792">
            <v>8317</v>
          </cell>
        </row>
        <row r="793">
          <cell r="A793" t="str">
            <v>MAT,469</v>
          </cell>
          <cell r="B793" t="str">
            <v>Tubería PVC sanitaria de 3"</v>
          </cell>
          <cell r="C793" t="str">
            <v>M</v>
          </cell>
          <cell r="D793"/>
          <cell r="E793">
            <v>12983</v>
          </cell>
        </row>
        <row r="794">
          <cell r="A794" t="str">
            <v>MAT,470</v>
          </cell>
          <cell r="B794" t="str">
            <v>Tubería PVC sanitaria de 4"</v>
          </cell>
          <cell r="C794" t="str">
            <v>M</v>
          </cell>
          <cell r="D794"/>
          <cell r="E794">
            <v>18317</v>
          </cell>
        </row>
        <row r="795">
          <cell r="A795" t="str">
            <v>MAT,471</v>
          </cell>
          <cell r="B795" t="str">
            <v>Tubería PVC sanitaria de 6"</v>
          </cell>
          <cell r="C795" t="str">
            <v>M</v>
          </cell>
          <cell r="D795"/>
          <cell r="E795">
            <v>38300</v>
          </cell>
        </row>
        <row r="796">
          <cell r="A796" t="str">
            <v>MAT,799</v>
          </cell>
          <cell r="B796" t="str">
            <v>Tubo cerramiento galvanizado 2" x 1.5 mm Z180 o similar</v>
          </cell>
          <cell r="C796" t="str">
            <v>M</v>
          </cell>
          <cell r="D796"/>
          <cell r="E796">
            <v>20150</v>
          </cell>
        </row>
        <row r="797">
          <cell r="A797" t="str">
            <v>MAT,567</v>
          </cell>
          <cell r="B797" t="str">
            <v>Tuerca galvanizada 3/8", incluye arandela</v>
          </cell>
          <cell r="C797" t="str">
            <v>Un</v>
          </cell>
          <cell r="D797"/>
          <cell r="E797">
            <v>250</v>
          </cell>
        </row>
        <row r="798">
          <cell r="A798" t="str">
            <v>MAT,759</v>
          </cell>
          <cell r="B798" t="str">
            <v>Unión conduit EMT 1 ½"</v>
          </cell>
          <cell r="C798" t="str">
            <v>Un</v>
          </cell>
          <cell r="D798"/>
          <cell r="E798">
            <v>3900</v>
          </cell>
        </row>
        <row r="799">
          <cell r="A799" t="str">
            <v>MAT,760</v>
          </cell>
          <cell r="B799" t="str">
            <v>Unión conduit EMT 1"</v>
          </cell>
          <cell r="C799" t="str">
            <v>Un</v>
          </cell>
          <cell r="D799"/>
          <cell r="E799">
            <v>1990</v>
          </cell>
        </row>
        <row r="800">
          <cell r="A800" t="str">
            <v>MAT,761</v>
          </cell>
          <cell r="B800" t="str">
            <v>Unión conduit EMT 2"</v>
          </cell>
          <cell r="C800" t="str">
            <v>Un</v>
          </cell>
          <cell r="D800"/>
          <cell r="E800">
            <v>4386</v>
          </cell>
        </row>
        <row r="801">
          <cell r="A801" t="str">
            <v>MAT,762</v>
          </cell>
          <cell r="B801" t="str">
            <v>Unión conduit EMT 3"</v>
          </cell>
          <cell r="C801" t="str">
            <v>Un</v>
          </cell>
          <cell r="D801"/>
          <cell r="E801">
            <v>20250</v>
          </cell>
        </row>
        <row r="802">
          <cell r="A802" t="str">
            <v>MAT,763</v>
          </cell>
          <cell r="B802" t="str">
            <v>Unión conduit EMT 3/4"</v>
          </cell>
          <cell r="C802" t="str">
            <v>Un</v>
          </cell>
          <cell r="D802"/>
          <cell r="E802">
            <v>1150</v>
          </cell>
        </row>
        <row r="803">
          <cell r="A803" t="str">
            <v>MAT,764</v>
          </cell>
          <cell r="B803" t="str">
            <v>Unión conduit EMT 4"</v>
          </cell>
          <cell r="C803" t="str">
            <v>Un</v>
          </cell>
          <cell r="D803"/>
          <cell r="E803">
            <v>28300</v>
          </cell>
        </row>
        <row r="804">
          <cell r="A804" t="str">
            <v>MAT,766</v>
          </cell>
          <cell r="B804" t="str">
            <v>Unión conduit IMC 1 ½"</v>
          </cell>
          <cell r="C804" t="str">
            <v>Un</v>
          </cell>
          <cell r="D804"/>
          <cell r="E804">
            <v>3500</v>
          </cell>
        </row>
        <row r="805">
          <cell r="A805" t="str">
            <v>MAT,765</v>
          </cell>
          <cell r="B805" t="str">
            <v>Unión conduit IMC 1"</v>
          </cell>
          <cell r="C805" t="str">
            <v>Un</v>
          </cell>
          <cell r="D805"/>
          <cell r="E805">
            <v>2250</v>
          </cell>
        </row>
        <row r="806">
          <cell r="A806" t="str">
            <v>MAT,767</v>
          </cell>
          <cell r="B806" t="str">
            <v>Unión conduit IMC 2"</v>
          </cell>
          <cell r="C806" t="str">
            <v>Un</v>
          </cell>
          <cell r="D806"/>
          <cell r="E806">
            <v>5400</v>
          </cell>
        </row>
        <row r="807">
          <cell r="A807" t="str">
            <v>MAT,768</v>
          </cell>
          <cell r="B807" t="str">
            <v>Unión conduit IMC 3/4"</v>
          </cell>
          <cell r="C807" t="str">
            <v>Un</v>
          </cell>
          <cell r="D807"/>
          <cell r="E807">
            <v>1400</v>
          </cell>
        </row>
        <row r="808">
          <cell r="A808" t="str">
            <v>MAT,473</v>
          </cell>
          <cell r="B808" t="str">
            <v>Unión de reparación de 2 ½"</v>
          </cell>
          <cell r="C808" t="str">
            <v>Un</v>
          </cell>
          <cell r="D808"/>
          <cell r="E808">
            <v>57900</v>
          </cell>
        </row>
        <row r="809">
          <cell r="A809" t="str">
            <v>MAT,474</v>
          </cell>
          <cell r="B809" t="str">
            <v>Unión de reparación de 2"</v>
          </cell>
          <cell r="C809" t="str">
            <v>Un</v>
          </cell>
          <cell r="D809"/>
          <cell r="E809">
            <v>29377</v>
          </cell>
        </row>
        <row r="810">
          <cell r="A810" t="str">
            <v>MAT,475</v>
          </cell>
          <cell r="B810" t="str">
            <v>Unión de reparación de 3"</v>
          </cell>
          <cell r="C810" t="str">
            <v>Un</v>
          </cell>
          <cell r="D810"/>
          <cell r="E810">
            <v>56900</v>
          </cell>
        </row>
        <row r="811">
          <cell r="A811" t="str">
            <v>MAT,476</v>
          </cell>
          <cell r="B811" t="str">
            <v>Unión de reparación de 4"</v>
          </cell>
          <cell r="C811" t="str">
            <v>Un</v>
          </cell>
          <cell r="D811"/>
          <cell r="E811">
            <v>71559</v>
          </cell>
        </row>
        <row r="812">
          <cell r="A812" t="str">
            <v>MAT,477</v>
          </cell>
          <cell r="B812" t="str">
            <v>Unión de reparación de 6"</v>
          </cell>
          <cell r="C812" t="str">
            <v>Un</v>
          </cell>
          <cell r="D812"/>
          <cell r="E812">
            <v>192900</v>
          </cell>
        </row>
        <row r="813">
          <cell r="A813" t="str">
            <v>MAT,478</v>
          </cell>
          <cell r="B813" t="str">
            <v>Unión de reparación de 8"</v>
          </cell>
          <cell r="C813" t="str">
            <v>Un</v>
          </cell>
          <cell r="D813"/>
          <cell r="E813">
            <v>286061</v>
          </cell>
        </row>
        <row r="814">
          <cell r="A814" t="str">
            <v>MAT,769</v>
          </cell>
          <cell r="B814" t="str">
            <v>Unión rápida EDRN  - EZ</v>
          </cell>
          <cell r="C814" t="str">
            <v>Un</v>
          </cell>
          <cell r="D814"/>
          <cell r="E814">
            <v>8816</v>
          </cell>
        </row>
        <row r="815">
          <cell r="A815" t="str">
            <v>MAT,479</v>
          </cell>
          <cell r="B815" t="str">
            <v>Universal PVC 1 ½"</v>
          </cell>
          <cell r="C815" t="str">
            <v>Un</v>
          </cell>
          <cell r="D815"/>
          <cell r="E815">
            <v>33900</v>
          </cell>
        </row>
        <row r="816">
          <cell r="A816" t="str">
            <v>MAT,537</v>
          </cell>
          <cell r="B816" t="str">
            <v>Universal PVC 1"</v>
          </cell>
          <cell r="C816" t="str">
            <v>Un</v>
          </cell>
          <cell r="D816"/>
          <cell r="E816">
            <v>14900</v>
          </cell>
        </row>
        <row r="817">
          <cell r="A817" t="str">
            <v>MAT,480</v>
          </cell>
          <cell r="B817" t="str">
            <v>Universal PVC 2"</v>
          </cell>
          <cell r="C817" t="str">
            <v>Un</v>
          </cell>
          <cell r="D817"/>
          <cell r="E817">
            <v>30900</v>
          </cell>
        </row>
        <row r="818">
          <cell r="A818" t="str">
            <v>MAT,481</v>
          </cell>
          <cell r="B818" t="str">
            <v>Universal PVC 3/4"</v>
          </cell>
          <cell r="C818" t="str">
            <v>Un</v>
          </cell>
          <cell r="D818"/>
          <cell r="E818">
            <v>8900</v>
          </cell>
        </row>
        <row r="819">
          <cell r="A819" t="str">
            <v>MAT,538</v>
          </cell>
          <cell r="B819" t="str">
            <v>Universal PVC de ½"</v>
          </cell>
          <cell r="C819" t="str">
            <v>Un</v>
          </cell>
          <cell r="D819"/>
          <cell r="E819">
            <v>8900</v>
          </cell>
        </row>
        <row r="820">
          <cell r="A820" t="str">
            <v>MAT,482</v>
          </cell>
          <cell r="B820" t="str">
            <v>Valla en tela vinílica con malla de poliéster (banner)</v>
          </cell>
          <cell r="C820" t="str">
            <v>M2</v>
          </cell>
          <cell r="D820"/>
          <cell r="E820">
            <v>60000</v>
          </cell>
        </row>
        <row r="821">
          <cell r="A821" t="str">
            <v>MAT,770</v>
          </cell>
          <cell r="B821" t="str">
            <v>Valor contrato para suministro de consola de operación (vinculado a tablero de protecciones), según diagrama unifilar del proyecto</v>
          </cell>
          <cell r="C821" t="str">
            <v>Un</v>
          </cell>
          <cell r="D821"/>
          <cell r="E821">
            <v>4362994</v>
          </cell>
        </row>
        <row r="822">
          <cell r="A822" t="str">
            <v>MAT,771</v>
          </cell>
          <cell r="B822" t="str">
            <v>Valor contrato para suministro de tablero de protecciones y operación motores, según diagrama unifilar del proyecto</v>
          </cell>
          <cell r="C822" t="str">
            <v>Un</v>
          </cell>
          <cell r="D822"/>
          <cell r="E822">
            <v>13080023</v>
          </cell>
        </row>
        <row r="823">
          <cell r="A823" t="str">
            <v>MAT,772</v>
          </cell>
          <cell r="B823" t="str">
            <v>Valor contrato para suministro de tablero general de baja tensión, incluye transferencia automática motorizada de 450 A, según diseños del proyecto. No se incluyen protecciones</v>
          </cell>
          <cell r="C823" t="str">
            <v>Un</v>
          </cell>
          <cell r="D823"/>
          <cell r="E823">
            <v>25823471</v>
          </cell>
        </row>
        <row r="824">
          <cell r="A824" t="str">
            <v>MAT,774</v>
          </cell>
          <cell r="B824" t="str">
            <v>Valor inspección con fines de certificación de cumplimiento con RETIE vigente. Incluye personal necesario para apoyo en la revisión de las instalaciones eléctricas, diferente al del organismo de certificación</v>
          </cell>
          <cell r="C824" t="str">
            <v>Sf</v>
          </cell>
          <cell r="D824"/>
          <cell r="E824">
            <v>7525493</v>
          </cell>
        </row>
        <row r="825">
          <cell r="A825" t="str">
            <v>MAT,483</v>
          </cell>
          <cell r="B825" t="str">
            <v>Válvula de 3" sello de bronce extremo liso o junta hidráulica PVC</v>
          </cell>
          <cell r="C825" t="str">
            <v>Un</v>
          </cell>
          <cell r="D825"/>
          <cell r="E825">
            <v>547500</v>
          </cell>
        </row>
        <row r="826">
          <cell r="A826" t="str">
            <v>MAT,484</v>
          </cell>
          <cell r="B826" t="str">
            <v>Válvula de 3" sello elástico extremo liso o junta hidráulica PVC</v>
          </cell>
          <cell r="C826" t="str">
            <v>Un</v>
          </cell>
          <cell r="D826"/>
          <cell r="E826">
            <v>407408</v>
          </cell>
        </row>
        <row r="827">
          <cell r="A827" t="str">
            <v>MAT,588</v>
          </cell>
          <cell r="B827" t="str">
            <v>Varilla Cu 5/8" x 2.4 m</v>
          </cell>
          <cell r="C827" t="str">
            <v>Un</v>
          </cell>
          <cell r="D827"/>
          <cell r="E827">
            <v>59900</v>
          </cell>
        </row>
        <row r="828">
          <cell r="A828" t="str">
            <v>MAT,485</v>
          </cell>
          <cell r="B828" t="str">
            <v>Varilla cuadrada de ½" para reja</v>
          </cell>
          <cell r="C828" t="str">
            <v>M</v>
          </cell>
          <cell r="D828"/>
          <cell r="E828">
            <v>6984</v>
          </cell>
        </row>
        <row r="829">
          <cell r="A829" t="str">
            <v>MAT,486</v>
          </cell>
          <cell r="B829" t="str">
            <v>Varilla esqueleto fina</v>
          </cell>
          <cell r="C829" t="str">
            <v>M</v>
          </cell>
          <cell r="D829"/>
          <cell r="E829">
            <v>1285.7142857142858</v>
          </cell>
        </row>
        <row r="830">
          <cell r="A830" t="str">
            <v>MAT,589</v>
          </cell>
          <cell r="B830" t="str">
            <v>Varilla roscada 3/8" galvanizada</v>
          </cell>
          <cell r="C830" t="str">
            <v>M</v>
          </cell>
          <cell r="D830"/>
          <cell r="E830">
            <v>11900</v>
          </cell>
        </row>
        <row r="831">
          <cell r="A831" t="str">
            <v>MAT,814</v>
          </cell>
          <cell r="B831" t="str">
            <v>Varillón común 3 x 0.04 x 0.02 m</v>
          </cell>
          <cell r="C831" t="str">
            <v>Un</v>
          </cell>
          <cell r="D831"/>
          <cell r="E831">
            <v>6000</v>
          </cell>
        </row>
        <row r="832">
          <cell r="A832" t="str">
            <v>MAT,487</v>
          </cell>
          <cell r="B832" t="str">
            <v>Varillón de sajo 3 x 3 cm</v>
          </cell>
          <cell r="C832" t="str">
            <v>M</v>
          </cell>
          <cell r="D832"/>
          <cell r="E832">
            <v>1540</v>
          </cell>
        </row>
        <row r="833">
          <cell r="A833" t="str">
            <v>MAT,488</v>
          </cell>
          <cell r="B833" t="str">
            <v>Vaselina</v>
          </cell>
          <cell r="C833" t="str">
            <v>Lb</v>
          </cell>
          <cell r="D833"/>
          <cell r="E833">
            <v>15110</v>
          </cell>
        </row>
        <row r="834">
          <cell r="A834" t="str">
            <v>MAT,802</v>
          </cell>
          <cell r="B834" t="str">
            <v>Ventana 1.2 x 1.5 m aluminio Int negro corrediza XO/O, vidrio templado 6 mm alúmina</v>
          </cell>
          <cell r="C834" t="str">
            <v>M2</v>
          </cell>
          <cell r="D834"/>
          <cell r="E834">
            <v>98833.333333333343</v>
          </cell>
        </row>
        <row r="835">
          <cell r="A835" t="str">
            <v>MAT,489</v>
          </cell>
          <cell r="B835" t="str">
            <v>Ventanería en ángulo de 1" x 1/8", incluye anticorrosivo</v>
          </cell>
          <cell r="C835" t="str">
            <v>M2</v>
          </cell>
          <cell r="D835"/>
          <cell r="E835">
            <v>55648.333333333336</v>
          </cell>
        </row>
        <row r="836">
          <cell r="A836" t="str">
            <v>MAT,490</v>
          </cell>
          <cell r="B836" t="str">
            <v>Ventanería metálica en lámina C 20 de seguridad, incluye anticorrosivo</v>
          </cell>
          <cell r="C836" t="str">
            <v>M2</v>
          </cell>
          <cell r="D836"/>
          <cell r="E836">
            <v>128296.8</v>
          </cell>
        </row>
        <row r="837">
          <cell r="A837" t="str">
            <v>MAT,491</v>
          </cell>
          <cell r="B837" t="str">
            <v>Ventanería metálica en lámina C 20, incluye anticorrosivo</v>
          </cell>
          <cell r="C837" t="str">
            <v>M2</v>
          </cell>
          <cell r="D837"/>
          <cell r="E837">
            <v>185000</v>
          </cell>
        </row>
        <row r="838">
          <cell r="A838" t="str">
            <v>MAT,492</v>
          </cell>
          <cell r="B838" t="str">
            <v>Película de privacidad</v>
          </cell>
          <cell r="C838" t="str">
            <v>M2</v>
          </cell>
          <cell r="D838"/>
          <cell r="E838">
            <v>30000</v>
          </cell>
        </row>
        <row r="839">
          <cell r="A839" t="str">
            <v>MAT,493</v>
          </cell>
          <cell r="B839" t="str">
            <v>Vidrio de 4 mm de seguridad transparente</v>
          </cell>
          <cell r="C839" t="str">
            <v>M2</v>
          </cell>
          <cell r="D839"/>
          <cell r="E839">
            <v>101000</v>
          </cell>
        </row>
        <row r="840">
          <cell r="A840" t="str">
            <v>MAT,494</v>
          </cell>
          <cell r="B840" t="str">
            <v>Vigueta principal de ± 2,4 m de aluminio</v>
          </cell>
          <cell r="C840" t="str">
            <v>Un</v>
          </cell>
          <cell r="D840"/>
          <cell r="E840">
            <v>5950</v>
          </cell>
        </row>
        <row r="841">
          <cell r="A841" t="str">
            <v>MAT,495</v>
          </cell>
          <cell r="B841" t="str">
            <v>Yeso</v>
          </cell>
          <cell r="C841" t="str">
            <v>Kg</v>
          </cell>
          <cell r="D841"/>
          <cell r="E841">
            <v>2780</v>
          </cell>
        </row>
        <row r="842">
          <cell r="A842" t="str">
            <v>MAT,162</v>
          </cell>
          <cell r="B842" t="str">
            <v>Pintura anticorrosiva tipo C5-X que cumpla la norma 12944 negra</v>
          </cell>
          <cell r="C842" t="str">
            <v>Gl</v>
          </cell>
          <cell r="D842"/>
          <cell r="E842">
            <v>69900</v>
          </cell>
        </row>
        <row r="843">
          <cell r="A843" t="str">
            <v>MAT,234</v>
          </cell>
          <cell r="B843" t="str">
            <v>Ajustador alifático (varsol) 21132 o similar</v>
          </cell>
          <cell r="C843" t="str">
            <v>Gl</v>
          </cell>
          <cell r="D843"/>
          <cell r="E843">
            <v>50182</v>
          </cell>
        </row>
        <row r="844">
          <cell r="A844" t="str">
            <v>MAT,521</v>
          </cell>
          <cell r="B844" t="str">
            <v>Malla electrosoldada M-188 Φ 6.00 mm c/0.15 m (peso 42,20 Kg/m2) (2,35 x 6 m)</v>
          </cell>
          <cell r="C844" t="str">
            <v>Kg</v>
          </cell>
          <cell r="D844"/>
          <cell r="E844">
            <v>6547.8199052132695</v>
          </cell>
        </row>
        <row r="845">
          <cell r="A845" t="str">
            <v>MAT,586</v>
          </cell>
          <cell r="B845"/>
          <cell r="C845"/>
          <cell r="D845"/>
          <cell r="E845"/>
        </row>
        <row r="846">
          <cell r="A846" t="str">
            <v>MAT,888</v>
          </cell>
          <cell r="B846" t="str">
            <v>Materiales Menores (Marcadores, Cintas, Amarras, limpiador )</v>
          </cell>
          <cell r="C846" t="str">
            <v>Glb</v>
          </cell>
          <cell r="D846"/>
          <cell r="E846">
            <v>3000</v>
          </cell>
        </row>
        <row r="847">
          <cell r="A847" t="str">
            <v>MAT,889</v>
          </cell>
          <cell r="B847" t="str">
            <v>Accesorios de Montaje (Chazos, Tornillos)</v>
          </cell>
          <cell r="C847" t="str">
            <v>Glb</v>
          </cell>
          <cell r="D847"/>
          <cell r="E847">
            <v>3000</v>
          </cell>
        </row>
        <row r="848">
          <cell r="A848" t="str">
            <v>MAT,890</v>
          </cell>
          <cell r="B848" t="str">
            <v>Materiales Menores (Marcadores, Limpiador, Terminales Pequeños)</v>
          </cell>
          <cell r="C848" t="str">
            <v>Glb</v>
          </cell>
          <cell r="D848"/>
          <cell r="E848">
            <v>3000</v>
          </cell>
        </row>
        <row r="849">
          <cell r="A849" t="str">
            <v>MAT,891</v>
          </cell>
          <cell r="B849" t="str">
            <v>Marcación General Tablero (ID Panel + Advertencia RETIE)</v>
          </cell>
          <cell r="C849" t="str">
            <v>Glb</v>
          </cell>
          <cell r="D849"/>
          <cell r="E849">
            <v>6000</v>
          </cell>
        </row>
        <row r="850">
          <cell r="A850" t="str">
            <v>MAT,892</v>
          </cell>
          <cell r="B850" t="str">
            <v>Marcación por Circuito (Etiqueta Breaker+Directorio)</v>
          </cell>
          <cell r="C850" t="str">
            <v>Cto</v>
          </cell>
          <cell r="D850"/>
          <cell r="E850">
            <v>500</v>
          </cell>
        </row>
        <row r="851">
          <cell r="A851" t="str">
            <v>MAT,893</v>
          </cell>
          <cell r="B851" t="str">
            <v>Cortacircuito, breaker o taco monopolar (1 polo) 15 amperios LX enchufe DSE</v>
          </cell>
          <cell r="C851" t="str">
            <v>Un</v>
          </cell>
          <cell r="D851"/>
          <cell r="E851">
            <v>17900</v>
          </cell>
        </row>
        <row r="852">
          <cell r="A852" t="str">
            <v>MAT,894</v>
          </cell>
          <cell r="B852" t="str">
            <v>Cortacircuito, breaker o taco monopolar (1 polo) 30 amperios LX enchufe DSE</v>
          </cell>
          <cell r="C852" t="str">
            <v>Un</v>
          </cell>
          <cell r="D852"/>
          <cell r="E852">
            <v>22900</v>
          </cell>
        </row>
        <row r="853">
          <cell r="A853" t="str">
            <v>MAT,895</v>
          </cell>
          <cell r="B853" t="str">
            <v>Cortacircuito, breaker o taco monopolar (1 polo) 40 amperios LX enchufe DSE</v>
          </cell>
          <cell r="C853" t="str">
            <v>Un</v>
          </cell>
          <cell r="D853"/>
          <cell r="E853">
            <v>22900</v>
          </cell>
        </row>
        <row r="854">
          <cell r="A854" t="str">
            <v>MAT,896</v>
          </cell>
          <cell r="B854" t="str">
            <v>Cortacircuito, breaker o taco monopolar (1 polo) 50 amperios LX enchufe DSE</v>
          </cell>
          <cell r="C854" t="str">
            <v>Un</v>
          </cell>
          <cell r="D854"/>
          <cell r="E854">
            <v>20900</v>
          </cell>
        </row>
        <row r="855">
          <cell r="A855" t="str">
            <v>MAT,897</v>
          </cell>
          <cell r="B855" t="str">
            <v>Cortacircuito, breaker o taco monopolar (1 polo) 60 amperios LX enchufe DSE</v>
          </cell>
          <cell r="C855" t="str">
            <v>Un</v>
          </cell>
          <cell r="D855"/>
          <cell r="E855">
            <v>20900</v>
          </cell>
        </row>
        <row r="856">
          <cell r="A856" t="str">
            <v>MAT,898</v>
          </cell>
          <cell r="B856" t="str">
            <v>Cortacircuito, breaker o taco monopolar (1 polo) 70 amperios LX enchufe DSE</v>
          </cell>
          <cell r="C856" t="str">
            <v>Un</v>
          </cell>
          <cell r="D856"/>
          <cell r="E856">
            <v>52900</v>
          </cell>
        </row>
        <row r="857">
          <cell r="A857" t="str">
            <v>MAT,900</v>
          </cell>
          <cell r="B857" t="str">
            <v>Cortacircuito, breaker o taco monopolar (1 polo) 90 amperios LX enchufe DSE</v>
          </cell>
          <cell r="C857" t="str">
            <v>Un</v>
          </cell>
          <cell r="D857"/>
          <cell r="E857">
            <v>52900</v>
          </cell>
        </row>
        <row r="858">
          <cell r="A858" t="str">
            <v>MAT,901</v>
          </cell>
          <cell r="B858" t="str">
            <v>Cortacircuito, breaker o taco monopolar (1 polo) 100 amperios LX enchufe DSE</v>
          </cell>
          <cell r="C858" t="str">
            <v>Un</v>
          </cell>
          <cell r="D858"/>
          <cell r="E858">
            <v>52900</v>
          </cell>
        </row>
        <row r="859">
          <cell r="A859" t="str">
            <v>MAT,902</v>
          </cell>
          <cell r="B859" t="str">
            <v>Anillo marcación 12 - 6 AWG AR2 #0 tipo DEXSON DXN21R20</v>
          </cell>
          <cell r="C859" t="str">
            <v>Un</v>
          </cell>
          <cell r="D859"/>
          <cell r="E859">
            <v>55.57</v>
          </cell>
        </row>
        <row r="860">
          <cell r="A860" t="str">
            <v>MAT,903</v>
          </cell>
          <cell r="B860" t="str">
            <v>Amarre Plastico 10 cm Bolsa tipo DEXON</v>
          </cell>
          <cell r="C860" t="str">
            <v>Un</v>
          </cell>
          <cell r="D860"/>
          <cell r="E860">
            <v>36</v>
          </cell>
        </row>
        <row r="861">
          <cell r="A861" t="str">
            <v>MAT,904</v>
          </cell>
          <cell r="B861" t="str">
            <v>Cortacircuito, breaker o taco bipolar (2 polos) 15 amperios LX enchufe DSE</v>
          </cell>
          <cell r="C861" t="str">
            <v>Un</v>
          </cell>
          <cell r="D861"/>
          <cell r="E861">
            <v>49900</v>
          </cell>
        </row>
        <row r="862">
          <cell r="A862" t="str">
            <v>MAT,905</v>
          </cell>
          <cell r="B862" t="str">
            <v>Cortacircuito, breaker o taco bipolar (2 polos) 30 amperios LX enchufe DSE</v>
          </cell>
          <cell r="C862" t="str">
            <v>Un</v>
          </cell>
          <cell r="D862"/>
          <cell r="E862">
            <v>49900</v>
          </cell>
        </row>
        <row r="863">
          <cell r="A863" t="str">
            <v>MAT,906</v>
          </cell>
          <cell r="B863" t="str">
            <v>Cortacircuito, breaker o taco bipolar (2 polos) 40 amperios LX enchufe DSE</v>
          </cell>
          <cell r="C863" t="str">
            <v>Un</v>
          </cell>
          <cell r="D863"/>
          <cell r="E863">
            <v>61900</v>
          </cell>
        </row>
        <row r="864">
          <cell r="A864" t="str">
            <v>MAT,907</v>
          </cell>
          <cell r="B864" t="str">
            <v>Cortacircuito, breaker o taco bipolar (2 polos) 50 amperios LX enchufe DSE</v>
          </cell>
          <cell r="C864" t="str">
            <v>Un</v>
          </cell>
          <cell r="D864"/>
          <cell r="E864">
            <v>61900</v>
          </cell>
        </row>
        <row r="865">
          <cell r="A865" t="str">
            <v>MAT,908</v>
          </cell>
          <cell r="B865" t="str">
            <v>Cortacircuito, breaker o taco bipolar (2 polos) 60 amperios LX enchufe DSE</v>
          </cell>
          <cell r="C865" t="str">
            <v>Un</v>
          </cell>
          <cell r="D865"/>
          <cell r="E865">
            <v>62600</v>
          </cell>
        </row>
        <row r="866">
          <cell r="A866" t="str">
            <v>MAT,909</v>
          </cell>
          <cell r="B866" t="str">
            <v>Cortacircuito, breaker o taco bipolar (2 polos) 70 amperios LX enchufe DSE</v>
          </cell>
          <cell r="C866" t="str">
            <v>Un</v>
          </cell>
          <cell r="D866"/>
          <cell r="E866">
            <v>97800</v>
          </cell>
        </row>
        <row r="867">
          <cell r="A867" t="str">
            <v>MAT,911</v>
          </cell>
          <cell r="B867" t="str">
            <v>Cortacircuito, breaker o taco bipolar (2 polos) 90 amperios LX enchufe DSE</v>
          </cell>
          <cell r="C867" t="str">
            <v>Un</v>
          </cell>
          <cell r="D867"/>
          <cell r="E867">
            <v>97800</v>
          </cell>
        </row>
        <row r="868">
          <cell r="A868" t="str">
            <v>MAT,912</v>
          </cell>
          <cell r="B868" t="str">
            <v>Cortacircuito, breaker o taco bipolar (2 polos) 100 amperios LX enchufe DSE</v>
          </cell>
          <cell r="C868" t="str">
            <v>Un</v>
          </cell>
          <cell r="D868"/>
          <cell r="E868">
            <v>97800</v>
          </cell>
        </row>
        <row r="869">
          <cell r="A869" t="str">
            <v>MAT,913</v>
          </cell>
          <cell r="B869" t="str">
            <v>Cortacircuito, breaker o taco tripolar (3 polos) 15 amperios LX enchufe DSE</v>
          </cell>
          <cell r="C869" t="str">
            <v>Un</v>
          </cell>
          <cell r="D869"/>
          <cell r="E869">
            <v>114300</v>
          </cell>
        </row>
        <row r="870">
          <cell r="A870" t="str">
            <v>MAT,914</v>
          </cell>
          <cell r="B870" t="str">
            <v>Cortacircuito, breaker o taco tripolar (3 polos) 30 amperios LX enchufe DSE</v>
          </cell>
          <cell r="C870" t="str">
            <v>Un</v>
          </cell>
          <cell r="D870"/>
          <cell r="E870">
            <v>114300</v>
          </cell>
        </row>
        <row r="871">
          <cell r="A871" t="str">
            <v>MAT,915</v>
          </cell>
          <cell r="B871" t="str">
            <v>Cortacircuito, breaker o taco tripolar (3 polos) 40 amperios LX enchufe DSE</v>
          </cell>
          <cell r="C871" t="str">
            <v>Un</v>
          </cell>
          <cell r="D871"/>
          <cell r="E871">
            <v>114300</v>
          </cell>
        </row>
        <row r="872">
          <cell r="A872" t="str">
            <v>MAT,916</v>
          </cell>
          <cell r="B872" t="str">
            <v>Cortacircuito, breaker o taco tripolar (3 polos) 50 amperios LX enchufe DSE</v>
          </cell>
          <cell r="C872" t="str">
            <v>Un</v>
          </cell>
          <cell r="D872"/>
          <cell r="E872">
            <v>119900</v>
          </cell>
        </row>
        <row r="873">
          <cell r="A873" t="str">
            <v>MAT,917</v>
          </cell>
          <cell r="B873" t="str">
            <v>Cortacircuito, breaker o taco tripolar (3 polos) 60 amperios LX enchufe DSE</v>
          </cell>
          <cell r="C873" t="str">
            <v>Un</v>
          </cell>
          <cell r="D873"/>
          <cell r="E873">
            <v>119900</v>
          </cell>
        </row>
        <row r="874">
          <cell r="A874" t="str">
            <v>MAT,918</v>
          </cell>
          <cell r="B874" t="str">
            <v>Cortacircuito, breaker o taco tripolar (3 polos) 70 amperios LX enchufe DSE</v>
          </cell>
          <cell r="C874" t="str">
            <v>Un</v>
          </cell>
          <cell r="D874"/>
          <cell r="E874">
            <v>153900</v>
          </cell>
        </row>
        <row r="875">
          <cell r="A875" t="str">
            <v>MAT,919</v>
          </cell>
          <cell r="B875" t="str">
            <v>Cortacircuito, breaker o taco tripolar (3 polos) 90 amperios LX enchufe DSE</v>
          </cell>
          <cell r="C875" t="str">
            <v>Un</v>
          </cell>
          <cell r="D875"/>
          <cell r="E875">
            <v>153900</v>
          </cell>
        </row>
        <row r="876">
          <cell r="A876" t="str">
            <v>MAT,920</v>
          </cell>
          <cell r="B876" t="str">
            <v>Cortacircuito, breaker o taco tripolar (3 polos) 100 amperios LX enchufe DSE</v>
          </cell>
          <cell r="C876" t="str">
            <v>Un</v>
          </cell>
          <cell r="D876"/>
          <cell r="E876">
            <v>153900</v>
          </cell>
        </row>
        <row r="877">
          <cell r="A877" t="str">
            <v>MAT,921</v>
          </cell>
          <cell r="B877" t="str">
            <v>Disyuntor, GoPact MCCB 125, 3 polos, 15 kA a 415 VCA, clasificación de 100 A, unidad de desconexión TMD, protección térmica fija – SCHNEIDER G12E3F100</v>
          </cell>
          <cell r="C877" t="str">
            <v>Un</v>
          </cell>
          <cell r="D877"/>
          <cell r="E877">
            <v>198671</v>
          </cell>
        </row>
        <row r="878">
          <cell r="A878" t="str">
            <v>MAT,922</v>
          </cell>
          <cell r="B878" t="str">
            <v>Borna Ponchar hasta calibre 2 AWG Estañada Cobre Barril Largo Ojo 5-16 T11BL1E2C</v>
          </cell>
          <cell r="C878" t="str">
            <v>Un</v>
          </cell>
          <cell r="D878"/>
          <cell r="E878">
            <v>2750</v>
          </cell>
        </row>
        <row r="879">
          <cell r="A879" t="str">
            <v>MAT,923</v>
          </cell>
          <cell r="B879" t="str">
            <v>Puentes de conexión (totalizador-barras), calibre igual o superior al de la acometida del tablero. Cable hasta calibre 2AWG, 3 tramos de 50 cm</v>
          </cell>
          <cell r="C879" t="str">
            <v>M</v>
          </cell>
          <cell r="D879"/>
          <cell r="E879">
            <v>28200</v>
          </cell>
        </row>
        <row r="880">
          <cell r="A880" t="str">
            <v>MAT,924</v>
          </cell>
          <cell r="B880" t="str">
            <v>Anillo marcador para ablee AR2 UN tipo DEXSON</v>
          </cell>
          <cell r="C880" t="str">
            <v>Un</v>
          </cell>
          <cell r="D880"/>
          <cell r="E880">
            <v>51.4437</v>
          </cell>
        </row>
        <row r="881">
          <cell r="A881" t="str">
            <v>MAT,925</v>
          </cell>
          <cell r="B881" t="str">
            <v>Prensa Estopa 3/4 Pulgada (21 mm)</v>
          </cell>
          <cell r="C881" t="str">
            <v>Un</v>
          </cell>
          <cell r="D881"/>
          <cell r="E881">
            <v>5200</v>
          </cell>
        </row>
        <row r="882">
          <cell r="A882" t="str">
            <v>MAT,926</v>
          </cell>
          <cell r="B882" t="str">
            <v>Chazo plásrivo  3/8 gigante con tornillo</v>
          </cell>
          <cell r="C882" t="str">
            <v>Un</v>
          </cell>
          <cell r="D882"/>
          <cell r="E882">
            <v>305.83</v>
          </cell>
        </row>
        <row r="883">
          <cell r="A883" t="str">
            <v>MAT,927</v>
          </cell>
          <cell r="B883" t="str">
            <v>Empaque conduleta 3/4</v>
          </cell>
          <cell r="C883" t="str">
            <v>Un</v>
          </cell>
          <cell r="D883"/>
          <cell r="E883">
            <v>1520</v>
          </cell>
        </row>
        <row r="884">
          <cell r="A884" t="str">
            <v>MAT,928</v>
          </cell>
          <cell r="B884" t="str">
            <v>Curva prefabricada 90 grados galvanizada IMC de 3/4</v>
          </cell>
          <cell r="C884" t="str">
            <v>Un</v>
          </cell>
          <cell r="D884"/>
          <cell r="E884">
            <v>6150</v>
          </cell>
        </row>
        <row r="885">
          <cell r="A885" t="str">
            <v>MAT,929</v>
          </cell>
          <cell r="B885" t="str">
            <v>Terminales Tubo IMC de 3/4</v>
          </cell>
          <cell r="C885" t="str">
            <v>Un</v>
          </cell>
          <cell r="D885"/>
          <cell r="E885">
            <v>1800</v>
          </cell>
        </row>
        <row r="886">
          <cell r="A886" t="str">
            <v>MAT,930</v>
          </cell>
          <cell r="B886" t="str">
            <v>Tablero monofásico 4 circuitos con barraje de 75 A  barras de neutro y  tierra. Ref. VTQ-6-SQ marca Schneider Electric o similar</v>
          </cell>
          <cell r="C886" t="str">
            <v>Un</v>
          </cell>
          <cell r="D886"/>
          <cell r="E886">
            <v>45000</v>
          </cell>
        </row>
        <row r="887">
          <cell r="A887" t="str">
            <v>MAT,931</v>
          </cell>
          <cell r="B887" t="str">
            <v>Adaptador terminal conduit EMT 1/2"</v>
          </cell>
          <cell r="C887" t="str">
            <v>Un</v>
          </cell>
          <cell r="D887"/>
          <cell r="E887">
            <v>950</v>
          </cell>
        </row>
        <row r="888">
          <cell r="A888" t="str">
            <v>MAT,932</v>
          </cell>
          <cell r="B888" t="str">
            <v>Curva conduit EMT 1/2"</v>
          </cell>
          <cell r="C888" t="str">
            <v>Un</v>
          </cell>
          <cell r="D888"/>
          <cell r="E888">
            <v>1050</v>
          </cell>
        </row>
        <row r="889">
          <cell r="A889" t="str">
            <v>MAT,933</v>
          </cell>
          <cell r="B889" t="str">
            <v>Tapa lisa metalica para caja 2" x 4" radweld</v>
          </cell>
          <cell r="C889" t="str">
            <v>Un</v>
          </cell>
          <cell r="D889"/>
          <cell r="E889">
            <v>3300</v>
          </cell>
        </row>
        <row r="890">
          <cell r="A890"/>
          <cell r="B890"/>
          <cell r="C890"/>
          <cell r="D890"/>
          <cell r="E890"/>
        </row>
        <row r="891">
          <cell r="A891" t="str">
            <v>MAT,778</v>
          </cell>
          <cell r="B891"/>
          <cell r="C891"/>
          <cell r="D891"/>
          <cell r="E891"/>
        </row>
        <row r="892">
          <cell r="A892" t="str">
            <v>MAT,824</v>
          </cell>
          <cell r="B892"/>
          <cell r="C892"/>
          <cell r="D892"/>
          <cell r="E892"/>
        </row>
        <row r="893">
          <cell r="A893" t="str">
            <v>EQUIPO Y ENSAYOS</v>
          </cell>
          <cell r="B893"/>
          <cell r="C893"/>
          <cell r="D893"/>
          <cell r="E893"/>
        </row>
        <row r="894">
          <cell r="A894"/>
          <cell r="B894"/>
          <cell r="C894"/>
          <cell r="D894"/>
          <cell r="E894"/>
        </row>
        <row r="895">
          <cell r="A895" t="str">
            <v>EQU033</v>
          </cell>
          <cell r="B895" t="str">
            <v>Alquiler de campero o camioneta modelo &gt; 2016 de 2.600 o más C. C., con conductor</v>
          </cell>
          <cell r="C895" t="str">
            <v>Día</v>
          </cell>
          <cell r="D895"/>
          <cell r="E895">
            <v>378333.33333333331</v>
          </cell>
        </row>
        <row r="896">
          <cell r="A896" t="str">
            <v>EQU050</v>
          </cell>
          <cell r="B896" t="str">
            <v>Alquiler diario de cesta elevadora de brazo articulado, motor diésel, de 16 m de altura máxima de trabajo, incluso mantenimiento y seguro de responsabilidad civil</v>
          </cell>
          <cell r="C896" t="str">
            <v>Día</v>
          </cell>
          <cell r="D896"/>
          <cell r="E896">
            <v>315206</v>
          </cell>
        </row>
        <row r="897">
          <cell r="A897" t="str">
            <v>EQU006</v>
          </cell>
          <cell r="B897" t="str">
            <v>Andamio certificado</v>
          </cell>
          <cell r="C897" t="str">
            <v>%MO</v>
          </cell>
          <cell r="D897"/>
          <cell r="E897">
            <v>0</v>
          </cell>
        </row>
        <row r="898">
          <cell r="A898" t="str">
            <v>EQU048</v>
          </cell>
          <cell r="B898" t="str">
            <v>Andamio tubular certificado de 2 m, incluye arnés y línea de vida</v>
          </cell>
          <cell r="C898" t="str">
            <v>Día</v>
          </cell>
          <cell r="D898"/>
          <cell r="E898">
            <v>63150</v>
          </cell>
        </row>
        <row r="899">
          <cell r="A899" t="str">
            <v>EQU061</v>
          </cell>
          <cell r="B899" t="str">
            <v>Aspersor manual</v>
          </cell>
          <cell r="C899" t="str">
            <v>Día</v>
          </cell>
          <cell r="D899"/>
          <cell r="E899">
            <v>20760</v>
          </cell>
        </row>
        <row r="900">
          <cell r="A900" t="str">
            <v>EQU040</v>
          </cell>
          <cell r="B900" t="str">
            <v>Bomba para concreto</v>
          </cell>
          <cell r="C900" t="str">
            <v>Hr</v>
          </cell>
          <cell r="D900"/>
          <cell r="E900">
            <v>48300</v>
          </cell>
        </row>
        <row r="901">
          <cell r="A901" t="str">
            <v>EQU004</v>
          </cell>
          <cell r="B901" t="str">
            <v>Bulldozer, potencia al volante de 140 HP, motor de 2200 RPM, longitud de hoja 4,80 m</v>
          </cell>
          <cell r="C901" t="str">
            <v>Hr</v>
          </cell>
          <cell r="D901"/>
          <cell r="E901">
            <v>238000</v>
          </cell>
        </row>
        <row r="902">
          <cell r="A902" t="str">
            <v>EQU030</v>
          </cell>
          <cell r="B902" t="str">
            <v>Cama baja</v>
          </cell>
          <cell r="C902" t="str">
            <v>Serv x 10 Km</v>
          </cell>
          <cell r="D902"/>
          <cell r="E902">
            <v>26747</v>
          </cell>
        </row>
        <row r="903">
          <cell r="A903" t="str">
            <v>EQU066</v>
          </cell>
          <cell r="B903" t="str">
            <v>Camión dobletroque</v>
          </cell>
          <cell r="C903" t="str">
            <v>Tn</v>
          </cell>
          <cell r="D903"/>
          <cell r="E903">
            <v>60000</v>
          </cell>
        </row>
        <row r="904">
          <cell r="A904" t="str">
            <v>EQU057</v>
          </cell>
          <cell r="B904" t="str">
            <v>Camisa metálica recuperable para pilotes</v>
          </cell>
          <cell r="C904" t="str">
            <v>Día</v>
          </cell>
          <cell r="D904"/>
          <cell r="E904">
            <v>39444</v>
          </cell>
        </row>
        <row r="905">
          <cell r="A905" t="str">
            <v>EQU009</v>
          </cell>
          <cell r="B905" t="str">
            <v>Cargador 930 1,5 yd3</v>
          </cell>
          <cell r="C905" t="str">
            <v>Hr</v>
          </cell>
          <cell r="D905"/>
          <cell r="E905">
            <v>190000</v>
          </cell>
        </row>
        <row r="906">
          <cell r="A906" t="str">
            <v>EQU023</v>
          </cell>
          <cell r="B906" t="str">
            <v>Carrotanque agua</v>
          </cell>
          <cell r="C906" t="str">
            <v>Hr</v>
          </cell>
          <cell r="D906"/>
          <cell r="E906">
            <v>104125</v>
          </cell>
        </row>
        <row r="907">
          <cell r="A907" t="str">
            <v>EQU020</v>
          </cell>
          <cell r="B907" t="str">
            <v>Carrotanque asfalto</v>
          </cell>
          <cell r="C907" t="str">
            <v>Hr</v>
          </cell>
          <cell r="D907"/>
          <cell r="E907">
            <v>107100</v>
          </cell>
        </row>
        <row r="908">
          <cell r="A908" t="str">
            <v>EQU065</v>
          </cell>
          <cell r="B908" t="str">
            <v>Cercha metálica 3 m</v>
          </cell>
          <cell r="C908" t="str">
            <v>Día</v>
          </cell>
          <cell r="D908"/>
          <cell r="E908">
            <v>550</v>
          </cell>
        </row>
        <row r="909">
          <cell r="A909" t="str">
            <v>EQU013</v>
          </cell>
          <cell r="B909" t="str">
            <v>Cilindro compactador vibratorio Dynapac y tractor</v>
          </cell>
          <cell r="C909" t="str">
            <v>Hr</v>
          </cell>
          <cell r="D909"/>
          <cell r="E909">
            <v>90000</v>
          </cell>
        </row>
        <row r="910">
          <cell r="A910" t="str">
            <v>EQU034</v>
          </cell>
          <cell r="B910" t="str">
            <v>Compactador manual (canguro)</v>
          </cell>
          <cell r="C910" t="str">
            <v>Día</v>
          </cell>
          <cell r="D910"/>
          <cell r="E910">
            <v>71400</v>
          </cell>
        </row>
        <row r="911">
          <cell r="A911" t="str">
            <v>EQU022</v>
          </cell>
          <cell r="B911" t="str">
            <v>Compactador neumático con tractor</v>
          </cell>
          <cell r="C911" t="str">
            <v>Hr</v>
          </cell>
          <cell r="D911"/>
          <cell r="E911">
            <v>165410</v>
          </cell>
        </row>
        <row r="912">
          <cell r="A912" t="str">
            <v>EQU060</v>
          </cell>
          <cell r="B912" t="str">
            <v>Compresor (barrido y soplado)</v>
          </cell>
          <cell r="C912" t="str">
            <v>Día</v>
          </cell>
          <cell r="D912"/>
          <cell r="E912">
            <v>59000</v>
          </cell>
        </row>
        <row r="913">
          <cell r="A913" t="str">
            <v>EQU005</v>
          </cell>
          <cell r="B913" t="str">
            <v>Compresor 185 pies3 CFM de 2 martillos, incluye 2 operarios y combustible</v>
          </cell>
          <cell r="C913" t="str">
            <v>Hr</v>
          </cell>
          <cell r="D913"/>
          <cell r="E913">
            <v>95200</v>
          </cell>
        </row>
        <row r="914">
          <cell r="A914" t="str">
            <v>EQU021</v>
          </cell>
          <cell r="B914" t="str">
            <v>Compresor pintura</v>
          </cell>
          <cell r="C914" t="str">
            <v>Día</v>
          </cell>
          <cell r="D914"/>
          <cell r="E914">
            <v>35700</v>
          </cell>
        </row>
        <row r="915">
          <cell r="A915" t="str">
            <v>EQU003</v>
          </cell>
          <cell r="B915" t="str">
            <v>Concretadora gasolina 1 o 1 1/2 sacos</v>
          </cell>
          <cell r="C915" t="str">
            <v>Día</v>
          </cell>
          <cell r="D915"/>
          <cell r="E915">
            <v>71400</v>
          </cell>
        </row>
        <row r="916">
          <cell r="A916" t="str">
            <v>EQU001</v>
          </cell>
          <cell r="B916" t="str">
            <v>Control de agua</v>
          </cell>
          <cell r="C916" t="str">
            <v>%MO</v>
          </cell>
          <cell r="D916"/>
          <cell r="E916">
            <v>0</v>
          </cell>
        </row>
        <row r="917">
          <cell r="A917" t="str">
            <v>EQU031</v>
          </cell>
          <cell r="B917" t="str">
            <v>Cortadora de concreto con disco</v>
          </cell>
          <cell r="C917" t="str">
            <v>Día</v>
          </cell>
          <cell r="D917"/>
          <cell r="E917">
            <v>166600</v>
          </cell>
        </row>
        <row r="918">
          <cell r="A918" t="str">
            <v>EQU035</v>
          </cell>
          <cell r="B918" t="str">
            <v>Cortadora de ladrillo sin disco</v>
          </cell>
          <cell r="C918" t="str">
            <v>Día</v>
          </cell>
          <cell r="D918"/>
          <cell r="E918">
            <v>65500</v>
          </cell>
        </row>
        <row r="919">
          <cell r="A919" t="str">
            <v>ESY001</v>
          </cell>
          <cell r="B919" t="str">
            <v>Ensayo resistencia concretos</v>
          </cell>
          <cell r="C919" t="str">
            <v>Un</v>
          </cell>
          <cell r="D919"/>
          <cell r="E919">
            <v>12852</v>
          </cell>
        </row>
        <row r="920">
          <cell r="A920" t="str">
            <v>EQU017</v>
          </cell>
          <cell r="B920" t="str">
            <v>Entibado (% de mano de obra)</v>
          </cell>
          <cell r="C920" t="str">
            <v>%MO</v>
          </cell>
          <cell r="D920"/>
          <cell r="E920">
            <v>0</v>
          </cell>
        </row>
        <row r="921">
          <cell r="A921" t="str">
            <v>EQU011</v>
          </cell>
          <cell r="B921" t="str">
            <v>Equipo completo de topografía</v>
          </cell>
          <cell r="C921" t="str">
            <v>Día</v>
          </cell>
          <cell r="D921"/>
          <cell r="E921">
            <v>109900</v>
          </cell>
        </row>
        <row r="922">
          <cell r="A922" t="str">
            <v>EQU042</v>
          </cell>
          <cell r="B922" t="str">
            <v>Equipo de Oxicorte (Oxigeno - Acetileno)</v>
          </cell>
          <cell r="C922" t="str">
            <v>Día</v>
          </cell>
          <cell r="D922"/>
          <cell r="E922">
            <v>73880.688000000009</v>
          </cell>
        </row>
        <row r="923">
          <cell r="A923" t="str">
            <v>EQU032</v>
          </cell>
          <cell r="B923" t="str">
            <v>Equipo móvil pintura línea vías, incluye camioneta guía</v>
          </cell>
          <cell r="C923" t="str">
            <v>Día</v>
          </cell>
          <cell r="D923"/>
          <cell r="E923">
            <v>582243.26399999997</v>
          </cell>
        </row>
        <row r="924">
          <cell r="A924" t="str">
            <v>EQU036</v>
          </cell>
          <cell r="B924" t="str">
            <v>Equipo perforación de pilotes</v>
          </cell>
          <cell r="C924" t="str">
            <v>Hr</v>
          </cell>
          <cell r="D924"/>
          <cell r="E924">
            <v>400687.72200000001</v>
          </cell>
        </row>
        <row r="925">
          <cell r="A925" t="str">
            <v>EQU039</v>
          </cell>
          <cell r="B925" t="str">
            <v>Equipo soldadura eléctrica</v>
          </cell>
          <cell r="C925" t="str">
            <v>Día</v>
          </cell>
          <cell r="D925"/>
          <cell r="E925">
            <v>48000</v>
          </cell>
        </row>
        <row r="926">
          <cell r="A926" t="str">
            <v>EQU049</v>
          </cell>
          <cell r="B926" t="str">
            <v>Equipo y elementos auxiliares para soldadura eléctrica</v>
          </cell>
          <cell r="C926" t="str">
            <v>Hr</v>
          </cell>
          <cell r="D926"/>
          <cell r="E926">
            <v>8714</v>
          </cell>
        </row>
        <row r="927">
          <cell r="A927" t="str">
            <v>EQU019</v>
          </cell>
          <cell r="B927" t="str">
            <v>Finisher (pavimentadora) con operario</v>
          </cell>
          <cell r="C927" t="str">
            <v>Hr</v>
          </cell>
          <cell r="D927"/>
          <cell r="E927">
            <v>173872.266</v>
          </cell>
        </row>
        <row r="928">
          <cell r="A928" t="str">
            <v>EQU056</v>
          </cell>
          <cell r="B928" t="str">
            <v>Formaleta cónica para caissons</v>
          </cell>
          <cell r="C928" t="str">
            <v>Día</v>
          </cell>
          <cell r="D928"/>
          <cell r="E928">
            <v>23800</v>
          </cell>
        </row>
        <row r="929">
          <cell r="A929" t="str">
            <v>EQU025</v>
          </cell>
          <cell r="B929" t="str">
            <v>Formaleta cono cámara</v>
          </cell>
          <cell r="C929" t="str">
            <v>Día</v>
          </cell>
          <cell r="D929"/>
          <cell r="E929">
            <v>23800</v>
          </cell>
        </row>
        <row r="930">
          <cell r="A930" t="str">
            <v>EQU028</v>
          </cell>
          <cell r="B930" t="str">
            <v>Formaleta cuerpo cámara inspección 1,20 m</v>
          </cell>
          <cell r="C930" t="str">
            <v>Día</v>
          </cell>
          <cell r="D930"/>
          <cell r="E930">
            <v>47600</v>
          </cell>
        </row>
        <row r="931">
          <cell r="A931" t="str">
            <v>EQU027</v>
          </cell>
          <cell r="B931" t="str">
            <v>Formaleta pavimento concreto 3 m</v>
          </cell>
          <cell r="C931" t="str">
            <v>Día</v>
          </cell>
          <cell r="D931"/>
          <cell r="E931">
            <v>4400</v>
          </cell>
        </row>
        <row r="932">
          <cell r="A932" t="str">
            <v>EQU051</v>
          </cell>
          <cell r="B932" t="str">
            <v>Grúa autopropulsada de brazo telescópico con una capacidad de elevación de 12 t y 20 m de altura máxima de trabajo</v>
          </cell>
          <cell r="C932" t="str">
            <v>Hr</v>
          </cell>
          <cell r="D932"/>
          <cell r="E932">
            <v>134053</v>
          </cell>
        </row>
        <row r="933">
          <cell r="A933" t="str">
            <v>EQU038</v>
          </cell>
          <cell r="B933" t="str">
            <v>Grúa montacarga (7 Tn)</v>
          </cell>
          <cell r="C933" t="str">
            <v>Hr</v>
          </cell>
          <cell r="D933"/>
          <cell r="E933">
            <v>183310.80000000002</v>
          </cell>
        </row>
        <row r="934">
          <cell r="A934" t="str">
            <v>EQU014</v>
          </cell>
          <cell r="B934" t="str">
            <v>Guadaña</v>
          </cell>
          <cell r="C934" t="str">
            <v>Día</v>
          </cell>
          <cell r="D934"/>
          <cell r="E934">
            <v>35700</v>
          </cell>
        </row>
        <row r="935">
          <cell r="A935" t="str">
            <v>EQU002</v>
          </cell>
          <cell r="B935" t="str">
            <v>Herramienta menor</v>
          </cell>
          <cell r="C935" t="str">
            <v>%MO</v>
          </cell>
          <cell r="D935"/>
          <cell r="E935">
            <v>0</v>
          </cell>
        </row>
        <row r="936">
          <cell r="A936" t="str">
            <v>EQU029</v>
          </cell>
          <cell r="B936" t="str">
            <v>Manejo de tubería</v>
          </cell>
          <cell r="C936" t="str">
            <v>%MO</v>
          </cell>
          <cell r="D936"/>
          <cell r="E936">
            <v>0</v>
          </cell>
        </row>
        <row r="937">
          <cell r="A937" t="str">
            <v>EQU053</v>
          </cell>
          <cell r="B937" t="str">
            <v>Máquina hidro sembradora 1000 - 4000 litros</v>
          </cell>
          <cell r="C937" t="str">
            <v>Hr</v>
          </cell>
          <cell r="D937"/>
          <cell r="E937">
            <v>43612</v>
          </cell>
        </row>
        <row r="938">
          <cell r="A938" t="str">
            <v>EQU047</v>
          </cell>
          <cell r="B938" t="str">
            <v>Molde en poliuretano de ± 0,60 x 0,60 m</v>
          </cell>
          <cell r="C938" t="str">
            <v>Un</v>
          </cell>
          <cell r="D938"/>
          <cell r="E938">
            <v>406886</v>
          </cell>
        </row>
        <row r="939">
          <cell r="A939" t="str">
            <v>EQU062</v>
          </cell>
          <cell r="B939" t="str">
            <v>Motobomba de concreto</v>
          </cell>
          <cell r="C939" t="str">
            <v>M3</v>
          </cell>
          <cell r="D939"/>
          <cell r="E939">
            <v>41520</v>
          </cell>
        </row>
        <row r="940">
          <cell r="A940" t="str">
            <v>EQU016</v>
          </cell>
          <cell r="B940" t="str">
            <v>Motobomba sumergible 3" con manguera</v>
          </cell>
          <cell r="C940" t="str">
            <v>Día</v>
          </cell>
          <cell r="D940"/>
          <cell r="E940">
            <v>71400</v>
          </cell>
        </row>
        <row r="941">
          <cell r="A941" t="str">
            <v>EQU008</v>
          </cell>
          <cell r="B941" t="str">
            <v xml:space="preserve">Motoniveladora </v>
          </cell>
          <cell r="C941" t="str">
            <v>Hr</v>
          </cell>
          <cell r="D941"/>
          <cell r="E941">
            <v>200000</v>
          </cell>
        </row>
        <row r="942">
          <cell r="A942" t="str">
            <v>EQU059</v>
          </cell>
          <cell r="B942" t="str">
            <v>Motosierra 93.6 cm3 - 7.1 HP, 45-90 cm - 7.9 Kg</v>
          </cell>
          <cell r="C942" t="str">
            <v>Día</v>
          </cell>
          <cell r="D942"/>
          <cell r="E942">
            <v>27000</v>
          </cell>
        </row>
        <row r="943">
          <cell r="A943" t="str">
            <v>EQU063</v>
          </cell>
          <cell r="B943" t="str">
            <v>Pala auxiliar de piloteadora</v>
          </cell>
          <cell r="C943" t="str">
            <v>Hr</v>
          </cell>
          <cell r="D943"/>
          <cell r="E943">
            <v>275070</v>
          </cell>
        </row>
        <row r="944">
          <cell r="A944" t="str">
            <v>EQU015</v>
          </cell>
          <cell r="B944" t="str">
            <v>Pulidora sin operario</v>
          </cell>
          <cell r="C944" t="str">
            <v>Día</v>
          </cell>
          <cell r="D944"/>
          <cell r="E944">
            <v>39984</v>
          </cell>
        </row>
        <row r="945">
          <cell r="A945" t="str">
            <v>EQU026</v>
          </cell>
          <cell r="B945" t="str">
            <v>Regla vibradora</v>
          </cell>
          <cell r="C945" t="str">
            <v>Día</v>
          </cell>
          <cell r="D945"/>
          <cell r="E945">
            <v>65450</v>
          </cell>
        </row>
        <row r="946">
          <cell r="A946" t="str">
            <v>EQU064</v>
          </cell>
          <cell r="B946" t="str">
            <v>Retroexcavadora A25C a similar</v>
          </cell>
          <cell r="C946" t="str">
            <v>Hr</v>
          </cell>
          <cell r="D946"/>
          <cell r="E946">
            <v>261800</v>
          </cell>
        </row>
        <row r="947">
          <cell r="A947" t="str">
            <v>EQU024</v>
          </cell>
          <cell r="B947" t="str">
            <v>Excavadora de orugas capacidad 0,9 m3 (1,5 m3)</v>
          </cell>
          <cell r="C947" t="str">
            <v>Hr</v>
          </cell>
          <cell r="D947"/>
          <cell r="E947">
            <v>180000</v>
          </cell>
        </row>
        <row r="948">
          <cell r="A948" t="str">
            <v>EQU044</v>
          </cell>
          <cell r="B948" t="str">
            <v>Tablero formaleta 90 x 135</v>
          </cell>
          <cell r="C948" t="str">
            <v>Día</v>
          </cell>
          <cell r="D948"/>
          <cell r="E948">
            <v>952</v>
          </cell>
        </row>
        <row r="949">
          <cell r="A949" t="str">
            <v>EQU007</v>
          </cell>
          <cell r="B949" t="str">
            <v>Taco metálico de 2 - &gt; 3 m</v>
          </cell>
          <cell r="C949" t="str">
            <v>Día</v>
          </cell>
          <cell r="D949"/>
          <cell r="E949">
            <v>286</v>
          </cell>
        </row>
        <row r="950">
          <cell r="A950" t="str">
            <v>EQU043</v>
          </cell>
          <cell r="B950" t="str">
            <v>Taco metálico de 2,6 - &gt; 4 m</v>
          </cell>
          <cell r="C950" t="str">
            <v>Día</v>
          </cell>
          <cell r="D950"/>
          <cell r="E950">
            <v>369</v>
          </cell>
        </row>
        <row r="951">
          <cell r="A951" t="str">
            <v>EQU045</v>
          </cell>
          <cell r="B951" t="str">
            <v>Taladro percutor, incluye broca</v>
          </cell>
          <cell r="C951" t="str">
            <v>Día</v>
          </cell>
          <cell r="D951"/>
          <cell r="E951">
            <v>145950</v>
          </cell>
        </row>
        <row r="952">
          <cell r="A952" t="str">
            <v>EQU046</v>
          </cell>
          <cell r="B952" t="str">
            <v>Taladro tipo roto martillo, incluye broca</v>
          </cell>
          <cell r="C952" t="str">
            <v>Día</v>
          </cell>
          <cell r="D952"/>
          <cell r="E952">
            <v>241650</v>
          </cell>
        </row>
        <row r="953">
          <cell r="A953" t="str">
            <v>EQU054</v>
          </cell>
          <cell r="B953" t="str">
            <v>Telera de 3,5 x 24 cm x 2,9 m de sajo</v>
          </cell>
          <cell r="C953" t="str">
            <v>Día</v>
          </cell>
          <cell r="D953"/>
          <cell r="E953">
            <v>595</v>
          </cell>
        </row>
        <row r="954">
          <cell r="A954" t="str">
            <v>ESY002</v>
          </cell>
          <cell r="B954" t="str">
            <v>Toma de densidades</v>
          </cell>
          <cell r="C954" t="str">
            <v>Un</v>
          </cell>
          <cell r="D954"/>
          <cell r="E954">
            <v>77474</v>
          </cell>
        </row>
        <row r="955">
          <cell r="A955" t="str">
            <v>EQU041</v>
          </cell>
          <cell r="B955" t="str">
            <v>Transporte (% materiales)</v>
          </cell>
          <cell r="C955" t="str">
            <v>%Mat</v>
          </cell>
          <cell r="D955"/>
          <cell r="E955">
            <v>0</v>
          </cell>
        </row>
        <row r="956">
          <cell r="A956" t="str">
            <v>EQU037</v>
          </cell>
          <cell r="B956" t="str">
            <v>Transporte de materiales en mula</v>
          </cell>
          <cell r="C956" t="str">
            <v>Cg</v>
          </cell>
          <cell r="D956"/>
          <cell r="E956">
            <v>4385</v>
          </cell>
        </row>
        <row r="957">
          <cell r="A957" t="str">
            <v>EQU018</v>
          </cell>
          <cell r="B957" t="str">
            <v>Vibrador eléctrico o a gasolina</v>
          </cell>
          <cell r="C957" t="str">
            <v>Día</v>
          </cell>
          <cell r="D957"/>
          <cell r="E957">
            <v>58310</v>
          </cell>
        </row>
        <row r="958">
          <cell r="A958" t="str">
            <v>EQU012</v>
          </cell>
          <cell r="B958" t="str">
            <v xml:space="preserve">Vibrocompactador manual </v>
          </cell>
          <cell r="C958" t="str">
            <v>Día</v>
          </cell>
          <cell r="D958"/>
          <cell r="E958">
            <v>71400</v>
          </cell>
        </row>
        <row r="959">
          <cell r="A959" t="str">
            <v>EQU010</v>
          </cell>
          <cell r="B959" t="str">
            <v>Volqueta 7 m3</v>
          </cell>
          <cell r="C959" t="str">
            <v>Hr</v>
          </cell>
          <cell r="D959"/>
          <cell r="E959">
            <v>166600</v>
          </cell>
        </row>
        <row r="960">
          <cell r="A960" t="str">
            <v>EQU055</v>
          </cell>
          <cell r="B960" t="str">
            <v>Taladro perforador hasta 2"</v>
          </cell>
          <cell r="C960" t="str">
            <v>Hr</v>
          </cell>
          <cell r="D960"/>
          <cell r="E960">
            <v>107100</v>
          </cell>
        </row>
        <row r="961">
          <cell r="A961" t="str">
            <v>EQU058</v>
          </cell>
          <cell r="B961" t="str">
            <v>Broca de perforación de 1 1/4" SDS MAX</v>
          </cell>
          <cell r="C961" t="str">
            <v>Hr</v>
          </cell>
          <cell r="D961"/>
          <cell r="E961">
            <v>23000</v>
          </cell>
        </row>
        <row r="962">
          <cell r="A962" t="str">
            <v>EQU067</v>
          </cell>
          <cell r="B962" t="str">
            <v>Equipo de Hydroblasting completo</v>
          </cell>
          <cell r="C962"/>
          <cell r="D962"/>
          <cell r="E962"/>
        </row>
        <row r="963">
          <cell r="A963" t="str">
            <v>EQU068</v>
          </cell>
          <cell r="B963" t="str">
            <v>Minicargador sobre llantas de 70 caballos o más</v>
          </cell>
          <cell r="C963" t="str">
            <v>Hr</v>
          </cell>
          <cell r="D963"/>
          <cell r="E963"/>
        </row>
        <row r="964">
          <cell r="A964" t="str">
            <v>EQU069</v>
          </cell>
          <cell r="B964"/>
          <cell r="C964"/>
          <cell r="D964"/>
          <cell r="E964"/>
        </row>
      </sheetData>
      <sheetData sheetId="1">
        <row r="26">
          <cell r="F26">
            <v>456694</v>
          </cell>
        </row>
        <row r="34">
          <cell r="F34">
            <v>482282</v>
          </cell>
        </row>
        <row r="42">
          <cell r="F42">
            <v>533927</v>
          </cell>
        </row>
        <row r="50">
          <cell r="F50">
            <v>563161</v>
          </cell>
        </row>
        <row r="90">
          <cell r="F90">
            <v>525897</v>
          </cell>
        </row>
        <row r="96">
          <cell r="F96">
            <v>471394</v>
          </cell>
        </row>
        <row r="113">
          <cell r="F113">
            <v>6882</v>
          </cell>
        </row>
        <row r="118">
          <cell r="F118">
            <v>7440</v>
          </cell>
        </row>
        <row r="123">
          <cell r="F123">
            <v>8285</v>
          </cell>
        </row>
        <row r="301">
          <cell r="F301">
            <v>6211</v>
          </cell>
        </row>
        <row r="468">
          <cell r="F468">
            <v>43205</v>
          </cell>
        </row>
        <row r="563">
          <cell r="F563">
            <v>39349</v>
          </cell>
        </row>
        <row r="3974">
          <cell r="I3974">
            <v>573</v>
          </cell>
        </row>
      </sheetData>
      <sheetData sheetId="2">
        <row r="1144">
          <cell r="I1144">
            <v>144</v>
          </cell>
        </row>
      </sheetData>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E DATOS"/>
      <sheetName val="CONSTRUCCION"/>
      <sheetName val=" VÍAS"/>
      <sheetName val="ANÁLISIS MANO DE OBRA"/>
      <sheetName val="ELÉC MEDIA TENSIÓN Y EDIFIC"/>
    </sheetNames>
    <sheetDataSet>
      <sheetData sheetId="0" refreshError="1">
        <row r="5">
          <cell r="A5" t="str">
            <v>MOB011</v>
          </cell>
          <cell r="B5" t="str">
            <v>Acarreo Horizontal</v>
          </cell>
          <cell r="C5" t="str">
            <v>% MO</v>
          </cell>
          <cell r="E5">
            <v>0</v>
          </cell>
        </row>
        <row r="6">
          <cell r="A6" t="str">
            <v>MOB003</v>
          </cell>
          <cell r="B6" t="str">
            <v>Ayudante (jornal + prestaciones)</v>
          </cell>
          <cell r="C6" t="str">
            <v>Día</v>
          </cell>
          <cell r="E6">
            <v>89391</v>
          </cell>
        </row>
        <row r="7">
          <cell r="A7" t="str">
            <v>MOB019</v>
          </cell>
          <cell r="B7" t="str">
            <v>Ayudante eléctrico (jornal + prestaciones)</v>
          </cell>
          <cell r="C7" t="str">
            <v>Día</v>
          </cell>
          <cell r="E7">
            <v>143026</v>
          </cell>
        </row>
        <row r="8">
          <cell r="A8" t="str">
            <v>MOB004</v>
          </cell>
          <cell r="B8" t="str">
            <v>Ayudante práctico (jornal + prestaciones)</v>
          </cell>
          <cell r="C8" t="str">
            <v>Día</v>
          </cell>
          <cell r="E8">
            <v>125147</v>
          </cell>
        </row>
        <row r="9">
          <cell r="A9" t="str">
            <v>MOB010</v>
          </cell>
          <cell r="B9" t="str">
            <v>Comisión topografía (topógrafo + Cadenero 1 + 2 Cadeneros 2)</v>
          </cell>
          <cell r="C9" t="str">
            <v>Día</v>
          </cell>
          <cell r="E9">
            <v>599083</v>
          </cell>
        </row>
        <row r="10">
          <cell r="A10" t="str">
            <v>MOB005</v>
          </cell>
          <cell r="B10" t="str">
            <v>Cuadrilla A 1 Of + 4 Ay (jornal + prestaciones)</v>
          </cell>
          <cell r="C10" t="str">
            <v>Día</v>
          </cell>
          <cell r="E10">
            <v>518468</v>
          </cell>
        </row>
        <row r="11">
          <cell r="A11" t="str">
            <v>MOB006</v>
          </cell>
          <cell r="B11" t="str">
            <v>Cuadrilla B 1 Min + 2 Ay (jornal + prestaciones)</v>
          </cell>
          <cell r="C11" t="str">
            <v>Día</v>
          </cell>
          <cell r="E11">
            <v>383220</v>
          </cell>
        </row>
        <row r="12">
          <cell r="A12" t="str">
            <v>MOB013</v>
          </cell>
          <cell r="B12" t="str">
            <v>Cuadrilla C 1 Of + 7 Ay (jornal + prestaciones)</v>
          </cell>
          <cell r="C12" t="str">
            <v>Día</v>
          </cell>
          <cell r="E12">
            <v>786641</v>
          </cell>
        </row>
        <row r="13">
          <cell r="A13" t="str">
            <v>MOB001</v>
          </cell>
          <cell r="B13" t="str">
            <v>Cuadrilla CE (1 Of E + 7 Ay E) (jornal + prestaciones)</v>
          </cell>
          <cell r="C13" t="str">
            <v>Día</v>
          </cell>
          <cell r="E13">
            <v>1179964</v>
          </cell>
        </row>
        <row r="14">
          <cell r="A14" t="str">
            <v>MOB014</v>
          </cell>
          <cell r="B14" t="str">
            <v>Cuadrilla D 2 Of + 4 Ay (jornal + prestaciones)</v>
          </cell>
          <cell r="C14" t="str">
            <v>Día</v>
          </cell>
          <cell r="E14">
            <v>679372</v>
          </cell>
        </row>
        <row r="15">
          <cell r="A15" t="str">
            <v>MOB015</v>
          </cell>
          <cell r="B15" t="str">
            <v>Cuadrilla E 1 Of + 1 Ay (jornal + prestaciones)</v>
          </cell>
          <cell r="C15" t="str">
            <v>Día</v>
          </cell>
          <cell r="E15">
            <v>250295</v>
          </cell>
        </row>
        <row r="16">
          <cell r="A16" t="str">
            <v>MOB009</v>
          </cell>
          <cell r="B16" t="str">
            <v>Cuadrilla EE 1 Of E + 1 Ay E (jornal + prestaciones)</v>
          </cell>
          <cell r="C16" t="str">
            <v>Día</v>
          </cell>
          <cell r="E16">
            <v>321808</v>
          </cell>
        </row>
        <row r="17">
          <cell r="A17" t="str">
            <v>MOB016</v>
          </cell>
          <cell r="B17" t="str">
            <v>Cuadrilla F 6 Of + 4 Ay (jornal + prestaciones)</v>
          </cell>
          <cell r="C17" t="str">
            <v>Día</v>
          </cell>
          <cell r="E17">
            <v>1322988</v>
          </cell>
        </row>
        <row r="18">
          <cell r="A18" t="str">
            <v>MOB017</v>
          </cell>
          <cell r="B18" t="str">
            <v>Cuadrilla G 1 Of + 2 Ay (jornal + prestaciones)</v>
          </cell>
          <cell r="C18" t="str">
            <v>Día</v>
          </cell>
          <cell r="E18">
            <v>339686</v>
          </cell>
        </row>
        <row r="19">
          <cell r="A19" t="str">
            <v>MOB023</v>
          </cell>
          <cell r="B19" t="str">
            <v>Cuadrilla GE 1 Of E + 2 A y E (jornal + prestaciones)</v>
          </cell>
          <cell r="C19" t="str">
            <v>Día</v>
          </cell>
          <cell r="E19">
            <v>429076</v>
          </cell>
        </row>
        <row r="20">
          <cell r="A20" t="str">
            <v>MOB018</v>
          </cell>
          <cell r="B20" t="str">
            <v>Cuadrilla H 4 Ay (jornal + prestaciones)</v>
          </cell>
          <cell r="C20" t="str">
            <v>Día</v>
          </cell>
          <cell r="E20">
            <v>357564</v>
          </cell>
        </row>
        <row r="21">
          <cell r="A21" t="str">
            <v>MOB020</v>
          </cell>
          <cell r="B21" t="str">
            <v>Cuadrilla J (1 Of eléctrico + 1 Ay eléctrico) (jornal + prestaciones)</v>
          </cell>
          <cell r="C21" t="str">
            <v>Día</v>
          </cell>
          <cell r="E21">
            <v>321808</v>
          </cell>
        </row>
        <row r="22">
          <cell r="A22" t="str">
            <v>MOB021</v>
          </cell>
          <cell r="B22" t="str">
            <v>Cuadrilla K (1 Of eléctrico + 2 Ay eléctricos) (jornal + prestaciones)</v>
          </cell>
          <cell r="C22" t="str">
            <v>Día</v>
          </cell>
          <cell r="E22">
            <v>464834</v>
          </cell>
        </row>
        <row r="23">
          <cell r="A23" t="str">
            <v>MOB022</v>
          </cell>
          <cell r="B23" t="str">
            <v>Cuadrilla L 2 Of + 8 Ay (jornal + prestaciones)</v>
          </cell>
          <cell r="C23" t="str">
            <v>Día</v>
          </cell>
          <cell r="E23">
            <v>1036936</v>
          </cell>
        </row>
        <row r="24">
          <cell r="A24" t="str">
            <v>MOB008</v>
          </cell>
          <cell r="B24" t="str">
            <v>Cuadrilla S (1 Sold.+1 Ay práctico) (jornal + prestaciones)</v>
          </cell>
          <cell r="C24" t="str">
            <v>Día</v>
          </cell>
          <cell r="E24">
            <v>286051</v>
          </cell>
        </row>
        <row r="25">
          <cell r="A25" t="str">
            <v>MOB024</v>
          </cell>
          <cell r="B25" t="str">
            <v>Cuadrilla N 1 Min + 1 Ay (jornal + prestaciones)</v>
          </cell>
          <cell r="C25" t="str">
            <v>Día</v>
          </cell>
          <cell r="E25">
            <v>293829</v>
          </cell>
        </row>
        <row r="26">
          <cell r="A26" t="str">
            <v>MOB002</v>
          </cell>
          <cell r="B26" t="str">
            <v>Oficial (jornal + prestaciones)</v>
          </cell>
          <cell r="C26" t="str">
            <v>Día</v>
          </cell>
          <cell r="E26">
            <v>160904</v>
          </cell>
        </row>
        <row r="27">
          <cell r="A27" t="str">
            <v>MOB007</v>
          </cell>
          <cell r="B27" t="str">
            <v>Oficial eléctrico (jornal + prestaciones)</v>
          </cell>
          <cell r="C27" t="str">
            <v>Día</v>
          </cell>
          <cell r="E27">
            <v>178782</v>
          </cell>
        </row>
        <row r="28">
          <cell r="A28" t="str">
            <v>MOB012</v>
          </cell>
          <cell r="B28" t="str">
            <v>Profesional en salud ocupacional</v>
          </cell>
          <cell r="C28" t="str">
            <v>Mes</v>
          </cell>
          <cell r="E28">
            <v>6869128</v>
          </cell>
        </row>
        <row r="29">
          <cell r="A29" t="str">
            <v>MATERIALES</v>
          </cell>
        </row>
        <row r="31">
          <cell r="A31" t="str">
            <v>CÓDIGO</v>
          </cell>
          <cell r="B31" t="str">
            <v>DESCRIPCIÓN</v>
          </cell>
          <cell r="C31" t="str">
            <v>UNIDAD</v>
          </cell>
          <cell r="E31" t="str">
            <v>VALOR UNITARIO 2025</v>
          </cell>
        </row>
        <row r="32">
          <cell r="A32" t="str">
            <v>MAT,593</v>
          </cell>
          <cell r="B32" t="str">
            <v>Abrazadera o grapa UNISTRUT/CHANEL para tubo ø 3/4" zincada (Strut Clamp)</v>
          </cell>
          <cell r="C32" t="str">
            <v>Un</v>
          </cell>
          <cell r="E32">
            <v>850</v>
          </cell>
        </row>
        <row r="33">
          <cell r="A33" t="str">
            <v>MAT,056</v>
          </cell>
          <cell r="B33" t="str">
            <v>Abrazadera o grapa UNISTRUT/CHANEL para tubo ø 1 ½" zincada (Strut Clamp)</v>
          </cell>
          <cell r="C33" t="str">
            <v>Un</v>
          </cell>
          <cell r="E33">
            <v>1250</v>
          </cell>
        </row>
        <row r="34">
          <cell r="A34" t="str">
            <v>MAT,004</v>
          </cell>
          <cell r="B34" t="str">
            <v>Abrazadera o grapa UNISTRUT/CHANEL para tubo ø 2" zincada (Strut Clamp)</v>
          </cell>
          <cell r="C34" t="str">
            <v>Un</v>
          </cell>
          <cell r="E34">
            <v>1500</v>
          </cell>
        </row>
        <row r="35">
          <cell r="A35" t="str">
            <v>MAT,058</v>
          </cell>
          <cell r="B35" t="str">
            <v>Abrazadera o grapa UNISTRUT/CHANEL para tubo ø 3" zincada (Strut Clamp)</v>
          </cell>
          <cell r="C35" t="str">
            <v>Un</v>
          </cell>
          <cell r="E35">
            <v>2200</v>
          </cell>
        </row>
        <row r="36">
          <cell r="A36" t="str">
            <v>MAT,003</v>
          </cell>
          <cell r="B36" t="str">
            <v>Abrazadera o grapa UNISTRUT/CHANEL para tubo ø 3/4" zincada (Strut Clamp)</v>
          </cell>
          <cell r="C36" t="str">
            <v>Un</v>
          </cell>
          <cell r="E36">
            <v>850</v>
          </cell>
        </row>
        <row r="37">
          <cell r="A37" t="str">
            <v>MAT,083</v>
          </cell>
          <cell r="B37" t="str">
            <v>Abrazadera o grapa UNISTRUT/CHANEL para tubo ø 4" zincada (Strut Clamp)</v>
          </cell>
          <cell r="C37" t="str">
            <v>Un</v>
          </cell>
          <cell r="E37">
            <v>4050</v>
          </cell>
        </row>
        <row r="38">
          <cell r="A38" t="str">
            <v>MAT,797</v>
          </cell>
          <cell r="B38" t="str">
            <v>Accesorio esquina externa PVC media caña 60 mm blanco</v>
          </cell>
          <cell r="C38" t="str">
            <v>Un</v>
          </cell>
          <cell r="E38">
            <v>8845</v>
          </cell>
        </row>
        <row r="39">
          <cell r="A39" t="str">
            <v>MAT,796</v>
          </cell>
          <cell r="B39" t="str">
            <v xml:space="preserve">Accesorio esquina interna PVC media caña 60 mm blanco </v>
          </cell>
          <cell r="C39" t="str">
            <v>Un</v>
          </cell>
          <cell r="E39">
            <v>8845</v>
          </cell>
        </row>
        <row r="40">
          <cell r="A40" t="str">
            <v>MAT,795</v>
          </cell>
          <cell r="B40" t="str">
            <v>Accesorio esquina interna PVC media caña 90 mm blanco</v>
          </cell>
          <cell r="C40" t="str">
            <v>Un</v>
          </cell>
          <cell r="E40">
            <v>12345</v>
          </cell>
        </row>
        <row r="41">
          <cell r="A41" t="str">
            <v>MAT,791</v>
          </cell>
          <cell r="B41" t="str">
            <v>Accesorio estrella PVC media caña 60 mm blanco</v>
          </cell>
          <cell r="C41" t="str">
            <v>Un</v>
          </cell>
          <cell r="E41">
            <v>8845</v>
          </cell>
        </row>
        <row r="42">
          <cell r="A42" t="str">
            <v>MAT,793</v>
          </cell>
          <cell r="B42" t="str">
            <v>Accesorio estrella PVC media caña 90 mm blanco</v>
          </cell>
          <cell r="C42" t="str">
            <v>Un</v>
          </cell>
          <cell r="E42">
            <v>12495</v>
          </cell>
        </row>
        <row r="43">
          <cell r="A43" t="str">
            <v>MAT,794</v>
          </cell>
          <cell r="B43" t="str">
            <v xml:space="preserve">Accesorio tapa PVC media caña 60 mm blanco </v>
          </cell>
          <cell r="C43" t="str">
            <v>Un</v>
          </cell>
          <cell r="E43">
            <v>8845</v>
          </cell>
        </row>
        <row r="44">
          <cell r="A44" t="str">
            <v>MAT,792</v>
          </cell>
          <cell r="B44" t="str">
            <v>Accesorio tapa PVC media caña 90 mm blanco</v>
          </cell>
          <cell r="C44" t="str">
            <v>Un</v>
          </cell>
          <cell r="E44">
            <v>12495</v>
          </cell>
        </row>
        <row r="45">
          <cell r="A45" t="str">
            <v>MAT,059</v>
          </cell>
          <cell r="B45" t="str">
            <v>Accesorios CPVC 1/2" promedio de: T, codo 90º, U</v>
          </cell>
          <cell r="C45" t="str">
            <v>%Tub</v>
          </cell>
          <cell r="E45">
            <v>0</v>
          </cell>
        </row>
        <row r="46">
          <cell r="A46" t="str">
            <v>MAT,610</v>
          </cell>
          <cell r="B46" t="str">
            <v>Accesorios de fijación alambrón de Al</v>
          </cell>
          <cell r="C46" t="str">
            <v>%Ala</v>
          </cell>
          <cell r="E46">
            <v>0</v>
          </cell>
        </row>
        <row r="47">
          <cell r="A47" t="str">
            <v>MAT,629</v>
          </cell>
          <cell r="B47" t="str">
            <v>Accesorios de fijación caja</v>
          </cell>
          <cell r="C47" t="str">
            <v>%Caj</v>
          </cell>
          <cell r="E47">
            <v>0</v>
          </cell>
        </row>
        <row r="48">
          <cell r="A48" t="str">
            <v>MAT,631</v>
          </cell>
          <cell r="B48" t="str">
            <v>Accesorios de fijación de tableros, cajas y bajantes</v>
          </cell>
          <cell r="C48" t="str">
            <v>%Tab</v>
          </cell>
          <cell r="E48">
            <v>0</v>
          </cell>
        </row>
        <row r="49">
          <cell r="A49" t="str">
            <v>MAT,626</v>
          </cell>
          <cell r="B49" t="str">
            <v>Accesorios de fijación tubería IMC</v>
          </cell>
          <cell r="C49" t="str">
            <v>%Tub</v>
          </cell>
          <cell r="E49">
            <v>0</v>
          </cell>
        </row>
        <row r="50">
          <cell r="A50" t="str">
            <v>MAT,008</v>
          </cell>
          <cell r="B50" t="str">
            <v>Accesorios para canal PVC promedio de: U, U bajante, soporte, 2 tapas externas</v>
          </cell>
          <cell r="C50" t="str">
            <v>Un</v>
          </cell>
          <cell r="E50">
            <v>13110</v>
          </cell>
        </row>
        <row r="51">
          <cell r="A51" t="str">
            <v>MAT,002</v>
          </cell>
          <cell r="B51" t="str">
            <v>Accesorios para fijación de canal metálico (tapa (2), boquilla (2) y soporte (4) en 8 Un</v>
          </cell>
          <cell r="C51" t="str">
            <v>Un</v>
          </cell>
          <cell r="E51">
            <v>5875</v>
          </cell>
        </row>
        <row r="52">
          <cell r="A52" t="str">
            <v>MAT,123</v>
          </cell>
          <cell r="B52" t="str">
            <v>Accesorios para rack (bandeja)</v>
          </cell>
          <cell r="C52" t="str">
            <v>Un</v>
          </cell>
          <cell r="E52">
            <v>150000</v>
          </cell>
        </row>
        <row r="53">
          <cell r="A53" t="str">
            <v>MAT,118</v>
          </cell>
          <cell r="B53" t="str">
            <v>Accesorios PVC sanitaria (% tubería)</v>
          </cell>
          <cell r="C53" t="str">
            <v>%Tub</v>
          </cell>
          <cell r="E53">
            <v>0</v>
          </cell>
        </row>
        <row r="54">
          <cell r="A54" t="str">
            <v>MAT,005</v>
          </cell>
          <cell r="B54" t="str">
            <v>Accesorios PVC sanitaria 2" promedio (U + codo 90º)</v>
          </cell>
          <cell r="C54" t="str">
            <v>Un</v>
          </cell>
          <cell r="E54">
            <v>7950</v>
          </cell>
        </row>
        <row r="55">
          <cell r="A55" t="str">
            <v>MAT,006</v>
          </cell>
          <cell r="B55" t="str">
            <v>Accesorios PVC sanitaria 3" promedio (U + codo 90º)</v>
          </cell>
          <cell r="C55" t="str">
            <v>Un</v>
          </cell>
          <cell r="E55">
            <v>10600</v>
          </cell>
        </row>
        <row r="56">
          <cell r="A56" t="str">
            <v>MAT,007</v>
          </cell>
          <cell r="B56" t="str">
            <v>Accesorios PVC sanitaria 4" promedio (U + codo 90º)</v>
          </cell>
          <cell r="C56" t="str">
            <v>Un</v>
          </cell>
          <cell r="E56">
            <v>16250</v>
          </cell>
        </row>
        <row r="57">
          <cell r="A57" t="str">
            <v>MAT,009</v>
          </cell>
          <cell r="B57" t="str">
            <v>Acelerante para concreto tipo Sika set</v>
          </cell>
          <cell r="C57" t="str">
            <v>Kg</v>
          </cell>
          <cell r="E57">
            <v>20348</v>
          </cell>
        </row>
        <row r="58">
          <cell r="A58" t="str">
            <v>MAT,010</v>
          </cell>
          <cell r="B58" t="str">
            <v>Acero Fy = 37.000 PSI (2.601 kg/cm2) d ≤ ¼"</v>
          </cell>
          <cell r="C58" t="str">
            <v>Kg</v>
          </cell>
          <cell r="E58">
            <v>4500</v>
          </cell>
        </row>
        <row r="59">
          <cell r="A59" t="str">
            <v>MAT,011</v>
          </cell>
          <cell r="B59" t="str">
            <v>Acero Fy = 60.000 PSI (40218 kg/cm2) d &gt; ¼"</v>
          </cell>
          <cell r="C59" t="str">
            <v>Kg</v>
          </cell>
          <cell r="E59">
            <v>4545</v>
          </cell>
        </row>
        <row r="60">
          <cell r="A60" t="str">
            <v>MAT,641</v>
          </cell>
          <cell r="B60" t="str">
            <v>Acero laminado A 36, para correa formada por pieza simple, de perfiles laminados en caliente, según ASTM A 36, acabado con imprimación antioxidante, trabajado en taller, para colocar en obra mediante soldadura</v>
          </cell>
          <cell r="C60" t="str">
            <v>Kg</v>
          </cell>
          <cell r="E60">
            <v>8566</v>
          </cell>
        </row>
        <row r="61">
          <cell r="A61" t="str">
            <v>MAT,534</v>
          </cell>
          <cell r="B61" t="str">
            <v>Acople flexible para lavamanos de 1/2" 150 cm</v>
          </cell>
          <cell r="C61" t="str">
            <v>Un</v>
          </cell>
          <cell r="E61">
            <v>14900</v>
          </cell>
        </row>
        <row r="62">
          <cell r="A62" t="str">
            <v>MAT,045</v>
          </cell>
          <cell r="B62" t="str">
            <v>Acople flexible para sanitario, conexión rosca 7/8"</v>
          </cell>
          <cell r="C62" t="str">
            <v>Un</v>
          </cell>
          <cell r="E62">
            <v>5300</v>
          </cell>
        </row>
        <row r="63">
          <cell r="A63" t="str">
            <v>MAT,012</v>
          </cell>
          <cell r="B63" t="str">
            <v>ACPM</v>
          </cell>
          <cell r="C63" t="str">
            <v>Gl</v>
          </cell>
          <cell r="E63">
            <v>10808</v>
          </cell>
        </row>
        <row r="64">
          <cell r="A64" t="str">
            <v>MAT,014</v>
          </cell>
          <cell r="B64" t="str">
            <v>Adaptador bajante PVC agua lluvia cuadrada 3"</v>
          </cell>
          <cell r="C64" t="str">
            <v>Un</v>
          </cell>
          <cell r="E64">
            <v>4078</v>
          </cell>
        </row>
        <row r="65">
          <cell r="A65" t="str">
            <v>MAT,015</v>
          </cell>
          <cell r="B65" t="str">
            <v>Adaptador macho PF + UAD ½"</v>
          </cell>
          <cell r="C65" t="str">
            <v>Un</v>
          </cell>
          <cell r="E65">
            <v>5400</v>
          </cell>
        </row>
        <row r="66">
          <cell r="A66" t="str">
            <v>MAT,018</v>
          </cell>
          <cell r="B66" t="str">
            <v>Adaptador PVC macho de ½" presión</v>
          </cell>
          <cell r="C66" t="str">
            <v>Un</v>
          </cell>
          <cell r="E66">
            <v>350</v>
          </cell>
        </row>
        <row r="67">
          <cell r="A67" t="str">
            <v>MAT,016</v>
          </cell>
          <cell r="B67" t="str">
            <v>Adaptador PVC macho de 1 ½" presión</v>
          </cell>
          <cell r="C67" t="str">
            <v>Un</v>
          </cell>
          <cell r="E67">
            <v>5500</v>
          </cell>
        </row>
        <row r="68">
          <cell r="A68" t="str">
            <v>MAT,017</v>
          </cell>
          <cell r="B68" t="str">
            <v>Adaptador PVC macho de 1" presión</v>
          </cell>
          <cell r="C68" t="str">
            <v>Un</v>
          </cell>
          <cell r="E68">
            <v>2150</v>
          </cell>
        </row>
        <row r="69">
          <cell r="A69" t="str">
            <v>MAT,019</v>
          </cell>
          <cell r="B69" t="str">
            <v>Adaptador PVC macho de 2" presión</v>
          </cell>
          <cell r="C69" t="str">
            <v>Un</v>
          </cell>
          <cell r="E69">
            <v>7200</v>
          </cell>
        </row>
        <row r="70">
          <cell r="A70" t="str">
            <v>MAT,020</v>
          </cell>
          <cell r="B70" t="str">
            <v>Adaptador PVC macho de 3/4" presión</v>
          </cell>
          <cell r="C70" t="str">
            <v>Un</v>
          </cell>
          <cell r="E70">
            <v>1100</v>
          </cell>
        </row>
        <row r="71">
          <cell r="A71" t="str">
            <v>MAT,618</v>
          </cell>
          <cell r="B71" t="str">
            <v>Adaptador terminal conduit PVC ½"</v>
          </cell>
          <cell r="C71" t="str">
            <v>Un</v>
          </cell>
          <cell r="E71">
            <v>300</v>
          </cell>
        </row>
        <row r="72">
          <cell r="A72" t="str">
            <v>MAT,084</v>
          </cell>
          <cell r="B72" t="str">
            <v>Adaptador terminal conduit PVC 3/4"</v>
          </cell>
          <cell r="C72" t="str">
            <v>Un</v>
          </cell>
          <cell r="E72">
            <v>400</v>
          </cell>
        </row>
        <row r="73">
          <cell r="A73" t="str">
            <v>MAT,607</v>
          </cell>
          <cell r="B73" t="str">
            <v>Adaptador terminal EMT 3/4"</v>
          </cell>
          <cell r="C73" t="str">
            <v>Un</v>
          </cell>
          <cell r="E73">
            <v>1100</v>
          </cell>
        </row>
        <row r="74">
          <cell r="A74" t="str">
            <v>MAT,021</v>
          </cell>
          <cell r="B74" t="str">
            <v>Adhesivo epóxico para pegar concreto fresco con endurecido de curado lento (tipo Sikadur v32 Primer)</v>
          </cell>
          <cell r="C74" t="str">
            <v>Kg</v>
          </cell>
          <cell r="E74">
            <v>195900</v>
          </cell>
        </row>
        <row r="75">
          <cell r="A75" t="str">
            <v>MAT,258</v>
          </cell>
          <cell r="B75" t="str">
            <v>Adhesivo epóxico tipo IV grado 3 (ASTM C-881-02) para anclar barras de acero al concreto x 600 m (Sikadur® AnchorFix®-4 tubo x 600 m) o similar</v>
          </cell>
          <cell r="C75" t="str">
            <v>Un</v>
          </cell>
          <cell r="E75">
            <v>99900</v>
          </cell>
        </row>
        <row r="76">
          <cell r="A76" t="str">
            <v>MAT,022</v>
          </cell>
          <cell r="B76" t="str">
            <v>Adhesivo para piso de vinilo</v>
          </cell>
          <cell r="C76" t="str">
            <v>Kg</v>
          </cell>
          <cell r="E76">
            <v>25745</v>
          </cell>
        </row>
        <row r="77">
          <cell r="A77" t="str">
            <v>MAT,023</v>
          </cell>
          <cell r="B77" t="str">
            <v>Adhesivo para tubería de pared estructural 310 ml</v>
          </cell>
          <cell r="C77" t="str">
            <v>Un</v>
          </cell>
          <cell r="E77">
            <v>90900</v>
          </cell>
        </row>
        <row r="78">
          <cell r="A78" t="str">
            <v>MAT,630</v>
          </cell>
          <cell r="B78" t="str">
            <v>Aditivo acelerante para concreto tipo Sikaset L o similar</v>
          </cell>
          <cell r="C78" t="str">
            <v>Kg</v>
          </cell>
          <cell r="E78">
            <v>19580</v>
          </cell>
        </row>
        <row r="79">
          <cell r="A79" t="str">
            <v>MAT,817</v>
          </cell>
          <cell r="B79" t="str">
            <v>Aditivo curador (antisol o similar)</v>
          </cell>
          <cell r="C79" t="str">
            <v>Kg</v>
          </cell>
          <cell r="E79">
            <v>13045</v>
          </cell>
        </row>
        <row r="80">
          <cell r="A80" t="str">
            <v>MAT,024</v>
          </cell>
          <cell r="B80" t="str">
            <v>Adoquín en gres peatonal (5 x 10 x 20 cm)</v>
          </cell>
          <cell r="C80" t="str">
            <v>M2</v>
          </cell>
          <cell r="E80">
            <v>75000</v>
          </cell>
        </row>
        <row r="81">
          <cell r="A81" t="str">
            <v>MAT,025</v>
          </cell>
          <cell r="B81" t="str">
            <v>Adoquín peatonal gris de concreto e = 0,06 m (5 Mpa)</v>
          </cell>
          <cell r="C81" t="str">
            <v>M2</v>
          </cell>
          <cell r="E81">
            <v>55000</v>
          </cell>
        </row>
        <row r="82">
          <cell r="A82" t="str">
            <v>MAT,552</v>
          </cell>
          <cell r="B82" t="str">
            <v>Adoquín vehicular gris de concreto e = 0,08 m</v>
          </cell>
          <cell r="C82" t="str">
            <v>M2</v>
          </cell>
          <cell r="E82">
            <v>40000</v>
          </cell>
        </row>
        <row r="83">
          <cell r="A83" t="str">
            <v>MAT,026</v>
          </cell>
          <cell r="B83" t="str">
            <v>Afirmado para mantenimiento vial y elementos no estructurales</v>
          </cell>
          <cell r="C83" t="str">
            <v>M3</v>
          </cell>
          <cell r="E83">
            <v>56610</v>
          </cell>
        </row>
        <row r="84">
          <cell r="A84" t="str">
            <v>MAT,027</v>
          </cell>
          <cell r="B84" t="str">
            <v xml:space="preserve">Agua </v>
          </cell>
          <cell r="C84" t="str">
            <v>Lt</v>
          </cell>
          <cell r="E84">
            <v>19</v>
          </cell>
        </row>
        <row r="85">
          <cell r="A85" t="str">
            <v>MAT,578</v>
          </cell>
          <cell r="B85" t="str">
            <v>Aislador tipo carrete 3" ANSI 53-2</v>
          </cell>
          <cell r="C85" t="str">
            <v>Un</v>
          </cell>
          <cell r="E85">
            <v>3650</v>
          </cell>
        </row>
        <row r="86">
          <cell r="A86" t="str">
            <v>MAT,788</v>
          </cell>
          <cell r="B86" t="str">
            <v>Ajustador para epóxicas 21209 o similar (usar solo siguiendo las recomendaciones del Fabricante) Pintuco</v>
          </cell>
          <cell r="C86" t="str">
            <v>Gl</v>
          </cell>
          <cell r="E86">
            <v>74724</v>
          </cell>
        </row>
        <row r="87">
          <cell r="A87" t="str">
            <v>MAT,028</v>
          </cell>
          <cell r="B87" t="str">
            <v>Alambre de púas C 14</v>
          </cell>
          <cell r="C87" t="str">
            <v>M</v>
          </cell>
          <cell r="E87">
            <v>584</v>
          </cell>
        </row>
        <row r="88">
          <cell r="A88" t="str">
            <v>MAT,029</v>
          </cell>
          <cell r="B88" t="str">
            <v xml:space="preserve">Alambre galvanizado C 12 </v>
          </cell>
          <cell r="C88" t="str">
            <v>Kg</v>
          </cell>
          <cell r="E88">
            <v>11400</v>
          </cell>
        </row>
        <row r="89">
          <cell r="A89" t="str">
            <v>MAT,030</v>
          </cell>
          <cell r="B89" t="str">
            <v>Alambre negro calibre 18 - 19</v>
          </cell>
          <cell r="C89" t="str">
            <v>Kg</v>
          </cell>
          <cell r="E89">
            <v>7790</v>
          </cell>
        </row>
        <row r="90">
          <cell r="A90" t="str">
            <v>MAT,806</v>
          </cell>
          <cell r="B90" t="str">
            <v>Alambre Nº 6 de aluminio para amarre</v>
          </cell>
          <cell r="C90" t="str">
            <v>M</v>
          </cell>
          <cell r="E90">
            <v>3000</v>
          </cell>
        </row>
        <row r="91">
          <cell r="A91" t="str">
            <v>MAT,598</v>
          </cell>
          <cell r="B91" t="str">
            <v>Alambron en Aluminio de 8mm para Apantallamiento</v>
          </cell>
          <cell r="C91" t="str">
            <v>M</v>
          </cell>
          <cell r="E91">
            <v>3400</v>
          </cell>
        </row>
        <row r="92">
          <cell r="A92" t="str">
            <v>MAT,001</v>
          </cell>
          <cell r="B92" t="str">
            <v>Alas para cerámica (wings o piraguas) en Al x 2,5 m</v>
          </cell>
          <cell r="C92" t="str">
            <v>M</v>
          </cell>
          <cell r="E92">
            <v>17960</v>
          </cell>
        </row>
        <row r="93">
          <cell r="A93" t="str">
            <v>MAT,031</v>
          </cell>
          <cell r="B93" t="str">
            <v>Alas para cerámica (wings o piraguas) en PVC x 2,4 m</v>
          </cell>
          <cell r="C93" t="str">
            <v>M</v>
          </cell>
          <cell r="E93">
            <v>3708.3333333333335</v>
          </cell>
        </row>
        <row r="94">
          <cell r="A94" t="str">
            <v>MAT,032</v>
          </cell>
          <cell r="B94" t="str">
            <v>Amarra con tapa plástica para techos</v>
          </cell>
          <cell r="C94" t="str">
            <v>Un</v>
          </cell>
          <cell r="E94">
            <v>495</v>
          </cell>
        </row>
        <row r="95">
          <cell r="A95" t="str">
            <v>MAT,496</v>
          </cell>
          <cell r="B95" t="str">
            <v>Amarra Plastica/Nylon 10 cm</v>
          </cell>
          <cell r="C95" t="str">
            <v>Un</v>
          </cell>
          <cell r="E95">
            <v>36</v>
          </cell>
        </row>
        <row r="96">
          <cell r="A96" t="str">
            <v>MAT,087</v>
          </cell>
          <cell r="B96" t="str">
            <v>Anclaje multipropósito de ø 3/8" (tipo hembra)</v>
          </cell>
          <cell r="C96" t="str">
            <v>Un</v>
          </cell>
          <cell r="E96">
            <v>900</v>
          </cell>
        </row>
        <row r="97">
          <cell r="A97" t="str">
            <v>MAT,088</v>
          </cell>
          <cell r="B97" t="str">
            <v>Anclaje tipo cuña 3/8" x 2 ¼"</v>
          </cell>
          <cell r="C97" t="str">
            <v>Un</v>
          </cell>
          <cell r="E97">
            <v>3700</v>
          </cell>
        </row>
        <row r="98">
          <cell r="A98" t="str">
            <v>MAT,034</v>
          </cell>
          <cell r="B98" t="str">
            <v>Ángulo de 1 ½" x 1/8"</v>
          </cell>
          <cell r="C98" t="str">
            <v>M</v>
          </cell>
          <cell r="E98">
            <v>9383</v>
          </cell>
        </row>
        <row r="99">
          <cell r="A99" t="str">
            <v>MAT,035</v>
          </cell>
          <cell r="B99" t="str">
            <v>Ángulo de 1" x 1/8"</v>
          </cell>
          <cell r="C99" t="str">
            <v>M</v>
          </cell>
          <cell r="E99">
            <v>6817</v>
          </cell>
        </row>
        <row r="100">
          <cell r="A100" t="str">
            <v>MAT,516</v>
          </cell>
          <cell r="B100" t="str">
            <v>Ángulo de 2" x 1/8"</v>
          </cell>
          <cell r="C100" t="str">
            <v>M</v>
          </cell>
          <cell r="E100">
            <v>15817</v>
          </cell>
        </row>
        <row r="101">
          <cell r="A101" t="str">
            <v>MAT,036</v>
          </cell>
          <cell r="B101" t="str">
            <v>Ángulo de 2" x 3/16" (puente)</v>
          </cell>
          <cell r="C101" t="str">
            <v>M</v>
          </cell>
          <cell r="E101">
            <v>22617</v>
          </cell>
        </row>
        <row r="102">
          <cell r="A102" t="str">
            <v>MAT,037</v>
          </cell>
          <cell r="B102" t="str">
            <v>Ángulo C 26 perimetral de 20 x 30 x 2.40 m</v>
          </cell>
          <cell r="C102" t="str">
            <v>Un</v>
          </cell>
          <cell r="E102">
            <v>2698</v>
          </cell>
        </row>
        <row r="103">
          <cell r="A103" t="str">
            <v>MAT,038</v>
          </cell>
          <cell r="B103" t="str">
            <v>Anticorrosivo gris</v>
          </cell>
          <cell r="C103" t="str">
            <v>Gl</v>
          </cell>
          <cell r="E103">
            <v>69900</v>
          </cell>
        </row>
        <row r="104">
          <cell r="A104" t="str">
            <v>MAT,039</v>
          </cell>
          <cell r="B104" t="str">
            <v>Antisol blanco o similar</v>
          </cell>
          <cell r="C104" t="str">
            <v>Kg</v>
          </cell>
          <cell r="E104">
            <v>13045</v>
          </cell>
        </row>
        <row r="105">
          <cell r="A105" t="str">
            <v>MAT,089</v>
          </cell>
          <cell r="B105" t="str">
            <v>Arandela cuadrada 2" x 2" x ¼", ø 5/8"</v>
          </cell>
          <cell r="C105" t="str">
            <v>Un</v>
          </cell>
          <cell r="E105">
            <v>850</v>
          </cell>
        </row>
        <row r="106">
          <cell r="A106" t="str">
            <v>MAT,536</v>
          </cell>
          <cell r="B106" t="str">
            <v>Arandela galvanizada de 3/8"</v>
          </cell>
          <cell r="C106" t="str">
            <v>Un</v>
          </cell>
          <cell r="E106">
            <v>250</v>
          </cell>
        </row>
        <row r="107">
          <cell r="A107" t="str">
            <v>MAT,097</v>
          </cell>
          <cell r="B107" t="str">
            <v>Arandela presión ø 3/4"</v>
          </cell>
          <cell r="C107" t="str">
            <v>Un</v>
          </cell>
          <cell r="E107">
            <v>314</v>
          </cell>
        </row>
        <row r="108">
          <cell r="A108" t="str">
            <v>MAT,108</v>
          </cell>
          <cell r="B108" t="str">
            <v>Arandela presión ø 5/8"</v>
          </cell>
          <cell r="C108" t="str">
            <v>Un</v>
          </cell>
          <cell r="E108">
            <v>169</v>
          </cell>
        </row>
        <row r="109">
          <cell r="A109" t="str">
            <v>MAT,040</v>
          </cell>
          <cell r="B109" t="str">
            <v>Arena</v>
          </cell>
          <cell r="C109" t="str">
            <v>M3</v>
          </cell>
          <cell r="E109">
            <v>71990</v>
          </cell>
        </row>
        <row r="110">
          <cell r="A110" t="str">
            <v>MAT,041</v>
          </cell>
          <cell r="B110" t="str">
            <v>Arenón</v>
          </cell>
          <cell r="C110" t="str">
            <v>M3</v>
          </cell>
          <cell r="E110">
            <v>54900</v>
          </cell>
        </row>
        <row r="111">
          <cell r="A111" t="str">
            <v>MAT,043</v>
          </cell>
          <cell r="B111" t="str">
            <v>Aro para baloncesto, incluye malla</v>
          </cell>
          <cell r="C111" t="str">
            <v>Un</v>
          </cell>
          <cell r="E111">
            <v>109480</v>
          </cell>
        </row>
        <row r="112">
          <cell r="A112" t="str">
            <v>MAT,042</v>
          </cell>
          <cell r="B112" t="str">
            <v>Aro tapa para pozo o sumidero fabricada en polietileno de alta densidad. Medidas aro: diámetro 93 cm, alto 20 cm, peso aprox. 26.4 kg. Medidas tapa: diámetro 70 cm, alto 20 cm, peso aprox 33 kg. Resistencia por prueba de laboratorio de ruptura y flexión: 18 toneladas por decímetro cuadrado</v>
          </cell>
          <cell r="C112" t="str">
            <v>Un</v>
          </cell>
          <cell r="E112">
            <v>791900</v>
          </cell>
        </row>
        <row r="113">
          <cell r="A113" t="str">
            <v>MAT,705</v>
          </cell>
          <cell r="B113" t="str">
            <v>Arriendo local para campamento, incluye administración, servicios públicos y comunicaciones</v>
          </cell>
          <cell r="C113" t="str">
            <v>M2-Mes</v>
          </cell>
          <cell r="E113">
            <v>51105</v>
          </cell>
        </row>
        <row r="114">
          <cell r="A114" t="str">
            <v>MAT,044</v>
          </cell>
          <cell r="B114" t="str">
            <v>Asfalto líquido MC-30 para imprimar</v>
          </cell>
          <cell r="C114" t="str">
            <v>Gl</v>
          </cell>
          <cell r="E114">
            <v>23980</v>
          </cell>
        </row>
        <row r="115">
          <cell r="A115" t="str">
            <v>MAT,512</v>
          </cell>
          <cell r="B115" t="str">
            <v>Asfalto para liga tipo CRR-1 o CRR 2</v>
          </cell>
          <cell r="C115" t="str">
            <v>Lb</v>
          </cell>
          <cell r="E115">
            <v>5000</v>
          </cell>
        </row>
        <row r="116">
          <cell r="A116" t="str">
            <v>MAT,654</v>
          </cell>
          <cell r="B116" t="str">
            <v>Azadón con cabo</v>
          </cell>
          <cell r="C116" t="str">
            <v>Un</v>
          </cell>
          <cell r="E116">
            <v>44900</v>
          </cell>
        </row>
        <row r="117">
          <cell r="A117" t="str">
            <v>MAT,601</v>
          </cell>
          <cell r="B117" t="str">
            <v>Balancín doble, incluye pintura e instalación</v>
          </cell>
          <cell r="C117" t="str">
            <v>Un</v>
          </cell>
          <cell r="E117">
            <v>1744100</v>
          </cell>
        </row>
        <row r="118">
          <cell r="A118" t="str">
            <v>MAT,125</v>
          </cell>
          <cell r="B118" t="str">
            <v>Organizador Vertical Doble Ducto de 40 x 60 mm L=1800mm</v>
          </cell>
          <cell r="C118" t="str">
            <v>Un</v>
          </cell>
          <cell r="E118">
            <v>226100</v>
          </cell>
        </row>
        <row r="119">
          <cell r="A119" t="str">
            <v>MAT,129</v>
          </cell>
          <cell r="B119" t="str">
            <v>Bandeja tipo canasta CF 54 x 400 mm - EZ</v>
          </cell>
          <cell r="C119" t="str">
            <v>M</v>
          </cell>
          <cell r="E119">
            <v>235485</v>
          </cell>
        </row>
        <row r="120">
          <cell r="A120" t="str">
            <v>MAT,047</v>
          </cell>
          <cell r="B120" t="str">
            <v>Barniz intemperie brillante</v>
          </cell>
          <cell r="C120" t="str">
            <v>Gl</v>
          </cell>
          <cell r="E120">
            <v>109900</v>
          </cell>
        </row>
        <row r="121">
          <cell r="A121" t="str">
            <v>MAT,669</v>
          </cell>
          <cell r="B121" t="str">
            <v>Barrera plásticas Jersey (maletín), en polietileno de alta densidad de l = 2, h = 1 b = 0,5 m, con sistema de acople al siguiente, naranja con cinta reflectivas  cintas reflectivas para visibilidad (grado ingeniería comercial y/o alta intensidad), que pueda llenarse de agua o arena</v>
          </cell>
          <cell r="C121" t="str">
            <v>Un</v>
          </cell>
          <cell r="E121">
            <v>588900</v>
          </cell>
        </row>
        <row r="122">
          <cell r="A122" t="str">
            <v>MAT,130</v>
          </cell>
          <cell r="B122" t="str">
            <v>Base Para Fotocelda Con Soporte</v>
          </cell>
          <cell r="C122" t="str">
            <v>Un</v>
          </cell>
          <cell r="E122">
            <v>9300</v>
          </cell>
        </row>
        <row r="123">
          <cell r="A123" t="str">
            <v>MAT,136</v>
          </cell>
          <cell r="B123" t="str">
            <v>Base Metalica para punta captadora Aluminio de 5/8"</v>
          </cell>
          <cell r="C123" t="str">
            <v>Un</v>
          </cell>
          <cell r="E123">
            <v>37450</v>
          </cell>
        </row>
        <row r="124">
          <cell r="A124" t="str">
            <v>MAT,565</v>
          </cell>
          <cell r="B124" t="str">
            <v>Bentonita</v>
          </cell>
          <cell r="C124" t="str">
            <v>Kg</v>
          </cell>
          <cell r="E124">
            <v>8088</v>
          </cell>
        </row>
        <row r="125">
          <cell r="A125" t="str">
            <v>MAT,055</v>
          </cell>
          <cell r="B125" t="str">
            <v>Binda boquilla (para enchape)</v>
          </cell>
          <cell r="C125" t="str">
            <v>Kg</v>
          </cell>
          <cell r="E125">
            <v>6700</v>
          </cell>
        </row>
        <row r="126">
          <cell r="A126" t="str">
            <v>MAT,528</v>
          </cell>
          <cell r="B126" t="str">
            <v>Bisagra Armillar hierro 3"</v>
          </cell>
          <cell r="C126" t="str">
            <v>Un</v>
          </cell>
          <cell r="E126">
            <v>6950</v>
          </cell>
        </row>
        <row r="127">
          <cell r="A127" t="str">
            <v>MAT,639</v>
          </cell>
          <cell r="B127" t="str">
            <v>Bisagra de cobre 3 ½"</v>
          </cell>
          <cell r="C127" t="str">
            <v>Un</v>
          </cell>
          <cell r="E127">
            <v>9450</v>
          </cell>
        </row>
        <row r="128">
          <cell r="A128" t="str">
            <v>MAT,531</v>
          </cell>
          <cell r="B128" t="str">
            <v>Bisagra de hierro de soldar para rejilla cañuela</v>
          </cell>
          <cell r="C128" t="str">
            <v>Un</v>
          </cell>
          <cell r="E128">
            <v>19900</v>
          </cell>
        </row>
        <row r="129">
          <cell r="A129" t="str">
            <v>MAT,048</v>
          </cell>
          <cell r="B129" t="str">
            <v>Bisagra de hierro para puerta de 3"</v>
          </cell>
          <cell r="C129" t="str">
            <v>Un</v>
          </cell>
          <cell r="E129">
            <v>23450</v>
          </cell>
        </row>
        <row r="130">
          <cell r="A130" t="str">
            <v>MAT,049</v>
          </cell>
          <cell r="B130" t="str">
            <v>Bloque de cemento de 0,14 x 0,19 x 0,39 m</v>
          </cell>
          <cell r="C130" t="str">
            <v>Un</v>
          </cell>
          <cell r="E130">
            <v>4900</v>
          </cell>
        </row>
        <row r="131">
          <cell r="A131" t="str">
            <v>MAT,050</v>
          </cell>
          <cell r="B131" t="str">
            <v>Bloque de cemento de 0,14 x 0,19 x 0,39 m estructural</v>
          </cell>
          <cell r="C131" t="str">
            <v>Un</v>
          </cell>
          <cell r="E131">
            <v>7208</v>
          </cell>
        </row>
        <row r="132">
          <cell r="A132" t="str">
            <v>MAT,051</v>
          </cell>
          <cell r="B132" t="str">
            <v>Bloque de vidrio de ± 19 x 19 x 8 cm transparente ondulado</v>
          </cell>
          <cell r="C132" t="str">
            <v>Un</v>
          </cell>
          <cell r="E132">
            <v>12900</v>
          </cell>
        </row>
        <row r="133">
          <cell r="A133" t="str">
            <v>MAT,052</v>
          </cell>
          <cell r="B133" t="str">
            <v>Bloque piedra de ± 0,39 x 0,19 x 0,14 m</v>
          </cell>
          <cell r="C133" t="str">
            <v>Un</v>
          </cell>
          <cell r="E133">
            <v>3800</v>
          </cell>
        </row>
        <row r="134">
          <cell r="A134" t="str">
            <v>MAT,054</v>
          </cell>
          <cell r="B134" t="str">
            <v>Bolsacreto capacidad 1 m3</v>
          </cell>
          <cell r="C134" t="str">
            <v>Un</v>
          </cell>
          <cell r="E134">
            <v>69000</v>
          </cell>
        </row>
        <row r="135">
          <cell r="A135" t="str">
            <v>MAT,053</v>
          </cell>
          <cell r="B135" t="str">
            <v>Bolsacreto capacidad 2 m3</v>
          </cell>
          <cell r="C135" t="str">
            <v>Un</v>
          </cell>
          <cell r="E135">
            <v>79500</v>
          </cell>
        </row>
        <row r="136">
          <cell r="A136" t="str">
            <v>MAT,137</v>
          </cell>
          <cell r="B136" t="str">
            <v>Bombillo led 10 W</v>
          </cell>
          <cell r="C136" t="str">
            <v>Un</v>
          </cell>
          <cell r="E136">
            <v>6900</v>
          </cell>
        </row>
        <row r="137">
          <cell r="A137" t="str">
            <v>MAT,509</v>
          </cell>
          <cell r="B137" t="str">
            <v>Bórax</v>
          </cell>
          <cell r="C137" t="str">
            <v>Kg</v>
          </cell>
          <cell r="E137">
            <v>20000</v>
          </cell>
        </row>
        <row r="138">
          <cell r="A138" t="str">
            <v>MAT,513</v>
          </cell>
          <cell r="B138" t="str">
            <v>Bordillo prefabricado A80 ± (800 x 200 x 350 mm)</v>
          </cell>
          <cell r="C138" t="str">
            <v>Un</v>
          </cell>
          <cell r="E138">
            <v>31000</v>
          </cell>
        </row>
        <row r="139">
          <cell r="A139" t="str">
            <v>MAT,138</v>
          </cell>
          <cell r="B139" t="str">
            <v>Botonera ANTUMBRA T.P. PATPA-BC-X+DYNET o similar</v>
          </cell>
          <cell r="C139" t="str">
            <v>Un</v>
          </cell>
          <cell r="E139">
            <v>1420000</v>
          </cell>
        </row>
        <row r="140">
          <cell r="A140" t="str">
            <v>MAT,140</v>
          </cell>
          <cell r="B140" t="str">
            <v>Cortacircuitos, breaker, taco bipolar (2 polos) 20 amperios LX enchufe DSE</v>
          </cell>
          <cell r="C140" t="str">
            <v>Un</v>
          </cell>
          <cell r="E140">
            <v>49900</v>
          </cell>
        </row>
        <row r="141">
          <cell r="A141" t="str">
            <v>MAT,146</v>
          </cell>
          <cell r="B141" t="str">
            <v>Cortacircuito, breaker o taco monopolar (1 polo) 20 amperios LX enchufe DSE</v>
          </cell>
          <cell r="C141" t="str">
            <v>Un</v>
          </cell>
          <cell r="E141">
            <v>17500</v>
          </cell>
        </row>
        <row r="142">
          <cell r="A142" t="str">
            <v>MAT,148</v>
          </cell>
          <cell r="B142" t="str">
            <v>Cortacircuito, breaker o taco tripolar (3 polos) 20 amperios LX enchufe DSE</v>
          </cell>
          <cell r="C142" t="str">
            <v>Un</v>
          </cell>
          <cell r="E142">
            <v>114900</v>
          </cell>
        </row>
        <row r="143">
          <cell r="A143" t="str">
            <v>MAT,057</v>
          </cell>
          <cell r="B143" t="str">
            <v>Buggy liviano antipinchazo 6 pies3</v>
          </cell>
          <cell r="C143" t="str">
            <v>Un</v>
          </cell>
          <cell r="E143">
            <v>299900</v>
          </cell>
        </row>
        <row r="144">
          <cell r="A144" t="str">
            <v>MAT,554</v>
          </cell>
          <cell r="B144" t="str">
            <v>Caballete teja ondulada fibrocemento fijo l = 0,873 m</v>
          </cell>
          <cell r="C144" t="str">
            <v>M</v>
          </cell>
          <cell r="E144">
            <v>39900</v>
          </cell>
        </row>
        <row r="145">
          <cell r="A145" t="str">
            <v>MAT,553</v>
          </cell>
          <cell r="B145" t="str">
            <v>Caballete teja ondulada fibrocemento tipo español articulado 2 piezas</v>
          </cell>
          <cell r="C145" t="str">
            <v>M</v>
          </cell>
          <cell r="E145">
            <v>77800</v>
          </cell>
        </row>
        <row r="146">
          <cell r="A146" t="str">
            <v>MAT,060</v>
          </cell>
          <cell r="B146" t="str">
            <v>Caballete thermoacustic</v>
          </cell>
          <cell r="C146" t="str">
            <v>M</v>
          </cell>
          <cell r="E146">
            <v>37416.666666666672</v>
          </cell>
        </row>
        <row r="147">
          <cell r="A147" t="str">
            <v>MAT,149</v>
          </cell>
          <cell r="B147" t="str">
            <v>Cabina insonorizada para planta emergencia de 150 KW</v>
          </cell>
          <cell r="C147" t="str">
            <v>Un</v>
          </cell>
          <cell r="E147">
            <v>24990000</v>
          </cell>
        </row>
        <row r="148">
          <cell r="A148" t="str">
            <v>MAT,175</v>
          </cell>
          <cell r="B148" t="str">
            <v>Cable para Red Ecologica de 15 KV No 2 AWG Aluminio ACSR </v>
          </cell>
          <cell r="C148" t="str">
            <v>M</v>
          </cell>
          <cell r="E148">
            <v>8600</v>
          </cell>
        </row>
        <row r="149">
          <cell r="A149" t="str">
            <v>MAT,179</v>
          </cell>
          <cell r="B149" t="str">
            <v>Cable Aislado No 1/0 AWG Aluminio Serie 8000 THHN</v>
          </cell>
          <cell r="C149" t="str">
            <v>M</v>
          </cell>
          <cell r="E149">
            <v>6100</v>
          </cell>
        </row>
        <row r="150">
          <cell r="A150" t="str">
            <v>MAT,183</v>
          </cell>
          <cell r="B150" t="str">
            <v>Cable Aislado No 2/0 AWG Aluminio Serie 8000 THHN</v>
          </cell>
          <cell r="C150" t="str">
            <v>M</v>
          </cell>
          <cell r="E150">
            <v>7350</v>
          </cell>
        </row>
        <row r="151">
          <cell r="A151" t="str">
            <v>MAT,184</v>
          </cell>
          <cell r="B151" t="str">
            <v>Cable apantallado de control 3 x 16 AWG</v>
          </cell>
          <cell r="C151" t="str">
            <v>M</v>
          </cell>
          <cell r="E151">
            <v>10550</v>
          </cell>
        </row>
        <row r="152">
          <cell r="A152" t="str">
            <v>MAT,189</v>
          </cell>
          <cell r="B152" t="str">
            <v>Cable coaxial RG-6 pantalla 90 %</v>
          </cell>
          <cell r="C152" t="str">
            <v>M</v>
          </cell>
          <cell r="E152">
            <v>900</v>
          </cell>
        </row>
        <row r="153">
          <cell r="A153" t="str">
            <v>MAT,193</v>
          </cell>
          <cell r="B153" t="str">
            <v>Cable Cu # 1/0 AWG HF FR LS</v>
          </cell>
          <cell r="C153" t="str">
            <v>M</v>
          </cell>
          <cell r="E153">
            <v>45100</v>
          </cell>
        </row>
        <row r="154">
          <cell r="A154" t="str">
            <v>MAT,203</v>
          </cell>
          <cell r="B154" t="str">
            <v>Cable Cu # 12 AWG HF FR LS</v>
          </cell>
          <cell r="C154" t="str">
            <v>M</v>
          </cell>
          <cell r="E154">
            <v>2950</v>
          </cell>
        </row>
        <row r="155">
          <cell r="A155" t="str">
            <v>MAT,206</v>
          </cell>
          <cell r="B155" t="str">
            <v>Cable Cu # 12 AWG THHN</v>
          </cell>
          <cell r="C155" t="str">
            <v>M</v>
          </cell>
          <cell r="E155">
            <v>2319</v>
          </cell>
        </row>
        <row r="156">
          <cell r="A156" t="str">
            <v>MAT,208</v>
          </cell>
          <cell r="B156" t="str">
            <v>Cable Cu # 14 AWG HF FR LS</v>
          </cell>
          <cell r="C156" t="str">
            <v>M</v>
          </cell>
          <cell r="E156">
            <v>2150</v>
          </cell>
        </row>
        <row r="157">
          <cell r="A157" t="str">
            <v>MAT,209</v>
          </cell>
          <cell r="B157" t="str">
            <v>Cable Cu # 2 AWG HF FR LS</v>
          </cell>
          <cell r="C157" t="str">
            <v>M</v>
          </cell>
          <cell r="E157">
            <v>26200</v>
          </cell>
        </row>
        <row r="158">
          <cell r="A158" t="str">
            <v>MAT,248</v>
          </cell>
          <cell r="B158" t="str">
            <v>Cable Cu # 2 AWG THHN</v>
          </cell>
          <cell r="C158" t="str">
            <v>M</v>
          </cell>
          <cell r="E158">
            <v>24100</v>
          </cell>
        </row>
        <row r="159">
          <cell r="A159" t="str">
            <v>MAT,257</v>
          </cell>
          <cell r="B159" t="str">
            <v>Cable Cu # 2/0 AWG  HF FR LS</v>
          </cell>
          <cell r="C159" t="str">
            <v>M</v>
          </cell>
          <cell r="E159">
            <v>55550</v>
          </cell>
        </row>
        <row r="160">
          <cell r="A160" t="str">
            <v>MAT,259</v>
          </cell>
          <cell r="B160" t="str">
            <v>Cable Cu # 350 KCM THHN</v>
          </cell>
          <cell r="C160" t="str">
            <v>M</v>
          </cell>
          <cell r="E160">
            <v>132950</v>
          </cell>
        </row>
        <row r="161">
          <cell r="A161" t="str">
            <v>MAT,269</v>
          </cell>
          <cell r="B161" t="str">
            <v>Cable Cu # 4 AWG HF FR LS</v>
          </cell>
          <cell r="C161" t="str">
            <v>M</v>
          </cell>
          <cell r="E161">
            <v>16800</v>
          </cell>
        </row>
        <row r="162">
          <cell r="A162" t="str">
            <v>MAT,112</v>
          </cell>
          <cell r="B162" t="str">
            <v>Cable Cu # 4/0 AWG HF FR LS</v>
          </cell>
          <cell r="C162" t="str">
            <v>M</v>
          </cell>
          <cell r="E162">
            <v>82550</v>
          </cell>
        </row>
        <row r="163">
          <cell r="A163" t="str">
            <v>MAT,293</v>
          </cell>
          <cell r="B163" t="str">
            <v>Cable Cu # 6 AWG HF FR LS</v>
          </cell>
          <cell r="C163" t="str">
            <v>M</v>
          </cell>
          <cell r="E163">
            <v>11300</v>
          </cell>
        </row>
        <row r="164">
          <cell r="A164" t="str">
            <v>MAT,315</v>
          </cell>
          <cell r="B164" t="str">
            <v>Cable Cu # 6 AWG THHN</v>
          </cell>
          <cell r="C164" t="str">
            <v>M</v>
          </cell>
          <cell r="E164">
            <v>10200</v>
          </cell>
        </row>
        <row r="165">
          <cell r="A165" t="str">
            <v>MAT,316</v>
          </cell>
          <cell r="B165" t="str">
            <v>Cable Cu # 8 AWG HF FR LS</v>
          </cell>
          <cell r="C165" t="str">
            <v>M</v>
          </cell>
          <cell r="E165">
            <v>6950</v>
          </cell>
        </row>
        <row r="166">
          <cell r="A166" t="str">
            <v>MAT,317</v>
          </cell>
          <cell r="B166" t="str">
            <v>Cable Cu # 8 AWG THHN</v>
          </cell>
          <cell r="C166" t="str">
            <v>M</v>
          </cell>
          <cell r="E166">
            <v>6600</v>
          </cell>
        </row>
        <row r="167">
          <cell r="A167" t="str">
            <v>MAT,566</v>
          </cell>
          <cell r="B167" t="str">
            <v>Cable Cu # 8 HF FR LS</v>
          </cell>
          <cell r="C167" t="str">
            <v>M</v>
          </cell>
          <cell r="E167">
            <v>6950</v>
          </cell>
        </row>
        <row r="168">
          <cell r="A168" t="str">
            <v>MAT,616</v>
          </cell>
          <cell r="B168" t="str">
            <v>Cable Cu aislado # 12 AWG THHN/THWN</v>
          </cell>
          <cell r="C168" t="str">
            <v>M</v>
          </cell>
          <cell r="E168">
            <v>2600</v>
          </cell>
        </row>
        <row r="169">
          <cell r="A169" t="str">
            <v>MAT,816</v>
          </cell>
          <cell r="B169" t="str">
            <v>Cable Cu aislado # 12 HFFR LS</v>
          </cell>
          <cell r="C169" t="str">
            <v>M</v>
          </cell>
          <cell r="E169">
            <v>2900</v>
          </cell>
        </row>
        <row r="170">
          <cell r="A170" t="str">
            <v>MAT,613</v>
          </cell>
          <cell r="B170" t="str">
            <v>Cable Cu aislado # 12 HFFR LS</v>
          </cell>
          <cell r="C170" t="str">
            <v>M</v>
          </cell>
          <cell r="E170">
            <v>2900</v>
          </cell>
        </row>
        <row r="171">
          <cell r="A171" t="str">
            <v>MAT,576</v>
          </cell>
          <cell r="B171" t="str">
            <v>Cable Cu concéntrico 2 x 8 + 8</v>
          </cell>
          <cell r="C171" t="str">
            <v>M</v>
          </cell>
          <cell r="E171">
            <v>25150</v>
          </cell>
        </row>
        <row r="172">
          <cell r="A172" t="str">
            <v>MAT,319</v>
          </cell>
          <cell r="B172" t="str">
            <v>Cable Cu desnudo # 2 AWG</v>
          </cell>
          <cell r="C172" t="str">
            <v>M</v>
          </cell>
          <cell r="E172">
            <v>24300</v>
          </cell>
        </row>
        <row r="173">
          <cell r="A173" t="str">
            <v>MAT,320</v>
          </cell>
          <cell r="B173" t="str">
            <v>Cable Cu desnudo # 2/0 AWG</v>
          </cell>
          <cell r="C173" t="str">
            <v>M</v>
          </cell>
          <cell r="E173">
            <v>45950</v>
          </cell>
        </row>
        <row r="174">
          <cell r="A174" t="str">
            <v>MAT,321</v>
          </cell>
          <cell r="B174" t="str">
            <v>Cable Cu desnudo # 8 AWG</v>
          </cell>
          <cell r="C174" t="str">
            <v>Un</v>
          </cell>
          <cell r="E174">
            <v>5700</v>
          </cell>
        </row>
        <row r="175">
          <cell r="A175" t="str">
            <v>MAT,596</v>
          </cell>
          <cell r="B175" t="str">
            <v>Cable Cu desnudo 1/0</v>
          </cell>
          <cell r="C175" t="str">
            <v>M</v>
          </cell>
          <cell r="E175">
            <v>37750</v>
          </cell>
        </row>
        <row r="176">
          <cell r="A176" t="str">
            <v>MAT,325</v>
          </cell>
          <cell r="B176" t="str">
            <v>Cable encauchetado 3 x 16 AWG</v>
          </cell>
          <cell r="C176" t="str">
            <v>M</v>
          </cell>
          <cell r="E176">
            <v>4900</v>
          </cell>
        </row>
        <row r="177">
          <cell r="A177" t="str">
            <v>MAT,327</v>
          </cell>
          <cell r="B177" t="str">
            <v>Cable encauchetado 4 x 14 AWG</v>
          </cell>
          <cell r="C177" t="str">
            <v>M</v>
          </cell>
          <cell r="E177">
            <v>9000</v>
          </cell>
        </row>
        <row r="178">
          <cell r="A178" t="str">
            <v>MAT,331</v>
          </cell>
          <cell r="B178" t="str">
            <v>Cable encauchetado 4 x 16 AWG</v>
          </cell>
          <cell r="C178" t="str">
            <v>M</v>
          </cell>
          <cell r="E178">
            <v>6000</v>
          </cell>
        </row>
        <row r="179">
          <cell r="A179" t="str">
            <v>MAT,353</v>
          </cell>
          <cell r="B179" t="str">
            <v>Cable encauchetado de cobre ST-C 3 x 12 AWG</v>
          </cell>
          <cell r="C179" t="str">
            <v>M</v>
          </cell>
          <cell r="E179">
            <v>10850</v>
          </cell>
        </row>
        <row r="180">
          <cell r="A180" t="str">
            <v>MAT,332</v>
          </cell>
          <cell r="B180" t="str">
            <v>Cable tera 2PR/MC5S 3 m azul (patch cord)</v>
          </cell>
          <cell r="C180" t="str">
            <v>Un</v>
          </cell>
          <cell r="E180">
            <v>22375</v>
          </cell>
        </row>
        <row r="181">
          <cell r="A181" t="str">
            <v>MAT,335</v>
          </cell>
          <cell r="B181" t="str">
            <v>Cable UTP categoría 6A, LEVITON o similar</v>
          </cell>
          <cell r="C181" t="str">
            <v>M</v>
          </cell>
          <cell r="E181">
            <v>2530</v>
          </cell>
        </row>
        <row r="182">
          <cell r="A182" t="str">
            <v>MAT,617</v>
          </cell>
          <cell r="B182" t="str">
            <v>Caja 2 x 4 metálica galvanizada</v>
          </cell>
          <cell r="C182" t="str">
            <v>Un</v>
          </cell>
          <cell r="E182">
            <v>1890</v>
          </cell>
        </row>
        <row r="183">
          <cell r="A183" t="str">
            <v>MAT,354</v>
          </cell>
          <cell r="B183" t="str">
            <v>Caja de paso de 30 x 30 x 20 cm C 16</v>
          </cell>
          <cell r="C183" t="str">
            <v>Un</v>
          </cell>
          <cell r="E183">
            <v>73800</v>
          </cell>
        </row>
        <row r="184">
          <cell r="A184" t="str">
            <v>MAT,365</v>
          </cell>
          <cell r="B184" t="str">
            <v>Caja galvanizada de 2" x 4" certificada RETIE</v>
          </cell>
          <cell r="C184" t="str">
            <v>Un</v>
          </cell>
          <cell r="E184">
            <v>1890</v>
          </cell>
        </row>
        <row r="185">
          <cell r="A185" t="str">
            <v>MAT,366</v>
          </cell>
          <cell r="B185" t="str">
            <v>Caja para interruptor industrial</v>
          </cell>
          <cell r="C185" t="str">
            <v>Un</v>
          </cell>
          <cell r="E185">
            <v>89250</v>
          </cell>
        </row>
        <row r="186">
          <cell r="A186" t="str">
            <v>MAT,367</v>
          </cell>
          <cell r="B186" t="str">
            <v>Caja para medidor de energía de ± 60 x 40 x 25 cm, en lámina CR calibre 18 o 20, con dispositivo de corte, de acuerdo a norma del OR</v>
          </cell>
          <cell r="C186" t="str">
            <v>Un</v>
          </cell>
          <cell r="E186">
            <v>234000</v>
          </cell>
        </row>
        <row r="187">
          <cell r="A187" t="str">
            <v>MAT,369</v>
          </cell>
          <cell r="B187" t="str">
            <v>Caja PVC 2" x 4"</v>
          </cell>
          <cell r="C187" t="str">
            <v>Un</v>
          </cell>
          <cell r="E187">
            <v>600</v>
          </cell>
        </row>
        <row r="188">
          <cell r="A188" t="str">
            <v>MAT,606</v>
          </cell>
          <cell r="B188" t="str">
            <v>Caja radwell 2 x 4" 4 salida 3/4"</v>
          </cell>
          <cell r="C188" t="str">
            <v>Un</v>
          </cell>
          <cell r="E188">
            <v>11250</v>
          </cell>
        </row>
        <row r="189">
          <cell r="A189" t="str">
            <v>MAT,370</v>
          </cell>
          <cell r="B189" t="str">
            <v>Caja radweld aluminio 4" x 4" con 3 salidas 3/4"</v>
          </cell>
          <cell r="C189" t="str">
            <v>Un</v>
          </cell>
          <cell r="E189">
            <v>19300</v>
          </cell>
        </row>
        <row r="190">
          <cell r="A190" t="str">
            <v>MAT,371</v>
          </cell>
          <cell r="B190" t="str">
            <v>Caja Fundicion Aluminio 5800- 5 SALIDAS 3/4" tipo Radweld</v>
          </cell>
          <cell r="C190" t="str">
            <v>Un</v>
          </cell>
          <cell r="E190">
            <v>11300</v>
          </cell>
        </row>
        <row r="191">
          <cell r="A191" t="str">
            <v>MAT,592</v>
          </cell>
          <cell r="B191" t="str">
            <v>Caja radwell 4" x 4" con 3 salidas 3/4"</v>
          </cell>
          <cell r="C191" t="str">
            <v>Un</v>
          </cell>
          <cell r="E191">
            <v>19300</v>
          </cell>
        </row>
        <row r="192">
          <cell r="A192" t="str">
            <v>MAT,061</v>
          </cell>
          <cell r="B192" t="str">
            <v>Calados de ± 19 x 19 x 10 cm en gres</v>
          </cell>
          <cell r="C192" t="str">
            <v>Un</v>
          </cell>
          <cell r="E192">
            <v>3400</v>
          </cell>
        </row>
        <row r="193">
          <cell r="A193" t="str">
            <v>MAT,555</v>
          </cell>
          <cell r="B193" t="str">
            <v>Calados en concreto ± 20 x 20 x 10 (25 un/m2)</v>
          </cell>
          <cell r="C193" t="str">
            <v>M2</v>
          </cell>
          <cell r="E193">
            <v>147836</v>
          </cell>
        </row>
        <row r="194">
          <cell r="A194" t="str">
            <v>MAT,372</v>
          </cell>
          <cell r="B194" t="str">
            <v>Calfos (fertilizante uso agrícola)</v>
          </cell>
          <cell r="C194" t="str">
            <v>Kg</v>
          </cell>
          <cell r="E194">
            <v>924</v>
          </cell>
        </row>
        <row r="195">
          <cell r="A195" t="str">
            <v>MAT,373</v>
          </cell>
          <cell r="B195" t="str">
            <v>Camilla para transformador ¼" x 2.5 m</v>
          </cell>
          <cell r="C195" t="str">
            <v>Un</v>
          </cell>
          <cell r="E195">
            <v>1300000</v>
          </cell>
        </row>
        <row r="196">
          <cell r="A196" t="str">
            <v>MAT,522</v>
          </cell>
          <cell r="B196" t="str">
            <v>Canal en lámina galvanizada calibre 24</v>
          </cell>
          <cell r="C196" t="str">
            <v>M</v>
          </cell>
          <cell r="E196">
            <v>15000</v>
          </cell>
        </row>
        <row r="197">
          <cell r="A197" t="str">
            <v>MAT,440</v>
          </cell>
          <cell r="B197" t="str">
            <v>Riel Channel 4X2 X 3.00 mts Troquelado C78T60 1 58 X 78 CAL 16</v>
          </cell>
          <cell r="C197" t="str">
            <v>M</v>
          </cell>
          <cell r="E197">
            <v>7900</v>
          </cell>
        </row>
        <row r="198">
          <cell r="A198" t="str">
            <v>MAT,063</v>
          </cell>
          <cell r="B198" t="str">
            <v>Canal PVC (tipo Amazonas)</v>
          </cell>
          <cell r="C198" t="str">
            <v>M</v>
          </cell>
          <cell r="E198">
            <v>22800</v>
          </cell>
        </row>
        <row r="199">
          <cell r="A199" t="str">
            <v>MAT,062</v>
          </cell>
          <cell r="B199" t="str">
            <v>Cañabrava inmunizada y limpia vara de 3 m</v>
          </cell>
          <cell r="C199" t="str">
            <v>Un</v>
          </cell>
          <cell r="E199">
            <v>6600</v>
          </cell>
        </row>
        <row r="200">
          <cell r="A200" t="str">
            <v>MAT,064</v>
          </cell>
          <cell r="B200" t="str">
            <v>Capa en PVC para adulto contra lluvia</v>
          </cell>
          <cell r="C200" t="str">
            <v>Un</v>
          </cell>
          <cell r="E200">
            <v>34900</v>
          </cell>
        </row>
        <row r="201">
          <cell r="A201" t="str">
            <v>MAT,378</v>
          </cell>
          <cell r="B201" t="str">
            <v>Capacete 4" tubería IMC</v>
          </cell>
          <cell r="C201" t="str">
            <v>Un</v>
          </cell>
          <cell r="E201">
            <v>61700</v>
          </cell>
        </row>
        <row r="202">
          <cell r="A202" t="str">
            <v>MAT,572</v>
          </cell>
          <cell r="B202" t="str">
            <v>Capacete metálico 1" EMT</v>
          </cell>
          <cell r="C202" t="str">
            <v>Un</v>
          </cell>
          <cell r="E202">
            <v>4050</v>
          </cell>
        </row>
        <row r="203">
          <cell r="A203" t="str">
            <v>MAT,655</v>
          </cell>
          <cell r="B203" t="str">
            <v>Captafaro plástico vial con reflectivo bidireccional</v>
          </cell>
          <cell r="C203" t="str">
            <v>Un</v>
          </cell>
          <cell r="E203">
            <v>10809</v>
          </cell>
        </row>
        <row r="204">
          <cell r="A204" t="str">
            <v>MAT,065</v>
          </cell>
          <cell r="B204" t="str">
            <v>Carburo (cal hidratada para blanquear)</v>
          </cell>
          <cell r="C204" t="str">
            <v>Kg</v>
          </cell>
          <cell r="E204">
            <v>1990</v>
          </cell>
        </row>
        <row r="205">
          <cell r="A205" t="str">
            <v>MAT,066</v>
          </cell>
          <cell r="B205" t="str">
            <v>Casco construcción cremallera colores blanco, rojo, amarillo, azul, dieléctrico</v>
          </cell>
          <cell r="C205" t="str">
            <v>Un</v>
          </cell>
          <cell r="E205">
            <v>31900</v>
          </cell>
        </row>
        <row r="206">
          <cell r="A206" t="str">
            <v>MAT,520</v>
          </cell>
          <cell r="B206" t="str">
            <v>Casetón perdido icopor 50/50 de 1 x 1 x 0.20 m</v>
          </cell>
          <cell r="C206" t="str">
            <v>M2</v>
          </cell>
          <cell r="E206">
            <v>19990</v>
          </cell>
        </row>
        <row r="207">
          <cell r="A207" t="str">
            <v>MAT,525</v>
          </cell>
          <cell r="B207" t="str">
            <v>Casetón o bovedilla perdido de poliestireno de 1 x 1 x 0,30 m</v>
          </cell>
          <cell r="C207" t="str">
            <v>M2</v>
          </cell>
          <cell r="E207">
            <v>29985</v>
          </cell>
        </row>
        <row r="208">
          <cell r="A208" t="str">
            <v>MAT,546</v>
          </cell>
          <cell r="B208" t="str">
            <v>Casetón o bovedilla perdido de poliestireno de 1 x 1 x 0,35 m</v>
          </cell>
          <cell r="C208" t="str">
            <v>M2</v>
          </cell>
          <cell r="E208">
            <v>34982.5</v>
          </cell>
        </row>
        <row r="209">
          <cell r="A209" t="str">
            <v>MAT,547</v>
          </cell>
          <cell r="B209" t="str">
            <v>Casetón o bovedilla perdido de poliestireno de 1 x 1 x 0,40 m</v>
          </cell>
          <cell r="C209" t="str">
            <v>M2</v>
          </cell>
          <cell r="E209">
            <v>39980</v>
          </cell>
        </row>
        <row r="210">
          <cell r="A210" t="str">
            <v>MAT,067</v>
          </cell>
          <cell r="B210" t="str">
            <v>Cemento blanco</v>
          </cell>
          <cell r="C210" t="str">
            <v>Kg</v>
          </cell>
          <cell r="E210">
            <v>1675</v>
          </cell>
        </row>
        <row r="211">
          <cell r="A211" t="str">
            <v>MAT,823</v>
          </cell>
          <cell r="B211" t="str">
            <v>Cemento demoledor no explosivo</v>
          </cell>
          <cell r="C211" t="str">
            <v>Kg</v>
          </cell>
          <cell r="E211">
            <v>5000</v>
          </cell>
        </row>
        <row r="212">
          <cell r="A212" t="str">
            <v>MAT,068</v>
          </cell>
          <cell r="B212" t="str">
            <v>Cemento gris saco por 50 kilos</v>
          </cell>
          <cell r="C212" t="str">
            <v>Sc</v>
          </cell>
          <cell r="E212">
            <v>31900</v>
          </cell>
        </row>
        <row r="213">
          <cell r="A213" t="str">
            <v>MAT,069</v>
          </cell>
          <cell r="B213" t="str">
            <v>Cepas, macollas o matas de pasto</v>
          </cell>
          <cell r="C213" t="str">
            <v>Lb</v>
          </cell>
          <cell r="E213">
            <v>34900</v>
          </cell>
        </row>
        <row r="214">
          <cell r="A214" t="str">
            <v>MAT,665</v>
          </cell>
          <cell r="B214" t="str">
            <v>Cepillera en polímero de alta ingeniería cromada y plástica, incluye vaso tipo Nilo</v>
          </cell>
          <cell r="C214" t="str">
            <v>Un</v>
          </cell>
          <cell r="E214">
            <v>24900</v>
          </cell>
        </row>
        <row r="215">
          <cell r="A215" t="str">
            <v>MAT,070</v>
          </cell>
          <cell r="B215" t="str">
            <v>Cera para pisos emulsionada, biodegradable y antideslizante</v>
          </cell>
          <cell r="C215" t="str">
            <v>Lt</v>
          </cell>
          <cell r="E215">
            <v>3190</v>
          </cell>
        </row>
        <row r="216">
          <cell r="A216" t="str">
            <v>MAT,071</v>
          </cell>
          <cell r="B216" t="str">
            <v>Cerámica blanca de 1a de 20,5 x 20,5 cm tipo Egeo</v>
          </cell>
          <cell r="C216" t="str">
            <v>M2</v>
          </cell>
          <cell r="E216">
            <v>39900</v>
          </cell>
        </row>
        <row r="217">
          <cell r="A217" t="str">
            <v>MAT,074</v>
          </cell>
          <cell r="B217" t="str">
            <v>Cerámica de 1a de 20 x 20 cm tipo Ecocerámica</v>
          </cell>
          <cell r="C217" t="str">
            <v>M2</v>
          </cell>
          <cell r="E217">
            <v>33898.86363636364</v>
          </cell>
        </row>
        <row r="218">
          <cell r="A218" t="str">
            <v>MAT,075</v>
          </cell>
          <cell r="B218" t="str">
            <v>Cerámica de 1a de 50 x 50 cm tipo Mangle Euro-cerámica o similar</v>
          </cell>
          <cell r="C218" t="str">
            <v>M2</v>
          </cell>
          <cell r="E218">
            <v>20400</v>
          </cell>
        </row>
        <row r="219">
          <cell r="A219" t="str">
            <v>MAT,076</v>
          </cell>
          <cell r="B219" t="str">
            <v>Cerámica de 1a tráfico 4 de 50 x 50 cm tipo Terranova exteriores</v>
          </cell>
          <cell r="C219" t="str">
            <v>M2</v>
          </cell>
          <cell r="E219">
            <v>39999</v>
          </cell>
        </row>
        <row r="220">
          <cell r="A220" t="str">
            <v>MAT,072</v>
          </cell>
          <cell r="B220" t="str">
            <v>Cerámica pared Adriático Aguamarina de 20,5 20,5 cm o similar</v>
          </cell>
          <cell r="C220" t="str">
            <v>M2</v>
          </cell>
          <cell r="E220">
            <v>33100</v>
          </cell>
        </row>
        <row r="221">
          <cell r="A221" t="str">
            <v>MAT,077</v>
          </cell>
          <cell r="B221" t="str">
            <v>Cerámica tipo Antique 45 x 45 cm</v>
          </cell>
          <cell r="C221" t="str">
            <v>M2</v>
          </cell>
          <cell r="E221">
            <v>48451</v>
          </cell>
        </row>
        <row r="222">
          <cell r="A222" t="str">
            <v>MAT,078</v>
          </cell>
          <cell r="B222" t="str">
            <v>Cerámica tipo Terrazo de 30 x 30 cm crema</v>
          </cell>
          <cell r="C222" t="str">
            <v>M2</v>
          </cell>
          <cell r="E222">
            <v>78600</v>
          </cell>
        </row>
        <row r="223">
          <cell r="A223" t="str">
            <v>MAT,079</v>
          </cell>
          <cell r="B223" t="str">
            <v>Cercha metálica 5 - 12 m, incluye anticorrosivo</v>
          </cell>
          <cell r="C223" t="str">
            <v>M</v>
          </cell>
          <cell r="E223">
            <v>137535</v>
          </cell>
        </row>
        <row r="224">
          <cell r="A224" t="str">
            <v>MAT,780</v>
          </cell>
          <cell r="B224" t="str">
            <v>Certificación categoría 6A salida voz y datos por punto</v>
          </cell>
          <cell r="C224" t="str">
            <v>Un</v>
          </cell>
          <cell r="E224">
            <v>8000</v>
          </cell>
        </row>
        <row r="225">
          <cell r="A225" t="str">
            <v>MAT,080</v>
          </cell>
          <cell r="B225" t="str">
            <v>Chaleco fluorescente con cinta reflectiva para obras</v>
          </cell>
          <cell r="C225" t="str">
            <v>Un</v>
          </cell>
          <cell r="E225">
            <v>19990</v>
          </cell>
        </row>
        <row r="226">
          <cell r="A226" t="str">
            <v>MAT,081</v>
          </cell>
          <cell r="B226" t="str">
            <v>Chapa de bola fina de cromo mate Schlage sencilla o similar para alcoba</v>
          </cell>
          <cell r="C226" t="str">
            <v>Un</v>
          </cell>
          <cell r="E226">
            <v>66900</v>
          </cell>
        </row>
        <row r="227">
          <cell r="A227" t="str">
            <v>MAT,073</v>
          </cell>
          <cell r="B227" t="str">
            <v>Chapa Gato o similar tubular de manija mate</v>
          </cell>
          <cell r="C227" t="str">
            <v>Un</v>
          </cell>
          <cell r="E227">
            <v>78900</v>
          </cell>
        </row>
        <row r="228">
          <cell r="A228" t="str">
            <v>MAT,082</v>
          </cell>
          <cell r="B228" t="str">
            <v>Chapa Yale o similar para portón 70 mm llave multipunto</v>
          </cell>
          <cell r="C228" t="str">
            <v>Un</v>
          </cell>
          <cell r="E228">
            <v>199900</v>
          </cell>
        </row>
        <row r="229">
          <cell r="A229" t="str">
            <v>MAT,647</v>
          </cell>
          <cell r="B229" t="str">
            <v>Cheque de ½" en bronce fundido</v>
          </cell>
          <cell r="C229" t="str">
            <v>Un</v>
          </cell>
          <cell r="E229">
            <v>20900</v>
          </cell>
        </row>
        <row r="230">
          <cell r="A230" t="str">
            <v>MAT,649</v>
          </cell>
          <cell r="B230" t="str">
            <v>Cheque de 1 ½" en bronce fundido</v>
          </cell>
          <cell r="C230" t="str">
            <v>Un</v>
          </cell>
          <cell r="E230">
            <v>374900</v>
          </cell>
        </row>
        <row r="231">
          <cell r="A231" t="str">
            <v>MAT,648</v>
          </cell>
          <cell r="B231" t="str">
            <v>Cheque de 1" en bronce fundido</v>
          </cell>
          <cell r="C231" t="str">
            <v>Un</v>
          </cell>
          <cell r="E231">
            <v>129900</v>
          </cell>
        </row>
        <row r="232">
          <cell r="A232" t="str">
            <v>MAT,644</v>
          </cell>
          <cell r="B232" t="str">
            <v>Cheque de 3/4" en bronce fundido</v>
          </cell>
          <cell r="C232" t="str">
            <v>Un</v>
          </cell>
          <cell r="E232">
            <v>42900</v>
          </cell>
        </row>
        <row r="233">
          <cell r="A233" t="str">
            <v>MAT,091</v>
          </cell>
          <cell r="B233" t="str">
            <v xml:space="preserve">Cinta aislante electrica de PVC (19 mm x 20 m) tipo Scotch Super 33 o similar </v>
          </cell>
          <cell r="C233" t="str">
            <v>M</v>
          </cell>
          <cell r="E233">
            <v>1405</v>
          </cell>
        </row>
        <row r="234">
          <cell r="A234" t="str">
            <v>MAT,092</v>
          </cell>
          <cell r="B234" t="str">
            <v>Cinta antideslizante de 24 o 25 mm</v>
          </cell>
          <cell r="C234" t="str">
            <v>M</v>
          </cell>
          <cell r="E234">
            <v>2993</v>
          </cell>
        </row>
        <row r="235">
          <cell r="A235" t="str">
            <v>MAT,093</v>
          </cell>
          <cell r="B235" t="str">
            <v>Cinta bandit 3/4" rollo x 30 m</v>
          </cell>
          <cell r="C235" t="str">
            <v>M</v>
          </cell>
          <cell r="E235">
            <v>3730</v>
          </cell>
        </row>
        <row r="236">
          <cell r="A236" t="str">
            <v>MAT,396</v>
          </cell>
          <cell r="B236" t="str">
            <v>Cinta bandit 5/8"</v>
          </cell>
          <cell r="C236" t="str">
            <v>M</v>
          </cell>
          <cell r="E236">
            <v>4033</v>
          </cell>
        </row>
        <row r="237">
          <cell r="A237" t="str">
            <v>MAT,094</v>
          </cell>
          <cell r="B237" t="str">
            <v>Cinta de papel para pared de yeso</v>
          </cell>
          <cell r="C237" t="str">
            <v>M</v>
          </cell>
          <cell r="E237">
            <v>132</v>
          </cell>
        </row>
        <row r="238">
          <cell r="A238" t="str">
            <v>MAT,095</v>
          </cell>
          <cell r="B238" t="str">
            <v>Cinta de señalización</v>
          </cell>
          <cell r="C238" t="str">
            <v>M</v>
          </cell>
          <cell r="E238">
            <v>68</v>
          </cell>
        </row>
        <row r="239">
          <cell r="A239" t="str">
            <v>MAT,096</v>
          </cell>
          <cell r="B239" t="str">
            <v>Cinta de teflón de 3/4" 10 m</v>
          </cell>
          <cell r="C239" t="str">
            <v>Un</v>
          </cell>
          <cell r="E239">
            <v>290</v>
          </cell>
        </row>
        <row r="240">
          <cell r="A240" t="str">
            <v>MAT,098</v>
          </cell>
          <cell r="B240" t="str">
            <v>Cinta PVC V - 10</v>
          </cell>
          <cell r="C240" t="str">
            <v>M</v>
          </cell>
          <cell r="E240">
            <v>30697</v>
          </cell>
        </row>
        <row r="241">
          <cell r="A241" t="str">
            <v>MAT,099</v>
          </cell>
          <cell r="B241" t="str">
            <v>Cinta PVC V - 15</v>
          </cell>
          <cell r="C241" t="str">
            <v>M</v>
          </cell>
          <cell r="E241">
            <v>54630</v>
          </cell>
        </row>
        <row r="242">
          <cell r="A242" t="str">
            <v>MAT,556</v>
          </cell>
          <cell r="B242" t="str">
            <v>Claraboya de fibrocemento Nº 6 l = 1,690 a = 0,873 m</v>
          </cell>
          <cell r="C242" t="str">
            <v>Un</v>
          </cell>
          <cell r="E242">
            <v>76900</v>
          </cell>
        </row>
        <row r="243">
          <cell r="A243" t="str">
            <v>MAT,399</v>
          </cell>
          <cell r="B243" t="str">
            <v>Clavija industrial 3 F + N + T 63A</v>
          </cell>
          <cell r="C243" t="str">
            <v>Un</v>
          </cell>
          <cell r="E243">
            <v>160000</v>
          </cell>
        </row>
        <row r="244">
          <cell r="A244" t="str">
            <v>MAT,400</v>
          </cell>
          <cell r="B244" t="str">
            <v>Clavija plástica 15 A - 125 V con PT</v>
          </cell>
          <cell r="C244" t="str">
            <v>Un</v>
          </cell>
          <cell r="E244">
            <v>10550</v>
          </cell>
        </row>
        <row r="245">
          <cell r="A245" t="str">
            <v>MAT,786</v>
          </cell>
          <cell r="B245" t="str">
            <v>Clavo de acero para concreto de 1" (50 Un por caja)</v>
          </cell>
          <cell r="C245" t="str">
            <v>Un</v>
          </cell>
          <cell r="E245">
            <v>238</v>
          </cell>
        </row>
        <row r="246">
          <cell r="A246" t="str">
            <v>MAT,401</v>
          </cell>
          <cell r="B246" t="str">
            <v>Clip empalme FASTLOCK XL - GS o similar</v>
          </cell>
          <cell r="C246" t="str">
            <v>Un</v>
          </cell>
          <cell r="E246">
            <v>4200</v>
          </cell>
        </row>
        <row r="247">
          <cell r="A247" t="str">
            <v>MAT,100</v>
          </cell>
          <cell r="B247" t="str">
            <v>Codo de HG 2" x 90º</v>
          </cell>
          <cell r="C247" t="str">
            <v>Un</v>
          </cell>
          <cell r="E247">
            <v>19000</v>
          </cell>
        </row>
        <row r="248">
          <cell r="A248" t="str">
            <v>MAT,101</v>
          </cell>
          <cell r="B248" t="str">
            <v>Codo de HG 3" x 90º</v>
          </cell>
          <cell r="C248" t="str">
            <v>Un</v>
          </cell>
          <cell r="E248">
            <v>65000</v>
          </cell>
        </row>
        <row r="249">
          <cell r="A249" t="str">
            <v>MAT,102</v>
          </cell>
          <cell r="B249" t="str">
            <v>Collar de derivación unión platino de 2 ½" x ½"</v>
          </cell>
          <cell r="C249" t="str">
            <v>Un</v>
          </cell>
          <cell r="E249">
            <v>22905</v>
          </cell>
        </row>
        <row r="250">
          <cell r="A250" t="str">
            <v>MAT,103</v>
          </cell>
          <cell r="B250" t="str">
            <v>Collar de derivación unión platino de 2" x ½"</v>
          </cell>
          <cell r="C250" t="str">
            <v>Un</v>
          </cell>
          <cell r="E250">
            <v>12557</v>
          </cell>
        </row>
        <row r="251">
          <cell r="A251" t="str">
            <v>MAT,104</v>
          </cell>
          <cell r="B251" t="str">
            <v>Collar de derivación unión platino de 3" x ½"</v>
          </cell>
          <cell r="C251" t="str">
            <v>Un</v>
          </cell>
          <cell r="E251">
            <v>18616</v>
          </cell>
        </row>
        <row r="252">
          <cell r="A252" t="str">
            <v>MAT,105</v>
          </cell>
          <cell r="B252" t="str">
            <v>Collar de derivación unión platino de 4" x ½"</v>
          </cell>
          <cell r="C252" t="str">
            <v>Un</v>
          </cell>
          <cell r="E252">
            <v>21139</v>
          </cell>
        </row>
        <row r="253">
          <cell r="A253" t="str">
            <v>MAT,402</v>
          </cell>
          <cell r="B253" t="str">
            <v>Collarín doble 7" - 8"</v>
          </cell>
          <cell r="C253" t="str">
            <v>Un</v>
          </cell>
          <cell r="E253">
            <v>19250</v>
          </cell>
        </row>
        <row r="254">
          <cell r="A254" t="str">
            <v>MAT,403</v>
          </cell>
          <cell r="B254" t="str">
            <v>Collarín doble 8" - 9"</v>
          </cell>
          <cell r="C254" t="str">
            <v>Un</v>
          </cell>
          <cell r="E254">
            <v>20350</v>
          </cell>
        </row>
        <row r="255">
          <cell r="A255" t="str">
            <v>MAT,404</v>
          </cell>
          <cell r="B255" t="str">
            <v>Collarín sencillo 7" - 8"</v>
          </cell>
          <cell r="C255" t="str">
            <v>Un</v>
          </cell>
          <cell r="E255">
            <v>19750</v>
          </cell>
        </row>
        <row r="256">
          <cell r="A256" t="str">
            <v>MAT,717</v>
          </cell>
          <cell r="B256" t="str">
            <v>Color endurecedor para espolvorear todos los tonos</v>
          </cell>
          <cell r="C256" t="str">
            <v>Kg</v>
          </cell>
          <cell r="E256">
            <v>2700</v>
          </cell>
        </row>
        <row r="257">
          <cell r="A257" t="str">
            <v>MAT,106</v>
          </cell>
          <cell r="B257" t="str">
            <v>Columpio de 2 puestos pórtico en tubo de ± 1 ½" por 2.50 m, columpios en cadena y sillines en lona. Incluye anticorrosivo y pintura de esmalte. Altura = 1.8 m</v>
          </cell>
          <cell r="C257" t="str">
            <v>Un</v>
          </cell>
          <cell r="E257">
            <v>500000</v>
          </cell>
        </row>
        <row r="258">
          <cell r="A258" t="str">
            <v>MAT,107</v>
          </cell>
          <cell r="B258" t="str">
            <v>Columpio de 3 puestos pórtico en tubo de ± 1 ½" por 2.50 m, columpios en cadena y sillines en lona, incluye anticorrosivo y pintura de esmalte para exteriores. Altura = 1.8 m</v>
          </cell>
          <cell r="C258" t="str">
            <v>Un</v>
          </cell>
          <cell r="E258">
            <v>638000</v>
          </cell>
        </row>
        <row r="259">
          <cell r="A259" t="str">
            <v>MAT,408</v>
          </cell>
          <cell r="B259" t="str">
            <v>Compuesto sellante Sika Boom o similar x 250 cm3</v>
          </cell>
          <cell r="C259" t="str">
            <v>Tarro</v>
          </cell>
          <cell r="E259">
            <v>38660</v>
          </cell>
        </row>
        <row r="260">
          <cell r="A260" t="str">
            <v>MAT,363</v>
          </cell>
          <cell r="B260" t="str">
            <v>Concertina galvanizada d = 18" mínimo 31 espirales por rollo C 24</v>
          </cell>
          <cell r="C260" t="str">
            <v>M</v>
          </cell>
          <cell r="E260">
            <v>10279.411764705883</v>
          </cell>
        </row>
        <row r="261">
          <cell r="A261" t="str">
            <v>MAT,506</v>
          </cell>
          <cell r="B261" t="str">
            <v>Concreto premezclado de 20,7 Mpa</v>
          </cell>
          <cell r="C261" t="str">
            <v>M3</v>
          </cell>
          <cell r="E261">
            <v>528309</v>
          </cell>
        </row>
        <row r="262">
          <cell r="A262" t="str">
            <v>MAT,501</v>
          </cell>
          <cell r="B262" t="str">
            <v>Concreto premezclado de 27,6 Mpa o MR 4,1 Mpa para pavimento</v>
          </cell>
          <cell r="C262" t="str">
            <v>M3</v>
          </cell>
          <cell r="E262">
            <v>532594</v>
          </cell>
        </row>
        <row r="263">
          <cell r="A263" t="str">
            <v>MAT,419</v>
          </cell>
          <cell r="B263" t="str">
            <v>Conduleta LB de 1 ½"</v>
          </cell>
          <cell r="C263" t="str">
            <v>M</v>
          </cell>
          <cell r="E263">
            <v>23200</v>
          </cell>
        </row>
        <row r="264">
          <cell r="A264" t="str">
            <v>MAT,439</v>
          </cell>
          <cell r="B264" t="str">
            <v>Conduleta LB de 2"</v>
          </cell>
          <cell r="C264" t="str">
            <v>M</v>
          </cell>
          <cell r="E264">
            <v>45650</v>
          </cell>
        </row>
        <row r="265">
          <cell r="A265" t="str">
            <v>MAT,457</v>
          </cell>
          <cell r="B265" t="str">
            <v>Conduleta radwell LR 1"</v>
          </cell>
          <cell r="C265" t="str">
            <v>Un</v>
          </cell>
          <cell r="E265">
            <v>16499</v>
          </cell>
        </row>
        <row r="266">
          <cell r="A266" t="str">
            <v>MAT,498</v>
          </cell>
          <cell r="B266" t="str">
            <v>Conduleta radwell LR 3/4"</v>
          </cell>
          <cell r="C266" t="str">
            <v>Un</v>
          </cell>
          <cell r="E266">
            <v>9150</v>
          </cell>
        </row>
        <row r="267">
          <cell r="A267" t="str">
            <v>MAT,502</v>
          </cell>
          <cell r="B267" t="str">
            <v>Conector 3M de resorte azul/naranja o similar (para 2 a 3 cables # 14)</v>
          </cell>
          <cell r="C267" t="str">
            <v>Un</v>
          </cell>
          <cell r="E267">
            <v>800</v>
          </cell>
        </row>
        <row r="268">
          <cell r="A268" t="str">
            <v>MAT,504</v>
          </cell>
          <cell r="B268" t="str">
            <v>Conector de resorte tipo 3M rojo/amarillo o similar (para 2 a 5 cables #12)</v>
          </cell>
          <cell r="C268" t="str">
            <v>Un</v>
          </cell>
          <cell r="E268">
            <v>1200</v>
          </cell>
        </row>
        <row r="269">
          <cell r="A269" t="str">
            <v>MAT,514</v>
          </cell>
          <cell r="B269" t="str">
            <v>Conector a tierra bandeja tipo canasta cablofit</v>
          </cell>
          <cell r="C269" t="str">
            <v>Un</v>
          </cell>
          <cell r="E269">
            <v>14790</v>
          </cell>
        </row>
        <row r="270">
          <cell r="A270" t="str">
            <v>MAT,518</v>
          </cell>
          <cell r="B270" t="str">
            <v>Conector curvo coraza liquid tight 1"</v>
          </cell>
          <cell r="C270" t="str">
            <v>Un</v>
          </cell>
          <cell r="E270">
            <v>7250</v>
          </cell>
        </row>
        <row r="271">
          <cell r="A271" t="str">
            <v>MAT,577</v>
          </cell>
          <cell r="B271" t="str">
            <v>Conector de perforación de aislamiento JZ2-95</v>
          </cell>
          <cell r="C271" t="str">
            <v>Un</v>
          </cell>
          <cell r="E271">
            <v>19650</v>
          </cell>
        </row>
        <row r="272">
          <cell r="A272" t="str">
            <v>MAT,523</v>
          </cell>
          <cell r="B272" t="str">
            <v>Conector en cruz acero galvanizado RD 8 - 10</v>
          </cell>
          <cell r="C272" t="str">
            <v>Un</v>
          </cell>
          <cell r="E272">
            <v>26850</v>
          </cell>
        </row>
        <row r="273">
          <cell r="A273" t="str">
            <v>MAT,529</v>
          </cell>
          <cell r="B273" t="str">
            <v>Conector recto coraza liquid tight 3/4"</v>
          </cell>
          <cell r="C273" t="str">
            <v>Un</v>
          </cell>
          <cell r="E273">
            <v>7800</v>
          </cell>
        </row>
        <row r="274">
          <cell r="A274" t="str">
            <v>MAT,568</v>
          </cell>
          <cell r="B274" t="str">
            <v>Conector recto para coraza de 1", incluye tuerca y contratuerca</v>
          </cell>
          <cell r="C274" t="str">
            <v>Un</v>
          </cell>
          <cell r="E274">
            <v>4481</v>
          </cell>
        </row>
        <row r="275">
          <cell r="A275" t="str">
            <v>MAT,615</v>
          </cell>
          <cell r="B275" t="str">
            <v>Conector tipo resorte para cable Nº 14/12 (MAT,504)</v>
          </cell>
          <cell r="C275" t="str">
            <v>Un</v>
          </cell>
          <cell r="E275">
            <v>1200</v>
          </cell>
        </row>
        <row r="276">
          <cell r="A276" t="str">
            <v>MAT,109</v>
          </cell>
          <cell r="B276" t="str">
            <v>Conjunto desagüe flexible para lavadero de 1 ½" con canastillas</v>
          </cell>
          <cell r="C276" t="str">
            <v>Un</v>
          </cell>
          <cell r="E276">
            <v>37800</v>
          </cell>
        </row>
        <row r="277">
          <cell r="A277" t="str">
            <v>MAT,110</v>
          </cell>
          <cell r="B277" t="str">
            <v>Conjunto fijador de ala arandela</v>
          </cell>
          <cell r="C277" t="str">
            <v>Un</v>
          </cell>
          <cell r="E277">
            <v>379</v>
          </cell>
        </row>
        <row r="278">
          <cell r="A278" t="str">
            <v>MAT,111</v>
          </cell>
          <cell r="B278" t="str">
            <v>Conos viales de 70 cm Norma Invías Cap IV Cinta reflectiva</v>
          </cell>
          <cell r="C278" t="str">
            <v>Un</v>
          </cell>
          <cell r="E278">
            <v>74900</v>
          </cell>
        </row>
        <row r="279">
          <cell r="A279" t="str">
            <v>MAT,781</v>
          </cell>
          <cell r="B279" t="str">
            <v>Coraza metálica 3/4"</v>
          </cell>
          <cell r="C279" t="str">
            <v>M</v>
          </cell>
          <cell r="E279">
            <v>6500</v>
          </cell>
        </row>
        <row r="280">
          <cell r="A280" t="str">
            <v>MAT,569</v>
          </cell>
          <cell r="B280" t="str">
            <v>Coraza metálica Liquid Tight 1"</v>
          </cell>
          <cell r="C280" t="str">
            <v>M</v>
          </cell>
          <cell r="E280">
            <v>8750</v>
          </cell>
        </row>
        <row r="281">
          <cell r="A281" t="str">
            <v>MAT,113</v>
          </cell>
          <cell r="B281" t="str">
            <v>Correa metálica 4 - 8  m, incluye templete y anticorrosivo</v>
          </cell>
          <cell r="C281" t="str">
            <v>M</v>
          </cell>
          <cell r="E281">
            <v>76812</v>
          </cell>
        </row>
        <row r="282">
          <cell r="A282" t="str">
            <v>MAT,530</v>
          </cell>
          <cell r="B282" t="str">
            <v>Cortacircuitos 15 KV - 100 A</v>
          </cell>
          <cell r="C282" t="str">
            <v>Un</v>
          </cell>
          <cell r="E282">
            <v>166050</v>
          </cell>
        </row>
        <row r="283">
          <cell r="A283" t="str">
            <v>MAT,540</v>
          </cell>
          <cell r="B283" t="str">
            <v>Costal de fique de 0,70 x 0,50 m</v>
          </cell>
          <cell r="C283" t="str">
            <v>Un</v>
          </cell>
          <cell r="E283">
            <v>4300</v>
          </cell>
        </row>
        <row r="284">
          <cell r="A284" t="str">
            <v>MAT,114</v>
          </cell>
          <cell r="B284" t="str">
            <v>Cruces de HG 2"</v>
          </cell>
          <cell r="C284" t="str">
            <v>Un</v>
          </cell>
          <cell r="E284">
            <v>50575</v>
          </cell>
        </row>
        <row r="285">
          <cell r="A285" t="str">
            <v>MAT,115</v>
          </cell>
          <cell r="B285" t="str">
            <v>Cruces de HG 3"</v>
          </cell>
          <cell r="C285" t="str">
            <v>Un</v>
          </cell>
          <cell r="E285">
            <v>130900</v>
          </cell>
        </row>
        <row r="286">
          <cell r="A286" t="str">
            <v>MAT,545</v>
          </cell>
          <cell r="B286" t="str">
            <v>Cruceta metálica 2 ½" x 2 ½" x 3/16" x 2  m</v>
          </cell>
          <cell r="C286" t="str">
            <v>Un</v>
          </cell>
          <cell r="E286">
            <v>87400</v>
          </cell>
        </row>
        <row r="287">
          <cell r="A287" t="str">
            <v>MAT,548</v>
          </cell>
          <cell r="B287" t="str">
            <v>Cruceta metálica 3" x 3" x ¼" x 2.4 m</v>
          </cell>
          <cell r="C287" t="str">
            <v>Un</v>
          </cell>
          <cell r="E287">
            <v>164200</v>
          </cell>
        </row>
        <row r="288">
          <cell r="A288" t="str">
            <v>MAT,550</v>
          </cell>
          <cell r="B288" t="str">
            <v>Cruceta metálica 3" x 3" x ¼" x 6 m</v>
          </cell>
          <cell r="C288" t="str">
            <v>Un</v>
          </cell>
          <cell r="E288">
            <v>293253</v>
          </cell>
        </row>
        <row r="289">
          <cell r="A289" t="str">
            <v>MAT,784</v>
          </cell>
          <cell r="B289" t="str">
            <v>Cruceta plástica juntas 2 mm</v>
          </cell>
          <cell r="C289" t="str">
            <v>Un</v>
          </cell>
          <cell r="E289">
            <v>36</v>
          </cell>
        </row>
        <row r="290">
          <cell r="A290" t="str">
            <v>MAT,116</v>
          </cell>
          <cell r="B290" t="str">
            <v>Cuartón de sajo 2" x 4" x 2,9 m</v>
          </cell>
          <cell r="C290" t="str">
            <v>M</v>
          </cell>
          <cell r="E290">
            <v>5285</v>
          </cell>
        </row>
        <row r="291">
          <cell r="A291" t="str">
            <v>MAT,557</v>
          </cell>
          <cell r="B291" t="str">
            <v>Cubierta en acero inoxidable para mesón cocineta liso, incluye poceta, grifería, escurridor, canastilla y sifón de 1.50 m x 52 cm</v>
          </cell>
          <cell r="C291" t="str">
            <v>M</v>
          </cell>
          <cell r="E291">
            <v>520700</v>
          </cell>
        </row>
        <row r="292">
          <cell r="A292" t="str">
            <v>MAT,551</v>
          </cell>
          <cell r="B292" t="str">
            <v>Curva conduit EMT 1"</v>
          </cell>
          <cell r="C292" t="str">
            <v>Un</v>
          </cell>
          <cell r="E292">
            <v>3150</v>
          </cell>
        </row>
        <row r="293">
          <cell r="A293" t="str">
            <v>MAT,558</v>
          </cell>
          <cell r="B293" t="str">
            <v>Curva 90 Grados EMT 3/4"</v>
          </cell>
          <cell r="C293" t="str">
            <v>Un</v>
          </cell>
          <cell r="E293">
            <v>1800</v>
          </cell>
        </row>
        <row r="294">
          <cell r="A294" t="str">
            <v>MAT,603</v>
          </cell>
          <cell r="B294" t="str">
            <v>Curva conduit IMC 1"</v>
          </cell>
          <cell r="C294" t="str">
            <v>Un</v>
          </cell>
          <cell r="E294">
            <v>8200</v>
          </cell>
        </row>
        <row r="295">
          <cell r="A295" t="str">
            <v>MAT,559</v>
          </cell>
          <cell r="B295" t="str">
            <v>Curva conduit PVC ½"</v>
          </cell>
          <cell r="C295" t="str">
            <v>Un</v>
          </cell>
          <cell r="E295">
            <v>500</v>
          </cell>
        </row>
        <row r="296">
          <cell r="A296" t="str">
            <v>MAT,580</v>
          </cell>
          <cell r="B296" t="str">
            <v>Curva conduit PVC 3/4"</v>
          </cell>
          <cell r="C296" t="str">
            <v>Un</v>
          </cell>
          <cell r="E296">
            <v>750</v>
          </cell>
        </row>
        <row r="297">
          <cell r="A297" t="str">
            <v>MAT,604</v>
          </cell>
          <cell r="B297" t="str">
            <v>Curva conduit PVC 4" - 90º</v>
          </cell>
          <cell r="C297" t="str">
            <v>Un</v>
          </cell>
          <cell r="E297">
            <v>35000</v>
          </cell>
        </row>
        <row r="298">
          <cell r="A298" t="str">
            <v>MAT,608</v>
          </cell>
          <cell r="B298" t="str">
            <v>Dado galvanizado 3" x 3" x ¼"</v>
          </cell>
          <cell r="C298" t="str">
            <v>Un</v>
          </cell>
          <cell r="E298">
            <v>13050</v>
          </cell>
        </row>
        <row r="299">
          <cell r="A299" t="str">
            <v>MAT,117</v>
          </cell>
          <cell r="B299" t="str">
            <v>Defensa metálica de 4,13 m galvanizada</v>
          </cell>
          <cell r="C299" t="str">
            <v>M</v>
          </cell>
          <cell r="E299">
            <v>172884.53</v>
          </cell>
        </row>
        <row r="300">
          <cell r="A300" t="str">
            <v>MAT,773</v>
          </cell>
          <cell r="B300" t="str">
            <v>Desmoldante de concreto para pisos neutro</v>
          </cell>
          <cell r="C300" t="str">
            <v>Kg</v>
          </cell>
          <cell r="E300">
            <v>9774</v>
          </cell>
        </row>
        <row r="301">
          <cell r="A301" t="str">
            <v>MAT,800</v>
          </cell>
          <cell r="B301" t="str">
            <v>Detergentes</v>
          </cell>
          <cell r="C301" t="str">
            <v>Kg</v>
          </cell>
          <cell r="E301">
            <v>10283.333333333334</v>
          </cell>
        </row>
        <row r="302">
          <cell r="A302" t="str">
            <v>MAT,119</v>
          </cell>
          <cell r="B302" t="str">
            <v>Dilatación de bronce</v>
          </cell>
          <cell r="C302" t="str">
            <v>M</v>
          </cell>
          <cell r="E302">
            <v>19960</v>
          </cell>
        </row>
        <row r="303">
          <cell r="A303" t="str">
            <v>MAT,120</v>
          </cell>
          <cell r="B303" t="str">
            <v>Dilatación para piso pared en PVC aleta de h = 9 mm ancho total 25 mm (2 m)</v>
          </cell>
          <cell r="C303" t="str">
            <v>M</v>
          </cell>
          <cell r="E303">
            <v>3950</v>
          </cell>
        </row>
        <row r="304">
          <cell r="A304" t="str">
            <v>MAT,121</v>
          </cell>
          <cell r="B304" t="str">
            <v>Dilatación Z 40 x 0.9 mm M dry Flex o similar (2 m)</v>
          </cell>
          <cell r="C304" t="str">
            <v>M</v>
          </cell>
          <cell r="E304">
            <v>3366</v>
          </cell>
        </row>
        <row r="305">
          <cell r="A305" t="str">
            <v>MAT,124</v>
          </cell>
          <cell r="B305" t="str">
            <v>Disolvente Pintutráfico Ref 121004 o similar</v>
          </cell>
          <cell r="C305" t="str">
            <v>Lt</v>
          </cell>
          <cell r="E305">
            <v>35713</v>
          </cell>
        </row>
        <row r="306">
          <cell r="A306" t="str">
            <v>MAT,668</v>
          </cell>
          <cell r="B306" t="str">
            <v>Dispensador de papel higiénico en acero inoxidable 304 con sistema antivandálico y llave, satinado Ø ≥ 26,5 cm, fijado a pared</v>
          </cell>
          <cell r="C306" t="str">
            <v>Un</v>
          </cell>
          <cell r="E306">
            <v>358500</v>
          </cell>
        </row>
        <row r="307">
          <cell r="A307" t="str">
            <v>MAT,570</v>
          </cell>
          <cell r="B307" t="str">
            <v>División metálica en lámina doble C 20 h = 1,60 m, incluye anticorrosivo</v>
          </cell>
          <cell r="C307" t="str">
            <v>M2</v>
          </cell>
          <cell r="E307">
            <v>363300</v>
          </cell>
        </row>
        <row r="308">
          <cell r="A308" t="str">
            <v>MAT,126</v>
          </cell>
          <cell r="B308" t="str">
            <v>División para baño en aluminio anoloc y acrílico</v>
          </cell>
          <cell r="C308" t="str">
            <v>M2</v>
          </cell>
          <cell r="E308">
            <v>160000</v>
          </cell>
        </row>
        <row r="309">
          <cell r="A309" t="str">
            <v>MAT,127</v>
          </cell>
          <cell r="B309" t="str">
            <v>Ducha anti vandálica regadera tubular corta, incluye grifería tipo push</v>
          </cell>
          <cell r="C309" t="str">
            <v>Un</v>
          </cell>
          <cell r="E309">
            <v>600600</v>
          </cell>
        </row>
        <row r="310">
          <cell r="A310" t="str">
            <v>MAT,634</v>
          </cell>
          <cell r="B310" t="str">
            <v>Ducto 4" planta emergencia</v>
          </cell>
          <cell r="C310" t="str">
            <v>M</v>
          </cell>
          <cell r="E310">
            <v>18650</v>
          </cell>
        </row>
        <row r="311">
          <cell r="A311" t="str">
            <v>MAT,637</v>
          </cell>
          <cell r="B311" t="str">
            <v xml:space="preserve">Ducto conduit PVC 4" DB </v>
          </cell>
          <cell r="C311" t="str">
            <v>M</v>
          </cell>
          <cell r="E311">
            <v>17308.333333333332</v>
          </cell>
        </row>
        <row r="312">
          <cell r="A312" t="str">
            <v>MAT,128</v>
          </cell>
          <cell r="B312" t="str">
            <v>Emulsión asfáltica CRL 57 (anteriormente CRL 1) rotura lenta</v>
          </cell>
          <cell r="C312" t="str">
            <v>Lt</v>
          </cell>
          <cell r="E312">
            <v>6587.3015873015875</v>
          </cell>
        </row>
        <row r="313">
          <cell r="A313" t="str">
            <v>MAT,822</v>
          </cell>
          <cell r="B313" t="str">
            <v>Emulsión asfáltica CRR 1 rotura rápida</v>
          </cell>
          <cell r="C313" t="str">
            <v>Lt</v>
          </cell>
          <cell r="E313">
            <v>5311.5</v>
          </cell>
        </row>
        <row r="314">
          <cell r="A314" t="str">
            <v>MAT,775</v>
          </cell>
          <cell r="B314" t="str">
            <v>Espejo de 4 mm biselado incluye accesorios de instalación</v>
          </cell>
          <cell r="C314" t="str">
            <v>M2</v>
          </cell>
          <cell r="E314">
            <v>249583.33333333334</v>
          </cell>
        </row>
        <row r="315">
          <cell r="A315" t="str">
            <v>MAT,131</v>
          </cell>
          <cell r="B315" t="str">
            <v>Estaca de guadua</v>
          </cell>
          <cell r="C315" t="str">
            <v>Un</v>
          </cell>
          <cell r="E315">
            <v>3900</v>
          </cell>
        </row>
        <row r="316">
          <cell r="A316" t="str">
            <v>MAT,132</v>
          </cell>
          <cell r="B316" t="str">
            <v>Esterilla (0,35 m x 4,00 m sin inmunizar)</v>
          </cell>
          <cell r="C316" t="str">
            <v>Un</v>
          </cell>
          <cell r="E316">
            <v>5000</v>
          </cell>
        </row>
        <row r="317">
          <cell r="A317" t="str">
            <v>MAT,133</v>
          </cell>
          <cell r="B317" t="str">
            <v>Estopa</v>
          </cell>
          <cell r="C317" t="str">
            <v>Kg</v>
          </cell>
          <cell r="E317">
            <v>22500</v>
          </cell>
        </row>
        <row r="318">
          <cell r="A318" t="str">
            <v>MAT,575</v>
          </cell>
          <cell r="B318" t="str">
            <v>Estructura metálica (perlines, platinas y pernos), incluye anticorrosivo y pintura, para la estructura de cubierta, trabajos en alturas, andamios certificados</v>
          </cell>
          <cell r="C318" t="str">
            <v>Kg</v>
          </cell>
          <cell r="E318">
            <v>45260</v>
          </cell>
        </row>
        <row r="319">
          <cell r="A319" t="str">
            <v>MAT,807</v>
          </cell>
          <cell r="B319" t="str">
            <v>Estructura metálica (poste), incluye anticorrosivo y pintura</v>
          </cell>
          <cell r="C319" t="str">
            <v>M</v>
          </cell>
          <cell r="E319">
            <v>64800</v>
          </cell>
        </row>
        <row r="320">
          <cell r="A320" t="str">
            <v>MAT,135</v>
          </cell>
          <cell r="B320" t="str">
            <v>Estucor listo o similar</v>
          </cell>
          <cell r="C320" t="str">
            <v>Kg</v>
          </cell>
          <cell r="E320">
            <v>1716</v>
          </cell>
        </row>
        <row r="321">
          <cell r="A321" t="str">
            <v>MAT,134</v>
          </cell>
          <cell r="B321" t="str">
            <v>Estucor o similar (25 Kg)</v>
          </cell>
          <cell r="C321" t="str">
            <v>Kg</v>
          </cell>
          <cell r="E321">
            <v>1556</v>
          </cell>
        </row>
        <row r="322">
          <cell r="A322" t="str">
            <v>MAT,646</v>
          </cell>
          <cell r="B322" t="str">
            <v>Favigel o similar x 25 Kg (hodrosolta para puesta a tierra)</v>
          </cell>
          <cell r="C322" t="str">
            <v>Bt</v>
          </cell>
          <cell r="E322">
            <v>194387</v>
          </cell>
        </row>
        <row r="323">
          <cell r="A323" t="str">
            <v>MAT,139</v>
          </cell>
          <cell r="B323" t="str">
            <v>Fertilizante</v>
          </cell>
          <cell r="C323" t="str">
            <v>Kg</v>
          </cell>
          <cell r="E323">
            <v>3494</v>
          </cell>
        </row>
        <row r="324">
          <cell r="A324" t="str">
            <v>MAT,141</v>
          </cell>
          <cell r="B324" t="str">
            <v>Fijador de cerámica (Pegacor o similar)</v>
          </cell>
          <cell r="C324" t="str">
            <v>Kg</v>
          </cell>
          <cell r="E324">
            <v>2852.9500000000003</v>
          </cell>
        </row>
        <row r="325">
          <cell r="A325" t="str">
            <v>MAT,142</v>
          </cell>
          <cell r="B325" t="str">
            <v>Filtro anaerobio de flujo ascendente en polietileno 100 % virgen, capacidad 2,000 lt</v>
          </cell>
          <cell r="C325" t="str">
            <v>Un</v>
          </cell>
          <cell r="E325">
            <v>4155900</v>
          </cell>
        </row>
        <row r="326">
          <cell r="A326" t="str">
            <v>MAT,143</v>
          </cell>
          <cell r="B326" t="str">
            <v>Filtro anaerobio de flujo ascendente en polietileno 100 % virgen, capacidad 4,000 lt</v>
          </cell>
          <cell r="C326" t="str">
            <v>Un</v>
          </cell>
          <cell r="E326">
            <v>7456900</v>
          </cell>
        </row>
        <row r="327">
          <cell r="A327" t="str">
            <v>MAT,144</v>
          </cell>
          <cell r="B327" t="str">
            <v>Flexocreto</v>
          </cell>
          <cell r="C327" t="str">
            <v>M2</v>
          </cell>
          <cell r="E327">
            <v>38170.439999999995</v>
          </cell>
        </row>
        <row r="328">
          <cell r="A328" t="str">
            <v>MAT,145</v>
          </cell>
          <cell r="B328" t="str">
            <v>Fluidificante para concretos</v>
          </cell>
          <cell r="C328" t="str">
            <v>Kg</v>
          </cell>
          <cell r="E328">
            <v>20276</v>
          </cell>
        </row>
        <row r="329">
          <cell r="A329" t="str">
            <v>MAT,122</v>
          </cell>
          <cell r="B329" t="str">
            <v>Fluxómetro de palanca de 3,5 lts para tasa</v>
          </cell>
          <cell r="C329" t="str">
            <v>Un</v>
          </cell>
          <cell r="E329">
            <v>1089400</v>
          </cell>
        </row>
        <row r="330">
          <cell r="A330" t="str">
            <v>MAT,147</v>
          </cell>
          <cell r="B330" t="str">
            <v>Fluxómetro para orinal de palanca plateado</v>
          </cell>
          <cell r="C330" t="str">
            <v>Un</v>
          </cell>
          <cell r="E330">
            <v>966300</v>
          </cell>
        </row>
        <row r="331">
          <cell r="A331" t="str">
            <v>MAT,238</v>
          </cell>
          <cell r="B331" t="str">
            <v>Fondo de junta de polietileno Φ = 3/8"</v>
          </cell>
          <cell r="C331" t="str">
            <v>M</v>
          </cell>
          <cell r="E331">
            <v>648</v>
          </cell>
        </row>
        <row r="332">
          <cell r="A332" t="str">
            <v>MAT,651</v>
          </cell>
          <cell r="B332" t="str">
            <v>Fotocelda 1000 W</v>
          </cell>
          <cell r="C332" t="str">
            <v>Un</v>
          </cell>
          <cell r="E332">
            <v>27814</v>
          </cell>
        </row>
        <row r="333">
          <cell r="A333" t="str">
            <v>MAT,150</v>
          </cell>
          <cell r="B333" t="str">
            <v>Frescasa sin papel 2 ½" x 15,24 x 1,22 m</v>
          </cell>
          <cell r="C333" t="str">
            <v>M2</v>
          </cell>
          <cell r="E333">
            <v>15056</v>
          </cell>
        </row>
        <row r="334">
          <cell r="A334" t="str">
            <v>MAT,656</v>
          </cell>
          <cell r="B334" t="str">
            <v>Fusible primario tipo H de 5 A - 13.2 KV</v>
          </cell>
          <cell r="C334" t="str">
            <v>Un</v>
          </cell>
          <cell r="E334">
            <v>6000</v>
          </cell>
        </row>
        <row r="335">
          <cell r="A335" t="str">
            <v>MAT,658</v>
          </cell>
          <cell r="B335" t="str">
            <v>Gabinete 4 medidores de energía trifilar</v>
          </cell>
          <cell r="C335" t="str">
            <v>Un</v>
          </cell>
          <cell r="E335">
            <v>504900</v>
          </cell>
        </row>
        <row r="336">
          <cell r="A336" t="str">
            <v>MAT,151</v>
          </cell>
          <cell r="B336" t="str">
            <v>Gabinete contra incendios completo tipo 3</v>
          </cell>
          <cell r="C336" t="str">
            <v>Un</v>
          </cell>
          <cell r="E336">
            <v>1250000</v>
          </cell>
        </row>
        <row r="337">
          <cell r="A337" t="str">
            <v>MAT,659</v>
          </cell>
          <cell r="B337" t="str">
            <v>Gabinete medidor indirecta instalación poste</v>
          </cell>
          <cell r="C337" t="str">
            <v>Un</v>
          </cell>
          <cell r="E337">
            <v>236400</v>
          </cell>
        </row>
        <row r="338">
          <cell r="A338" t="str">
            <v>MAT,152</v>
          </cell>
          <cell r="B338" t="str">
            <v>Ganchos para teja ondulada de fibrocemento</v>
          </cell>
          <cell r="C338" t="str">
            <v>Un</v>
          </cell>
          <cell r="E338">
            <v>868</v>
          </cell>
        </row>
        <row r="339">
          <cell r="A339" t="str">
            <v>MAT,153</v>
          </cell>
          <cell r="B339" t="str">
            <v>Gasolina</v>
          </cell>
          <cell r="C339" t="str">
            <v>Gl</v>
          </cell>
          <cell r="E339">
            <v>16036</v>
          </cell>
        </row>
        <row r="340">
          <cell r="A340" t="str">
            <v>MAT,810</v>
          </cell>
          <cell r="B340" t="str">
            <v>Geodrén circular 4" h = 2 m</v>
          </cell>
          <cell r="C340" t="str">
            <v>M</v>
          </cell>
          <cell r="E340">
            <v>128900</v>
          </cell>
        </row>
        <row r="341">
          <cell r="A341" t="str">
            <v>MAT,154</v>
          </cell>
          <cell r="B341" t="str">
            <v>Geodrén circular de 2 ½" l = 1 m</v>
          </cell>
          <cell r="C341" t="str">
            <v>M2</v>
          </cell>
          <cell r="E341">
            <v>100351</v>
          </cell>
        </row>
        <row r="342">
          <cell r="A342" t="str">
            <v>MAT,155</v>
          </cell>
          <cell r="B342" t="str">
            <v>Geodrén circular de 4" l = 1,00 m</v>
          </cell>
          <cell r="C342" t="str">
            <v>M2</v>
          </cell>
          <cell r="E342">
            <v>81806</v>
          </cell>
        </row>
        <row r="343">
          <cell r="A343" t="str">
            <v>MAT,156</v>
          </cell>
          <cell r="B343" t="str">
            <v>Geodrén circular de 6" l = 1,00 m</v>
          </cell>
          <cell r="C343" t="str">
            <v>M2</v>
          </cell>
          <cell r="E343">
            <v>103103</v>
          </cell>
        </row>
        <row r="344">
          <cell r="A344" t="str">
            <v>MAT,157</v>
          </cell>
          <cell r="B344" t="str">
            <v>Geodrén circular de 8" l = 1,00 m</v>
          </cell>
          <cell r="C344" t="str">
            <v>M2</v>
          </cell>
          <cell r="E344">
            <v>158315</v>
          </cell>
        </row>
        <row r="345">
          <cell r="A345" t="str">
            <v>MAT,158</v>
          </cell>
          <cell r="B345" t="str">
            <v>Geodrén planar l = 1,00 m</v>
          </cell>
          <cell r="C345" t="str">
            <v>M2</v>
          </cell>
          <cell r="E345">
            <v>32149</v>
          </cell>
        </row>
        <row r="346">
          <cell r="A346" t="str">
            <v>MAT,811</v>
          </cell>
          <cell r="B346" t="str">
            <v>Geodrén romadrain l = 1 m</v>
          </cell>
          <cell r="C346" t="str">
            <v>M</v>
          </cell>
          <cell r="E346">
            <v>51900</v>
          </cell>
        </row>
        <row r="347">
          <cell r="A347" t="str">
            <v>MAT,159</v>
          </cell>
          <cell r="B347" t="str">
            <v>Geomalla BX 1200</v>
          </cell>
          <cell r="C347" t="str">
            <v>M2</v>
          </cell>
          <cell r="E347">
            <v>9416</v>
          </cell>
        </row>
        <row r="348">
          <cell r="A348" t="str">
            <v>MAT,160</v>
          </cell>
          <cell r="B348" t="str">
            <v>Geotextil no tejido 1,600 a = 3,50 m</v>
          </cell>
          <cell r="C348" t="str">
            <v>M2</v>
          </cell>
          <cell r="E348">
            <v>2971</v>
          </cell>
        </row>
        <row r="349">
          <cell r="A349" t="str">
            <v>MAT,161</v>
          </cell>
          <cell r="B349" t="str">
            <v>Geotextil Repav 450</v>
          </cell>
          <cell r="C349" t="str">
            <v>M2</v>
          </cell>
          <cell r="E349">
            <v>2025</v>
          </cell>
        </row>
        <row r="350">
          <cell r="A350" t="str">
            <v>MAT,642</v>
          </cell>
          <cell r="B350" t="str">
            <v>Geotextil tejido 2.400 a = 3,85 m</v>
          </cell>
          <cell r="C350" t="str">
            <v>M2</v>
          </cell>
          <cell r="E350">
            <v>7727</v>
          </cell>
        </row>
        <row r="351">
          <cell r="A351" t="str">
            <v>MAT,086</v>
          </cell>
          <cell r="B351" t="str">
            <v>Gramoquín en concreto de 5 Mpa de 30 x 30 x 8 cm (11.11 un/m2)</v>
          </cell>
          <cell r="C351" t="str">
            <v>M2</v>
          </cell>
          <cell r="E351">
            <v>51128.219999999994</v>
          </cell>
        </row>
        <row r="352">
          <cell r="A352" t="str">
            <v>MAT,085</v>
          </cell>
          <cell r="B352" t="str">
            <v>Gramoquín en concreto de 5 Mpa de 60 x 40 x 8 cm (4.17 un/m2)</v>
          </cell>
          <cell r="C352" t="str">
            <v>M2</v>
          </cell>
          <cell r="E352">
            <v>98224.349999999991</v>
          </cell>
        </row>
        <row r="353">
          <cell r="A353" t="str">
            <v>MAT,163</v>
          </cell>
          <cell r="B353" t="str">
            <v>Graniplast (cuñete de 30 kg tipo Pintuco)</v>
          </cell>
          <cell r="C353" t="str">
            <v>Cñ</v>
          </cell>
          <cell r="E353">
            <v>157900</v>
          </cell>
        </row>
        <row r="354">
          <cell r="A354" t="str">
            <v>MAT,645</v>
          </cell>
          <cell r="B354" t="str">
            <v>Granito N° 1, 2, 3 por 25 Kg</v>
          </cell>
          <cell r="C354" t="str">
            <v>Sc</v>
          </cell>
          <cell r="E354">
            <v>30232.5</v>
          </cell>
        </row>
        <row r="355">
          <cell r="A355" t="str">
            <v>MAT,660</v>
          </cell>
          <cell r="B355" t="str">
            <v>Grapa bandit 5/8"</v>
          </cell>
          <cell r="C355" t="str">
            <v>Un</v>
          </cell>
          <cell r="E355">
            <v>650</v>
          </cell>
        </row>
        <row r="356">
          <cell r="A356" t="str">
            <v>MAT,590</v>
          </cell>
          <cell r="B356" t="str">
            <v>Grapa bimetálica DEHN unión alambrón - Cu 8 - 10 mm Ref 459129</v>
          </cell>
          <cell r="C356" t="str">
            <v>Un</v>
          </cell>
          <cell r="E356">
            <v>61250</v>
          </cell>
        </row>
        <row r="357">
          <cell r="A357" t="str">
            <v>MAT,164</v>
          </cell>
          <cell r="B357" t="str">
            <v>Grapa plástica para cerramiento</v>
          </cell>
          <cell r="C357" t="str">
            <v>Kg</v>
          </cell>
          <cell r="E357">
            <v>10900</v>
          </cell>
        </row>
        <row r="358">
          <cell r="A358" t="str">
            <v>MAT,165</v>
          </cell>
          <cell r="B358" t="str">
            <v>Gravilla # 2 saco x 20 Kg</v>
          </cell>
          <cell r="C358" t="str">
            <v>Sc</v>
          </cell>
          <cell r="E358">
            <v>7200</v>
          </cell>
        </row>
        <row r="359">
          <cell r="A359" t="str">
            <v>MAT,543</v>
          </cell>
          <cell r="B359" t="str">
            <v>Grifería (llave, canastilla y sifón), para lavaplatos</v>
          </cell>
          <cell r="C359" t="str">
            <v>Un</v>
          </cell>
          <cell r="E359">
            <v>59900</v>
          </cell>
        </row>
        <row r="360">
          <cell r="A360" t="str">
            <v>MAT,640</v>
          </cell>
          <cell r="B360" t="str">
            <v>Grifería de empotrar corta línea anti vandálica, incluye válvula tipo push para lavamanos</v>
          </cell>
          <cell r="C360" t="str">
            <v>Un</v>
          </cell>
          <cell r="E360">
            <v>316900</v>
          </cell>
        </row>
        <row r="361">
          <cell r="A361" t="str">
            <v>MAT,168</v>
          </cell>
          <cell r="B361" t="str">
            <v>Grifería lavamanos de mesa tipo push</v>
          </cell>
          <cell r="C361" t="str">
            <v>Un</v>
          </cell>
          <cell r="E361">
            <v>289900</v>
          </cell>
        </row>
        <row r="362">
          <cell r="A362" t="str">
            <v>MAT,169</v>
          </cell>
          <cell r="B362" t="str">
            <v>Grifería orinal a pared tipo push antivandálica, entrada de ½"</v>
          </cell>
          <cell r="C362" t="str">
            <v>Un</v>
          </cell>
          <cell r="E362">
            <v>354900</v>
          </cell>
        </row>
        <row r="363">
          <cell r="A363" t="str">
            <v>MAT,170</v>
          </cell>
          <cell r="B363" t="str">
            <v>Grifería orinal de empotrar tipo push mediano</v>
          </cell>
          <cell r="C363" t="str">
            <v>Un</v>
          </cell>
          <cell r="E363">
            <v>477900</v>
          </cell>
        </row>
        <row r="364">
          <cell r="A364" t="str">
            <v>MAT,533</v>
          </cell>
          <cell r="B364" t="str">
            <v>Grifería para lavamanos de pared tipo push, línea antivandálica</v>
          </cell>
          <cell r="C364" t="str">
            <v>Un</v>
          </cell>
          <cell r="E364">
            <v>134900</v>
          </cell>
        </row>
        <row r="365">
          <cell r="A365" t="str">
            <v>MAT,171</v>
          </cell>
          <cell r="B365" t="str">
            <v>Grifería para lavamanos tipo Artesa Grival</v>
          </cell>
          <cell r="C365" t="str">
            <v>Un</v>
          </cell>
          <cell r="E365">
            <v>45300</v>
          </cell>
        </row>
        <row r="366">
          <cell r="A366" t="str">
            <v>MAT,172</v>
          </cell>
          <cell r="B366" t="str">
            <v>Grifería para lavamanos tipo Monza Stick de 4" Cromo</v>
          </cell>
          <cell r="C366" t="str">
            <v>Un</v>
          </cell>
          <cell r="E366">
            <v>63900</v>
          </cell>
        </row>
        <row r="367">
          <cell r="A367" t="str">
            <v>MAT,173</v>
          </cell>
          <cell r="B367" t="str">
            <v>Grifería pico empotrado línea anti vandálica, incluye válvula tipo push</v>
          </cell>
          <cell r="C367" t="str">
            <v>Un</v>
          </cell>
          <cell r="E367">
            <v>521900</v>
          </cell>
        </row>
        <row r="368">
          <cell r="A368" t="str">
            <v>MAT,174</v>
          </cell>
          <cell r="B368" t="str">
            <v>Grifería taza tipo push anti vandálica</v>
          </cell>
          <cell r="C368" t="str">
            <v>Un</v>
          </cell>
          <cell r="E368">
            <v>354900</v>
          </cell>
        </row>
        <row r="369">
          <cell r="A369" t="str">
            <v>MAT,176</v>
          </cell>
          <cell r="B369" t="str">
            <v>Guadua basa longitud promedio = 5 m</v>
          </cell>
          <cell r="C369" t="str">
            <v>M</v>
          </cell>
          <cell r="E369">
            <v>5250</v>
          </cell>
        </row>
        <row r="370">
          <cell r="A370" t="str">
            <v>MAT,177</v>
          </cell>
          <cell r="B370" t="str">
            <v>Guadua sobrebasa longitud promedio = 4 m</v>
          </cell>
          <cell r="C370" t="str">
            <v>Un</v>
          </cell>
          <cell r="E370">
            <v>2833.3333333333335</v>
          </cell>
        </row>
        <row r="371">
          <cell r="A371" t="str">
            <v>MAT,785</v>
          </cell>
          <cell r="B371" t="str">
            <v>Guarda escoba en madera laminada MDF Petterson Oak Dark café o similar de ± 8 cm</v>
          </cell>
          <cell r="C371" t="str">
            <v>M</v>
          </cell>
          <cell r="E371">
            <v>6708</v>
          </cell>
        </row>
        <row r="372">
          <cell r="A372" t="str">
            <v>MAT,178</v>
          </cell>
          <cell r="B372" t="str">
            <v>Guarda escobas en madera a = 0,08 m cedro blanco</v>
          </cell>
          <cell r="C372" t="str">
            <v>M</v>
          </cell>
          <cell r="E372">
            <v>15375</v>
          </cell>
        </row>
        <row r="373">
          <cell r="A373" t="str">
            <v>MAT,585</v>
          </cell>
          <cell r="B373" t="str">
            <v>Hebilla para cinta bandit 3/4"</v>
          </cell>
          <cell r="C373" t="str">
            <v>Un</v>
          </cell>
          <cell r="E373">
            <v>650</v>
          </cell>
        </row>
        <row r="374">
          <cell r="A374" t="str">
            <v>MAT,180</v>
          </cell>
          <cell r="B374" t="str">
            <v>Herbicida</v>
          </cell>
          <cell r="C374" t="str">
            <v>Lt</v>
          </cell>
          <cell r="E374">
            <v>32900</v>
          </cell>
        </row>
        <row r="375">
          <cell r="A375" t="str">
            <v>MAT,776</v>
          </cell>
          <cell r="B375" t="str">
            <v>Patch Panel Blindado de 24 Puertos Categoría 6A</v>
          </cell>
          <cell r="C375" t="str">
            <v>Un</v>
          </cell>
          <cell r="E375">
            <v>372820</v>
          </cell>
        </row>
        <row r="376">
          <cell r="A376" t="str">
            <v>MAT,181</v>
          </cell>
          <cell r="B376" t="str">
            <v>Hidrante tipo Milán de 3" extremo brida, incluye kit de nivelación</v>
          </cell>
          <cell r="C376" t="str">
            <v>Un</v>
          </cell>
          <cell r="E376">
            <v>3091318</v>
          </cell>
        </row>
        <row r="377">
          <cell r="A377" t="str">
            <v>MAT,182</v>
          </cell>
          <cell r="B377" t="str">
            <v>Hidrante tipo Milán de 3" extremo liso, incluye kit de nivelación</v>
          </cell>
          <cell r="C377" t="str">
            <v>Un</v>
          </cell>
          <cell r="E377">
            <v>2899140</v>
          </cell>
        </row>
        <row r="378">
          <cell r="A378" t="str">
            <v>MAT,185</v>
          </cell>
          <cell r="B378" t="str">
            <v>Icopor e = 1"</v>
          </cell>
          <cell r="C378" t="str">
            <v>M2</v>
          </cell>
          <cell r="E378">
            <v>6909</v>
          </cell>
        </row>
        <row r="379">
          <cell r="A379" t="str">
            <v>MAT,186</v>
          </cell>
          <cell r="B379" t="str">
            <v>Impermeabilizante bituminoso para cubierta</v>
          </cell>
          <cell r="C379" t="str">
            <v>Kg</v>
          </cell>
          <cell r="E379">
            <v>8494</v>
          </cell>
        </row>
        <row r="380">
          <cell r="A380" t="str">
            <v>MAT,188</v>
          </cell>
          <cell r="B380" t="str">
            <v>Impermeabilizante integral para morteros, con polímeros sintéticos</v>
          </cell>
          <cell r="C380" t="str">
            <v>Kg</v>
          </cell>
          <cell r="E380">
            <v>22875</v>
          </cell>
        </row>
        <row r="381">
          <cell r="A381" t="str">
            <v>MAT,187</v>
          </cell>
          <cell r="B381" t="str">
            <v>Impermeabilizante para concreto</v>
          </cell>
          <cell r="C381" t="str">
            <v>Kg</v>
          </cell>
          <cell r="E381">
            <v>22945</v>
          </cell>
        </row>
        <row r="382">
          <cell r="A382" t="str">
            <v>MAT,191</v>
          </cell>
          <cell r="B382" t="str">
            <v>Insecticida agrícola (extracto de neem)</v>
          </cell>
          <cell r="C382" t="str">
            <v>Kg</v>
          </cell>
          <cell r="E382">
            <v>75400</v>
          </cell>
        </row>
        <row r="383">
          <cell r="A383" t="str">
            <v>MAT,670</v>
          </cell>
          <cell r="B383" t="str">
            <v>Interruptor conmutable doble LUMINEX AMBIA REFRESH o similar</v>
          </cell>
          <cell r="C383" t="str">
            <v>Un</v>
          </cell>
          <cell r="E383">
            <v>13450</v>
          </cell>
        </row>
        <row r="384">
          <cell r="A384" t="str">
            <v>MAT,192</v>
          </cell>
          <cell r="B384" t="str">
            <v>Interruptor conmutable sencillo LUMINEX AMBIA REFRESH o similar</v>
          </cell>
          <cell r="C384" t="str">
            <v>Un</v>
          </cell>
          <cell r="E384">
            <v>6500</v>
          </cell>
        </row>
        <row r="385">
          <cell r="A385" t="str">
            <v>MAT,671</v>
          </cell>
          <cell r="B385" t="str">
            <v>Interruptor doble LUMINEX AMBIA REFRESH o similar</v>
          </cell>
          <cell r="C385" t="str">
            <v>Un</v>
          </cell>
          <cell r="E385">
            <v>7550</v>
          </cell>
        </row>
        <row r="386">
          <cell r="A386" t="str">
            <v>MAT,612</v>
          </cell>
          <cell r="B386" t="str">
            <v>Interruptor doble sin luz piloto, marca Luminex similar (MAT,671)</v>
          </cell>
          <cell r="C386" t="str">
            <v>Un</v>
          </cell>
          <cell r="E386">
            <v>7550</v>
          </cell>
        </row>
        <row r="387">
          <cell r="A387" t="str">
            <v>MAT,632</v>
          </cell>
          <cell r="B387" t="str">
            <v>Interruptor enchufable 1 x 20 A 10 KA marca Luminex o similar</v>
          </cell>
          <cell r="C387" t="str">
            <v>Un</v>
          </cell>
          <cell r="E387">
            <v>16200</v>
          </cell>
        </row>
        <row r="388">
          <cell r="A388" t="str">
            <v>MAT,624</v>
          </cell>
          <cell r="B388" t="str">
            <v>Interruptor enchufable 2 x 20 A 10 KA marca Luminex o similar</v>
          </cell>
          <cell r="C388" t="str">
            <v>Un</v>
          </cell>
          <cell r="E388">
            <v>49900</v>
          </cell>
        </row>
        <row r="389">
          <cell r="A389" t="str">
            <v>MAT,622</v>
          </cell>
          <cell r="B389" t="str">
            <v>Interruptor enchufable 3 x 20 A 10 KA marca Luminex o similar</v>
          </cell>
          <cell r="C389" t="str">
            <v>Un</v>
          </cell>
          <cell r="E389">
            <v>114300</v>
          </cell>
        </row>
        <row r="390">
          <cell r="A390" t="str">
            <v>MAT,672</v>
          </cell>
          <cell r="B390" t="str">
            <v>Interruptor enchufable 3 x 30 A 10 KA marca Luminex o similar</v>
          </cell>
          <cell r="C390" t="str">
            <v>Un</v>
          </cell>
          <cell r="E390">
            <v>114300</v>
          </cell>
        </row>
        <row r="391">
          <cell r="A391" t="str">
            <v>MAT,674</v>
          </cell>
          <cell r="B391" t="str">
            <v>Interruptor MERLIN GERIN EZC100N 100 A- 25 KA/240 o similar</v>
          </cell>
          <cell r="C391" t="str">
            <v>Un</v>
          </cell>
          <cell r="E391">
            <v>208970</v>
          </cell>
        </row>
        <row r="392">
          <cell r="A392" t="str">
            <v>MAT,675</v>
          </cell>
          <cell r="B392" t="str">
            <v>Interruptor MERLIN GERIN EZC100N 60 A - 25 KA/240 o similar</v>
          </cell>
          <cell r="C392" t="str">
            <v>Un</v>
          </cell>
          <cell r="E392">
            <v>214000</v>
          </cell>
        </row>
        <row r="393">
          <cell r="A393" t="str">
            <v>MAT,673</v>
          </cell>
          <cell r="B393" t="str">
            <v>Interruptor MERLIN GERIN EZC100N 80 A - 25 KA/240 o similar</v>
          </cell>
          <cell r="C393" t="str">
            <v>Un</v>
          </cell>
          <cell r="E393">
            <v>214010</v>
          </cell>
        </row>
        <row r="394">
          <cell r="A394" t="str">
            <v>MAT,676</v>
          </cell>
          <cell r="B394" t="str">
            <v>Interruptor sencillo LUMINEX AMBIA REFRESH o similar</v>
          </cell>
          <cell r="C394" t="str">
            <v>Un</v>
          </cell>
          <cell r="E394">
            <v>10663</v>
          </cell>
        </row>
        <row r="395">
          <cell r="A395" t="str">
            <v>MAT,614</v>
          </cell>
          <cell r="B395" t="str">
            <v>Interruptor sencillo sin luz piloto, marca Luminex o similar</v>
          </cell>
          <cell r="C395" t="str">
            <v>Un</v>
          </cell>
          <cell r="E395">
            <v>10663</v>
          </cell>
        </row>
        <row r="396">
          <cell r="A396" t="str">
            <v>MAT,677</v>
          </cell>
          <cell r="B396" t="str">
            <v>Interruptor triple LUMINEX AMBIA REFRESH o similar</v>
          </cell>
          <cell r="C396" t="str">
            <v>Un</v>
          </cell>
          <cell r="E396">
            <v>18809</v>
          </cell>
        </row>
        <row r="397">
          <cell r="A397" t="str">
            <v>MAT,635</v>
          </cell>
          <cell r="B397" t="str">
            <v>Interruptor triple sin luz piloto, marca Luminex  o similar</v>
          </cell>
          <cell r="C397" t="str">
            <v>Un</v>
          </cell>
          <cell r="E397">
            <v>18809</v>
          </cell>
        </row>
        <row r="398">
          <cell r="A398" t="str">
            <v>MAT,662</v>
          </cell>
          <cell r="B398" t="str">
            <v>Jabonera ducha cromada tipo Torino</v>
          </cell>
          <cell r="C398" t="str">
            <v>Un</v>
          </cell>
          <cell r="E398">
            <v>41900</v>
          </cell>
        </row>
        <row r="399">
          <cell r="A399" t="str">
            <v>MAT,661</v>
          </cell>
          <cell r="B399" t="str">
            <v>Jabonera en polímero de alta ingeniería cromada, sistema de fijación oculto tipo Nogal</v>
          </cell>
          <cell r="C399" t="str">
            <v>Un</v>
          </cell>
          <cell r="E399">
            <v>28700</v>
          </cell>
        </row>
        <row r="400">
          <cell r="A400" t="str">
            <v>MAT,678</v>
          </cell>
          <cell r="B400" t="str">
            <v>Jack tera outlet categoría 6A, 23 AWG, marca SIEMON o similar</v>
          </cell>
          <cell r="C400" t="str">
            <v>Un</v>
          </cell>
          <cell r="E400">
            <v>6425</v>
          </cell>
        </row>
        <row r="401">
          <cell r="A401" t="str">
            <v>MAT,650</v>
          </cell>
          <cell r="B401" t="str">
            <v>Juego de estructura múltiple movible, (micro - baloncesto), elaborada en tubería agua negra de primera calidad, de diámetro interior de 2 ½" la portería, el resto de la estructura de 1 ½", tablero en acrílico de 10 mm color cristal de medidas 1.20 x 1.80 m. debidamente demarcado con aro, incluye mallas para aro y portería. Movible: con ruedas y sobrepeso (norte y sur)</v>
          </cell>
          <cell r="C401" t="str">
            <v>Un</v>
          </cell>
          <cell r="E401">
            <v>5908887</v>
          </cell>
        </row>
        <row r="402">
          <cell r="A402" t="str">
            <v>MAT,819</v>
          </cell>
          <cell r="B402" t="str">
            <v>Juego de mallas para aros de baloncesto par</v>
          </cell>
          <cell r="C402" t="str">
            <v>Un</v>
          </cell>
          <cell r="E402">
            <v>16000</v>
          </cell>
        </row>
        <row r="403">
          <cell r="A403" t="str">
            <v>MAT,820</v>
          </cell>
          <cell r="B403" t="str">
            <v>Juego de mallas para portería de microfútbol calibre 5 par</v>
          </cell>
          <cell r="C403" t="str">
            <v>Un</v>
          </cell>
          <cell r="E403">
            <v>149900</v>
          </cell>
        </row>
        <row r="404">
          <cell r="A404" t="str">
            <v>MAT,821</v>
          </cell>
          <cell r="B404" t="str">
            <v>Juego malla para arcos de fútbol 11 calibre 5 par</v>
          </cell>
          <cell r="C404" t="str">
            <v>Un</v>
          </cell>
          <cell r="E404">
            <v>395800</v>
          </cell>
        </row>
        <row r="405">
          <cell r="A405" t="str">
            <v>MAT,195</v>
          </cell>
          <cell r="B405" t="str">
            <v>Juegos infantiles de madera en pino completo</v>
          </cell>
          <cell r="C405" t="str">
            <v>Un</v>
          </cell>
          <cell r="E405">
            <v>5909250</v>
          </cell>
        </row>
        <row r="406">
          <cell r="A406" t="str">
            <v>MAT,196</v>
          </cell>
          <cell r="B406" t="str">
            <v>Juegos infantiles de madera en pino, básico</v>
          </cell>
          <cell r="C406" t="str">
            <v>Un</v>
          </cell>
          <cell r="E406">
            <v>2963525</v>
          </cell>
        </row>
        <row r="407">
          <cell r="A407" t="str">
            <v>MAT,285</v>
          </cell>
          <cell r="B407" t="str">
            <v>Juegos infantiles metálicos incluyen instalación wash primer y pintura, pasamanos sencillo</v>
          </cell>
          <cell r="C407" t="str">
            <v>Un</v>
          </cell>
          <cell r="E407">
            <v>1297500</v>
          </cell>
        </row>
        <row r="408">
          <cell r="A408" t="str">
            <v>MAT,197</v>
          </cell>
          <cell r="B408" t="str">
            <v>Kit de accesorios para sistema séptico de 2000 lt</v>
          </cell>
          <cell r="C408" t="str">
            <v>Un</v>
          </cell>
          <cell r="E408">
            <v>298900</v>
          </cell>
        </row>
        <row r="409">
          <cell r="A409" t="str">
            <v>MAT,198</v>
          </cell>
          <cell r="B409" t="str">
            <v>Kit de accesorios para sistema séptico de 4000 lt</v>
          </cell>
          <cell r="C409" t="str">
            <v>Un</v>
          </cell>
          <cell r="E409">
            <v>366900</v>
          </cell>
        </row>
        <row r="410">
          <cell r="A410" t="str">
            <v>MAT,199</v>
          </cell>
          <cell r="B410" t="str">
            <v>Kit séptico 2000 litros + aeróbico 1000 litros</v>
          </cell>
          <cell r="C410" t="str">
            <v>Un</v>
          </cell>
          <cell r="E410">
            <v>2203950</v>
          </cell>
        </row>
        <row r="411">
          <cell r="A411" t="str">
            <v>MAT,200</v>
          </cell>
          <cell r="B411" t="str">
            <v>Ladrillo farol rayado de 0,10 x 0,20 x 0,30 m (Nº 6)</v>
          </cell>
          <cell r="C411" t="str">
            <v>Un</v>
          </cell>
          <cell r="E411">
            <v>1800</v>
          </cell>
        </row>
        <row r="412">
          <cell r="A412" t="str">
            <v>MAT,201</v>
          </cell>
          <cell r="B412" t="str">
            <v>Ladrillo farol rayado de 0,12 x 0,20 x 0,30 m</v>
          </cell>
          <cell r="C412" t="str">
            <v>Un</v>
          </cell>
          <cell r="E412">
            <v>1900</v>
          </cell>
        </row>
        <row r="413">
          <cell r="A413" t="str">
            <v>MAT,515</v>
          </cell>
          <cell r="B413" t="str">
            <v>Ladrillo prensado tipo Santa Fe 24,5 x 12 x 5,5 cm</v>
          </cell>
          <cell r="C413" t="str">
            <v>Un</v>
          </cell>
          <cell r="E413">
            <v>1600</v>
          </cell>
        </row>
        <row r="414">
          <cell r="A414" t="str">
            <v>MAT,202</v>
          </cell>
          <cell r="B414" t="str">
            <v>Ladrillo tolete común</v>
          </cell>
          <cell r="C414" t="str">
            <v>Un</v>
          </cell>
          <cell r="E414">
            <v>800</v>
          </cell>
        </row>
        <row r="415">
          <cell r="A415" t="str">
            <v>MAT,517</v>
          </cell>
          <cell r="B415" t="str">
            <v>Lámina de cielo raso de 1.22 x 0.61 x 0.018 m, densidad 12</v>
          </cell>
          <cell r="C415" t="str">
            <v>M2</v>
          </cell>
          <cell r="E415">
            <v>9648</v>
          </cell>
        </row>
        <row r="416">
          <cell r="A416" t="str">
            <v>MAT,204</v>
          </cell>
          <cell r="B416" t="str">
            <v>Lámina de fibrocemento e = 10 mm</v>
          </cell>
          <cell r="C416" t="str">
            <v>M2</v>
          </cell>
          <cell r="E416">
            <v>32718</v>
          </cell>
        </row>
        <row r="417">
          <cell r="A417" t="str">
            <v>MAT,205</v>
          </cell>
          <cell r="B417" t="str">
            <v>Lámina de fibrocemento e = 8 mm</v>
          </cell>
          <cell r="C417" t="str">
            <v>M2</v>
          </cell>
          <cell r="E417">
            <v>26268</v>
          </cell>
        </row>
        <row r="418">
          <cell r="A418" t="str">
            <v>MAT,535</v>
          </cell>
          <cell r="B418" t="str">
            <v>Lámina de mármol para piso o mesón</v>
          </cell>
          <cell r="C418" t="str">
            <v>M2</v>
          </cell>
          <cell r="E418">
            <v>244900</v>
          </cell>
        </row>
        <row r="419">
          <cell r="A419" t="str">
            <v>MAT,542</v>
          </cell>
          <cell r="B419" t="str">
            <v>Lámina de yeso 1,22 m x 2,44 m e = 12,7 mm</v>
          </cell>
          <cell r="C419" t="str">
            <v>M2</v>
          </cell>
          <cell r="E419">
            <v>14612</v>
          </cell>
        </row>
        <row r="420">
          <cell r="A420" t="str">
            <v>MAT,526</v>
          </cell>
          <cell r="B420" t="str">
            <v>Lámina duracustic ± 1,2 x 0,61 m</v>
          </cell>
          <cell r="C420" t="str">
            <v>Un</v>
          </cell>
          <cell r="E420">
            <v>75200</v>
          </cell>
        </row>
        <row r="421">
          <cell r="A421" t="str">
            <v>MAT,600</v>
          </cell>
          <cell r="B421" t="str">
            <v>Lámina en PVC, de 3,48 m2, blanca (2,9 m x 0,30 m y e = 7 cm)</v>
          </cell>
          <cell r="C421" t="str">
            <v>M2</v>
          </cell>
          <cell r="E421">
            <v>20800</v>
          </cell>
        </row>
        <row r="422">
          <cell r="A422" t="str">
            <v>MAT,207</v>
          </cell>
          <cell r="B422" t="str">
            <v>Lámina galvanizada C 22, incluye 4 dobleces por metro lineal</v>
          </cell>
          <cell r="C422" t="str">
            <v>M2</v>
          </cell>
          <cell r="E422">
            <v>69168</v>
          </cell>
        </row>
        <row r="423">
          <cell r="A423" t="str">
            <v>MAT,527</v>
          </cell>
          <cell r="B423" t="str">
            <v xml:space="preserve">Lámina galvanizada C 26 </v>
          </cell>
          <cell r="C423" t="str">
            <v>M2</v>
          </cell>
          <cell r="E423">
            <v>48443</v>
          </cell>
        </row>
        <row r="424">
          <cell r="A424" t="str">
            <v>MAT,679</v>
          </cell>
          <cell r="B424" t="str">
            <v>Lámpara aplique pared tipo BEGONIA 3 x 7 W o similar</v>
          </cell>
          <cell r="C424" t="str">
            <v>Un</v>
          </cell>
          <cell r="E424">
            <v>392000</v>
          </cell>
        </row>
        <row r="425">
          <cell r="A425" t="str">
            <v>MAT,680</v>
          </cell>
          <cell r="B425" t="str">
            <v>Lámpara aplique tortuga CFL 23 W</v>
          </cell>
          <cell r="C425" t="str">
            <v>Un</v>
          </cell>
          <cell r="E425">
            <v>123400</v>
          </cell>
        </row>
        <row r="426">
          <cell r="A426" t="str">
            <v>MAT,681</v>
          </cell>
          <cell r="B426" t="str">
            <v>Lámpara ATENEA 2.5 10800 lúmenes o similar</v>
          </cell>
          <cell r="C426" t="str">
            <v>Un</v>
          </cell>
          <cell r="E426">
            <v>1235000</v>
          </cell>
        </row>
        <row r="427">
          <cell r="A427" t="str">
            <v>MAT,682</v>
          </cell>
          <cell r="B427" t="str">
            <v>Lámpara aviso de salida autonomía 90 Min</v>
          </cell>
          <cell r="C427" t="str">
            <v>Un</v>
          </cell>
          <cell r="E427">
            <v>99900</v>
          </cell>
        </row>
        <row r="428">
          <cell r="A428" t="str">
            <v>MAT,683</v>
          </cell>
          <cell r="B428" t="str">
            <v>Lámpara bala led 13 W tipo 1050 lúmenes</v>
          </cell>
          <cell r="C428" t="str">
            <v>Un</v>
          </cell>
          <cell r="E428">
            <v>16900</v>
          </cell>
        </row>
        <row r="429">
          <cell r="A429" t="str">
            <v>MAT,684</v>
          </cell>
          <cell r="B429" t="str">
            <v>Lámpara bala led 23 W 1850 lúmenes</v>
          </cell>
          <cell r="C429" t="str">
            <v>Un</v>
          </cell>
          <cell r="E429">
            <v>32900</v>
          </cell>
        </row>
        <row r="430">
          <cell r="A430" t="str">
            <v>MAT,685</v>
          </cell>
          <cell r="B430" t="str">
            <v>Lámpara de emergencia 2 led 2 W</v>
          </cell>
          <cell r="C430" t="str">
            <v>Un</v>
          </cell>
          <cell r="E430">
            <v>66999</v>
          </cell>
        </row>
        <row r="431">
          <cell r="A431" t="str">
            <v>MAT,599</v>
          </cell>
          <cell r="B431" t="str">
            <v xml:space="preserve">Lámpara hermética led 2 x 20 W tira led Lb 20,000H </v>
          </cell>
          <cell r="C431" t="str">
            <v>Un</v>
          </cell>
          <cell r="E431">
            <v>119900</v>
          </cell>
        </row>
        <row r="432">
          <cell r="A432" t="str">
            <v>MAT,686</v>
          </cell>
          <cell r="B432" t="str">
            <v>Lámpara IT100 4400 lúmenes 2 tubos 16 W led</v>
          </cell>
          <cell r="C432" t="str">
            <v>Un</v>
          </cell>
          <cell r="E432">
            <v>112100</v>
          </cell>
        </row>
        <row r="433">
          <cell r="A433" t="str">
            <v>MAT,694</v>
          </cell>
          <cell r="B433" t="str">
            <v>Lámpara panel led sobre poner 60 x 60 48 W, blanca Halux o similar. Incluye accesorios de fijación</v>
          </cell>
          <cell r="C433" t="str">
            <v>Un</v>
          </cell>
          <cell r="E433">
            <v>84000</v>
          </cell>
        </row>
        <row r="434">
          <cell r="A434" t="str">
            <v>MAT,687</v>
          </cell>
          <cell r="B434" t="str">
            <v>Lámpara tipo ATENEA 2.5 14400 lúmenes o similar</v>
          </cell>
          <cell r="C434" t="str">
            <v>Un</v>
          </cell>
          <cell r="E434">
            <v>1728000</v>
          </cell>
        </row>
        <row r="435">
          <cell r="A435" t="str">
            <v>MAT,688</v>
          </cell>
          <cell r="B435" t="str">
            <v>Lámpara tipo ATENEA 2.5 17600 lúmenes o similar</v>
          </cell>
          <cell r="C435" t="str">
            <v>Un</v>
          </cell>
          <cell r="E435">
            <v>2135000</v>
          </cell>
        </row>
        <row r="436">
          <cell r="A436" t="str">
            <v>MAT,689</v>
          </cell>
          <cell r="B436" t="str">
            <v>Lámpara tipo ATENEA 2.5 18000 lúmenes o similar</v>
          </cell>
          <cell r="C436" t="str">
            <v>Un</v>
          </cell>
          <cell r="E436">
            <v>2015000</v>
          </cell>
        </row>
        <row r="437">
          <cell r="A437" t="str">
            <v>MAT,690</v>
          </cell>
          <cell r="B437" t="str">
            <v>Lámpara tipo ATENEA 2.5 21600 lúmenes o similar</v>
          </cell>
          <cell r="C437" t="str">
            <v>Un</v>
          </cell>
          <cell r="E437">
            <v>2345000</v>
          </cell>
        </row>
        <row r="438">
          <cell r="A438" t="str">
            <v>MAT,691</v>
          </cell>
          <cell r="B438" t="str">
            <v>Lámpara tipo BLOCK LENS 4400 lúmenes o similar</v>
          </cell>
          <cell r="C438" t="str">
            <v>Un</v>
          </cell>
          <cell r="E438">
            <v>572000</v>
          </cell>
        </row>
        <row r="439">
          <cell r="A439" t="str">
            <v>MAT,692</v>
          </cell>
          <cell r="B439" t="str">
            <v>Lámpara tipo BLOCK LENS 8000 lúmenes o similar</v>
          </cell>
          <cell r="C439" t="str">
            <v>Un</v>
          </cell>
          <cell r="E439">
            <v>776000</v>
          </cell>
        </row>
        <row r="440">
          <cell r="A440" t="str">
            <v>MAT,693</v>
          </cell>
          <cell r="B440" t="str">
            <v>Lámpara tipo CORAL LENS 6600 lúmenes o similar</v>
          </cell>
          <cell r="C440" t="str">
            <v>Un</v>
          </cell>
          <cell r="E440">
            <v>1354400</v>
          </cell>
        </row>
        <row r="441">
          <cell r="A441" t="str">
            <v>MAT,532</v>
          </cell>
          <cell r="B441" t="str">
            <v>Lavadero en resina de poliéster con tanque de 60 x 60 cm</v>
          </cell>
          <cell r="C441" t="str">
            <v>Un</v>
          </cell>
          <cell r="E441">
            <v>199900</v>
          </cell>
        </row>
        <row r="442">
          <cell r="A442" t="str">
            <v>MAT,210</v>
          </cell>
          <cell r="B442" t="str">
            <v>Lavadero prefabricado en granito pulido de 80 x 60 x 25 cm, incluye poceta con desagüe, tapón y rejilla</v>
          </cell>
          <cell r="C442" t="str">
            <v>Un</v>
          </cell>
          <cell r="E442">
            <v>327900</v>
          </cell>
        </row>
        <row r="443">
          <cell r="A443" t="str">
            <v>MAT,211</v>
          </cell>
          <cell r="B443" t="str">
            <v>Lavamanos tipo Acuacer beige de colgar (monosalida)</v>
          </cell>
          <cell r="C443" t="str">
            <v>Un</v>
          </cell>
          <cell r="E443">
            <v>83900</v>
          </cell>
        </row>
        <row r="444">
          <cell r="A444" t="str">
            <v>MAT,212</v>
          </cell>
          <cell r="B444" t="str">
            <v>Lavamanos tipo Acuacer beige de pedestal (monosalida)</v>
          </cell>
          <cell r="C444" t="str">
            <v>Un</v>
          </cell>
          <cell r="E444">
            <v>142800</v>
          </cell>
        </row>
        <row r="445">
          <cell r="A445" t="str">
            <v>MAT,213</v>
          </cell>
          <cell r="B445" t="str">
            <v>Lavamanos tipo Avanti de colgar blanco (monosalida)</v>
          </cell>
          <cell r="C445" t="str">
            <v>Un</v>
          </cell>
          <cell r="E445">
            <v>132900</v>
          </cell>
        </row>
        <row r="446">
          <cell r="A446" t="str">
            <v>MAT,214</v>
          </cell>
          <cell r="B446" t="str">
            <v>Lavamanos tipo Avanti de pedestal blanco para grifería de 4"</v>
          </cell>
          <cell r="C446" t="str">
            <v>Un</v>
          </cell>
          <cell r="E446">
            <v>139900</v>
          </cell>
        </row>
        <row r="447">
          <cell r="A447" t="str">
            <v>MAT,215</v>
          </cell>
          <cell r="B447" t="str">
            <v>Lavamanos tipo Happy blanco de colgar (monosalida)</v>
          </cell>
          <cell r="C447" t="str">
            <v>Un</v>
          </cell>
          <cell r="E447">
            <v>87900</v>
          </cell>
        </row>
        <row r="448">
          <cell r="A448" t="str">
            <v>MAT,216</v>
          </cell>
          <cell r="B448" t="str">
            <v>Lavamanos tipo Marsella blanco de sobreponer (monosalida)</v>
          </cell>
          <cell r="C448" t="str">
            <v>Un</v>
          </cell>
          <cell r="E448">
            <v>224900</v>
          </cell>
        </row>
        <row r="449">
          <cell r="A449" t="str">
            <v>MAT,217</v>
          </cell>
          <cell r="B449" t="str">
            <v>Lavaplatos en acero inoxidable de 0,4 x 0,6 m, básico de empotrar (monosalida)</v>
          </cell>
          <cell r="C449" t="str">
            <v>Un</v>
          </cell>
          <cell r="E449">
            <v>104900</v>
          </cell>
        </row>
        <row r="450">
          <cell r="A450" t="str">
            <v>MAT,218</v>
          </cell>
          <cell r="B450" t="str">
            <v>Lija de agua</v>
          </cell>
          <cell r="C450" t="str">
            <v>Un</v>
          </cell>
          <cell r="E450">
            <v>1700</v>
          </cell>
        </row>
        <row r="451">
          <cell r="A451" t="str">
            <v>MAT,219</v>
          </cell>
          <cell r="B451" t="str">
            <v>Lima plana con mango de 8"</v>
          </cell>
          <cell r="C451" t="str">
            <v>Un</v>
          </cell>
          <cell r="E451">
            <v>25900</v>
          </cell>
        </row>
        <row r="452">
          <cell r="A452" t="str">
            <v>MAT,220</v>
          </cell>
          <cell r="B452" t="str">
            <v>Limatesa, limahoya de fibrocemento</v>
          </cell>
          <cell r="C452" t="str">
            <v>M</v>
          </cell>
          <cell r="E452">
            <v>28000</v>
          </cell>
        </row>
        <row r="453">
          <cell r="A453" t="str">
            <v>MAT,782</v>
          </cell>
          <cell r="B453" t="str">
            <v>Limpiador final de obra</v>
          </cell>
          <cell r="C453" t="str">
            <v>Ml</v>
          </cell>
          <cell r="E453">
            <v>44</v>
          </cell>
        </row>
        <row r="454">
          <cell r="A454" t="str">
            <v>MAT,221</v>
          </cell>
          <cell r="B454" t="str">
            <v>Limpiador removedor PVC ¼</v>
          </cell>
          <cell r="C454" t="str">
            <v>Un</v>
          </cell>
          <cell r="E454">
            <v>46900</v>
          </cell>
        </row>
        <row r="455">
          <cell r="A455" t="str">
            <v>MAT,801</v>
          </cell>
          <cell r="B455" t="str">
            <v>Limpiavidrios</v>
          </cell>
          <cell r="C455" t="str">
            <v>Lt</v>
          </cell>
          <cell r="E455">
            <v>5500</v>
          </cell>
        </row>
        <row r="456">
          <cell r="A456" t="str">
            <v>MAT,376</v>
          </cell>
          <cell r="B456" t="str">
            <v>Listón en lámina de vinilo click ± h = 8 cm</v>
          </cell>
          <cell r="C456" t="str">
            <v>M</v>
          </cell>
          <cell r="E456">
            <v>3000</v>
          </cell>
        </row>
        <row r="457">
          <cell r="A457" t="str">
            <v>MAT,222</v>
          </cell>
          <cell r="B457" t="str">
            <v>Listón sajo de 5 x 3 cm x 2,5 m (varilla)</v>
          </cell>
          <cell r="C457" t="str">
            <v>M</v>
          </cell>
          <cell r="E457">
            <v>4704</v>
          </cell>
        </row>
        <row r="458">
          <cell r="A458" t="str">
            <v>MAT,225</v>
          </cell>
          <cell r="B458" t="str">
            <v>Llave de paso tipo Red White de ½" 200 PSI</v>
          </cell>
          <cell r="C458" t="str">
            <v>Un</v>
          </cell>
          <cell r="E458">
            <v>79900</v>
          </cell>
        </row>
        <row r="459">
          <cell r="A459" t="str">
            <v>MAT,223</v>
          </cell>
          <cell r="B459" t="str">
            <v>Llave de paso tipo Red White de 1 ½"</v>
          </cell>
          <cell r="C459" t="str">
            <v>Un</v>
          </cell>
          <cell r="E459">
            <v>285369</v>
          </cell>
        </row>
        <row r="460">
          <cell r="A460" t="str">
            <v>MAT,224</v>
          </cell>
          <cell r="B460" t="str">
            <v>Llave de paso tipo Red White de 1" 200 PSI</v>
          </cell>
          <cell r="C460" t="str">
            <v>Un</v>
          </cell>
          <cell r="E460">
            <v>109900</v>
          </cell>
        </row>
        <row r="461">
          <cell r="A461" t="str">
            <v>MAT,226</v>
          </cell>
          <cell r="B461" t="str">
            <v>Llave de paso tipo Red White de 2"</v>
          </cell>
          <cell r="C461" t="str">
            <v>Un</v>
          </cell>
          <cell r="E461">
            <v>460649</v>
          </cell>
        </row>
        <row r="462">
          <cell r="A462" t="str">
            <v>MAT,227</v>
          </cell>
          <cell r="B462" t="str">
            <v>Llave de paso tipo Red White de 3/4"</v>
          </cell>
          <cell r="C462" t="str">
            <v>Un</v>
          </cell>
          <cell r="E462">
            <v>111372</v>
          </cell>
        </row>
        <row r="463">
          <cell r="A463" t="str">
            <v>MAT,228</v>
          </cell>
          <cell r="B463" t="str">
            <v>Llave terminal cromada de ½"</v>
          </cell>
          <cell r="C463" t="str">
            <v>Un</v>
          </cell>
          <cell r="E463">
            <v>34900</v>
          </cell>
        </row>
        <row r="464">
          <cell r="A464" t="str">
            <v>MAT,229</v>
          </cell>
          <cell r="B464" t="str">
            <v>Llave terminal roscada de ½" pesada</v>
          </cell>
          <cell r="C464" t="str">
            <v>Un</v>
          </cell>
          <cell r="E464">
            <v>14960</v>
          </cell>
        </row>
        <row r="465">
          <cell r="A465" t="str">
            <v>MAT,013</v>
          </cell>
          <cell r="B465" t="str">
            <v>Loseta de concreto gris de 4,5 Mpa de 40 x 40 x 6 cm para línea de invidentes</v>
          </cell>
          <cell r="C465" t="str">
            <v>Un</v>
          </cell>
          <cell r="E465">
            <v>11900</v>
          </cell>
        </row>
        <row r="466">
          <cell r="A466" t="str">
            <v>MAT,230</v>
          </cell>
          <cell r="B466" t="str">
            <v>Loseta prefabricada gris A30 (Aprox. 400 x 400 x 60 mm)</v>
          </cell>
          <cell r="C466" t="str">
            <v>M2</v>
          </cell>
          <cell r="E466">
            <v>11900</v>
          </cell>
        </row>
        <row r="467">
          <cell r="A467" t="str">
            <v>MAT,695</v>
          </cell>
          <cell r="B467" t="str">
            <v>Luminaria led, micro plus de REARTO simétrico 85 W</v>
          </cell>
          <cell r="C467" t="str">
            <v>Un</v>
          </cell>
          <cell r="E467">
            <v>2780000</v>
          </cell>
        </row>
        <row r="468">
          <cell r="A468" t="str">
            <v>MAT,696</v>
          </cell>
          <cell r="B468" t="str">
            <v>Luminaria tipo TRIA LENS de sobre poner, 2 tubos led de 18 W ILTEC. Incluye 1,5 m de cable encauchetado</v>
          </cell>
          <cell r="C468" t="str">
            <v>Un</v>
          </cell>
          <cell r="E468">
            <v>398700</v>
          </cell>
        </row>
        <row r="469">
          <cell r="A469" t="str">
            <v>MAT,231</v>
          </cell>
          <cell r="B469" t="str">
            <v>Machete mínimo de 22"</v>
          </cell>
          <cell r="C469" t="str">
            <v>Un</v>
          </cell>
          <cell r="E469">
            <v>24900</v>
          </cell>
        </row>
        <row r="470">
          <cell r="A470" t="str">
            <v>MAT,232</v>
          </cell>
          <cell r="B470" t="str">
            <v>Malla con vena de 0,50 x 2,00 m C 24</v>
          </cell>
          <cell r="C470" t="str">
            <v>M2</v>
          </cell>
          <cell r="E470">
            <v>5100</v>
          </cell>
        </row>
        <row r="471">
          <cell r="A471" t="str">
            <v>MAT,233</v>
          </cell>
          <cell r="B471" t="str">
            <v>Malla de gallinero o hexagonal</v>
          </cell>
          <cell r="C471" t="str">
            <v>M2</v>
          </cell>
          <cell r="E471">
            <v>2276</v>
          </cell>
        </row>
        <row r="472">
          <cell r="A472" t="str">
            <v>MAT,235</v>
          </cell>
          <cell r="B472" t="str">
            <v>Malla electrosoldada ojo 0,15 x 0,15 m 6,00 x 2,35 m de 5 mm</v>
          </cell>
          <cell r="C472" t="str">
            <v>M2</v>
          </cell>
          <cell r="E472">
            <v>4992</v>
          </cell>
        </row>
        <row r="473">
          <cell r="A473" t="str">
            <v>MAT,237</v>
          </cell>
          <cell r="B473" t="str">
            <v>Malla eslabonada galvanizada calibre 13 ojo de 2 1/4” que cumpla con la norma 80 gramos de galvanizado/m2</v>
          </cell>
          <cell r="C473" t="str">
            <v>M2</v>
          </cell>
          <cell r="E473">
            <v>17717</v>
          </cell>
        </row>
        <row r="474">
          <cell r="A474" t="str">
            <v>MAT,236</v>
          </cell>
          <cell r="B474" t="str">
            <v>Malla gavión 1 x 1 x 1 C13 triple torsión</v>
          </cell>
          <cell r="C474" t="str">
            <v>Un</v>
          </cell>
          <cell r="E474">
            <v>72483</v>
          </cell>
        </row>
        <row r="475">
          <cell r="A475" t="str">
            <v>MAT,239</v>
          </cell>
          <cell r="B475" t="str">
            <v>Manija (asa) para puerta Ej. Mediana italiana cromada master</v>
          </cell>
          <cell r="C475" t="str">
            <v>Un</v>
          </cell>
          <cell r="E475">
            <v>17900</v>
          </cell>
        </row>
        <row r="476">
          <cell r="A476" t="str">
            <v>MAT,240</v>
          </cell>
          <cell r="B476" t="str">
            <v>Manto impermeabilizante con base en asfalto</v>
          </cell>
          <cell r="C476" t="str">
            <v>M2</v>
          </cell>
          <cell r="E476">
            <v>12990</v>
          </cell>
        </row>
        <row r="477">
          <cell r="A477" t="str">
            <v>MAT,241</v>
          </cell>
          <cell r="B477" t="str">
            <v>Marco metálico en lámina C 20 de 0,60 x 2,05 m, incluye anticorrosivo</v>
          </cell>
          <cell r="C477" t="str">
            <v>Un</v>
          </cell>
          <cell r="E477">
            <v>81503.760000000009</v>
          </cell>
        </row>
        <row r="478">
          <cell r="A478" t="str">
            <v>MAT,242</v>
          </cell>
          <cell r="B478" t="str">
            <v>Marco metálico en lámina C 20 de 0,80 x 2,05 m, incluye anticorrosivo</v>
          </cell>
          <cell r="C478" t="str">
            <v>Un</v>
          </cell>
          <cell r="E478">
            <v>91457.142000000007</v>
          </cell>
        </row>
        <row r="479">
          <cell r="A479" t="str">
            <v>MAT,243</v>
          </cell>
          <cell r="B479" t="str">
            <v>Marco metálico en lámina C 20 de 0,90 x 2,05 m, incluye anticorrosivo</v>
          </cell>
          <cell r="C479" t="str">
            <v>Un</v>
          </cell>
          <cell r="E479">
            <v>105189.882</v>
          </cell>
        </row>
        <row r="480">
          <cell r="A480" t="str">
            <v>MAT,244</v>
          </cell>
          <cell r="B480" t="str">
            <v>Marco metálico en lámina C 20 de 1 x 2,05 m, incluye anticorrosivo</v>
          </cell>
          <cell r="C480" t="str">
            <v>Un</v>
          </cell>
          <cell r="E480">
            <v>121122.144</v>
          </cell>
        </row>
        <row r="481">
          <cell r="A481" t="str">
            <v>MAT,245</v>
          </cell>
          <cell r="B481" t="str">
            <v>Marco metálico en lámina C 20 de 1,20 x 2,05 m, incluye anticorrosivo</v>
          </cell>
          <cell r="C481" t="str">
            <v>Un</v>
          </cell>
          <cell r="E481">
            <v>242000</v>
          </cell>
        </row>
        <row r="482">
          <cell r="A482" t="str">
            <v>MAT,779</v>
          </cell>
          <cell r="B482" t="str">
            <v>Marmolina café</v>
          </cell>
          <cell r="C482" t="str">
            <v>Bt</v>
          </cell>
          <cell r="E482">
            <v>11900</v>
          </cell>
        </row>
        <row r="483">
          <cell r="A483" t="str">
            <v>MAT,697</v>
          </cell>
          <cell r="B483" t="str">
            <v>Marquilla acrílica 15 x 30 mm</v>
          </cell>
          <cell r="C483" t="str">
            <v>Un</v>
          </cell>
          <cell r="E483">
            <v>3500</v>
          </cell>
        </row>
        <row r="484">
          <cell r="A484" t="str">
            <v>MAT,247</v>
          </cell>
          <cell r="B484" t="str">
            <v>Masilla topex joint</v>
          </cell>
          <cell r="C484" t="str">
            <v>Gl</v>
          </cell>
          <cell r="E484">
            <v>20900</v>
          </cell>
        </row>
        <row r="485">
          <cell r="A485" t="str">
            <v>MAT,251</v>
          </cell>
          <cell r="B485" t="str">
            <v>Material de base granular tipo Invías Clase A</v>
          </cell>
          <cell r="C485" t="str">
            <v>M3</v>
          </cell>
          <cell r="E485">
            <v>115000</v>
          </cell>
        </row>
        <row r="486">
          <cell r="A486" t="str">
            <v>MAT,643</v>
          </cell>
          <cell r="B486" t="str">
            <v>Material de peña (recebo) en cantera</v>
          </cell>
          <cell r="C486" t="str">
            <v>M3</v>
          </cell>
          <cell r="E486">
            <v>37368</v>
          </cell>
        </row>
        <row r="487">
          <cell r="A487" t="str">
            <v>MAT,249</v>
          </cell>
          <cell r="B487" t="str">
            <v xml:space="preserve">Material de sub-base granular tipo Invías Clase A </v>
          </cell>
          <cell r="C487" t="str">
            <v>M3</v>
          </cell>
          <cell r="E487">
            <v>118311</v>
          </cell>
        </row>
        <row r="488">
          <cell r="A488" t="str">
            <v>MAT,250</v>
          </cell>
          <cell r="B488" t="str">
            <v>Material granular seleccionado</v>
          </cell>
          <cell r="C488" t="str">
            <v>M3</v>
          </cell>
          <cell r="E488">
            <v>24990</v>
          </cell>
        </row>
        <row r="489">
          <cell r="A489" t="str">
            <v>MAT,252</v>
          </cell>
          <cell r="B489" t="str">
            <v>Material seleccionado para filtro</v>
          </cell>
          <cell r="C489" t="str">
            <v>M3</v>
          </cell>
          <cell r="E489">
            <v>68951.5</v>
          </cell>
        </row>
        <row r="490">
          <cell r="A490" t="str">
            <v>MAT,789</v>
          </cell>
          <cell r="B490" t="str">
            <v>Media caña PVC de 60 mm blanco para paredes, cielo raso o pisos terminados</v>
          </cell>
          <cell r="C490" t="str">
            <v>M</v>
          </cell>
          <cell r="E490">
            <v>19953.77049180328</v>
          </cell>
        </row>
        <row r="491">
          <cell r="A491" t="str">
            <v>MAT,790</v>
          </cell>
          <cell r="B491" t="str">
            <v>Media caña PVC de 90 mm blanco para pared liviana</v>
          </cell>
          <cell r="C491" t="str">
            <v>M</v>
          </cell>
          <cell r="E491">
            <v>23065</v>
          </cell>
        </row>
        <row r="492">
          <cell r="A492" t="str">
            <v>MAT,254</v>
          </cell>
          <cell r="B492" t="str">
            <v>Medidor de ½" volumétrico tipo "C"</v>
          </cell>
          <cell r="C492" t="str">
            <v>Un</v>
          </cell>
          <cell r="E492">
            <v>138126</v>
          </cell>
        </row>
        <row r="493">
          <cell r="A493" t="str">
            <v>MAT,253</v>
          </cell>
          <cell r="B493" t="str">
            <v>Medidor de 1" volumétrico tipo "B"</v>
          </cell>
          <cell r="C493" t="str">
            <v>Un</v>
          </cell>
          <cell r="E493">
            <v>556900</v>
          </cell>
        </row>
        <row r="494">
          <cell r="A494" t="str">
            <v>MAT,560</v>
          </cell>
          <cell r="B494" t="str">
            <v>Medidor de 3/4" volumétrico tipo "B"</v>
          </cell>
          <cell r="C494" t="str">
            <v>Un</v>
          </cell>
          <cell r="E494">
            <v>314900</v>
          </cell>
        </row>
        <row r="495">
          <cell r="A495" t="str">
            <v>MAT,698</v>
          </cell>
          <cell r="B495" t="str">
            <v>Medidor de energía electrónico bifásico trifilar, conexión directa, 15 a 60 A, 2 x 120/208 V neutro incorporado</v>
          </cell>
          <cell r="C495" t="str">
            <v>Un</v>
          </cell>
          <cell r="E495">
            <v>260000</v>
          </cell>
        </row>
        <row r="496">
          <cell r="A496" t="str">
            <v>MAT,699</v>
          </cell>
          <cell r="B496" t="str">
            <v>Medidor de energía trifilar 3 H, 240/120 V - 15/80 A</v>
          </cell>
          <cell r="C496" t="str">
            <v>Un</v>
          </cell>
          <cell r="E496">
            <v>300000</v>
          </cell>
        </row>
        <row r="497">
          <cell r="A497" t="str">
            <v>MAT,777</v>
          </cell>
          <cell r="B497" t="str">
            <v>Medidor ELSTER electrónico ACT + REACT clase 0.5 o similar</v>
          </cell>
          <cell r="C497" t="str">
            <v>Un</v>
          </cell>
          <cell r="E497">
            <v>1572000</v>
          </cell>
        </row>
        <row r="498">
          <cell r="A498" t="str">
            <v>MAT,255</v>
          </cell>
          <cell r="B498" t="str">
            <v>Mezcla asfáltica MDC 19 con asfalto normalizado 60/70</v>
          </cell>
          <cell r="C498" t="str">
            <v>M3</v>
          </cell>
          <cell r="E498">
            <v>857237</v>
          </cell>
        </row>
        <row r="499">
          <cell r="A499" t="str">
            <v>MAT,256</v>
          </cell>
          <cell r="B499" t="str">
            <v>Mezclador para lavaplatos 8"</v>
          </cell>
          <cell r="C499" t="str">
            <v>Un</v>
          </cell>
          <cell r="E499">
            <v>80900</v>
          </cell>
        </row>
        <row r="500">
          <cell r="A500" t="str">
            <v>MAT,499</v>
          </cell>
          <cell r="B500" t="str">
            <v>Microesferas reflectivas</v>
          </cell>
          <cell r="C500" t="str">
            <v>Kg</v>
          </cell>
          <cell r="E500">
            <v>10960</v>
          </cell>
        </row>
        <row r="501">
          <cell r="A501" t="str">
            <v>MAT,260</v>
          </cell>
          <cell r="B501" t="str">
            <v>Mortero para bloques de vidrio</v>
          </cell>
          <cell r="C501" t="str">
            <v>Kg</v>
          </cell>
          <cell r="E501">
            <v>4290</v>
          </cell>
        </row>
        <row r="502">
          <cell r="A502" t="str">
            <v>MAT,261</v>
          </cell>
          <cell r="B502" t="str">
            <v>Mueble inferior en fórmica para mesón cocineta h ± 0,90 m</v>
          </cell>
          <cell r="C502" t="str">
            <v>M</v>
          </cell>
          <cell r="E502">
            <v>349900</v>
          </cell>
        </row>
        <row r="503">
          <cell r="A503" t="str">
            <v>MAT,812</v>
          </cell>
          <cell r="B503" t="str">
            <v>Mulch orgánico</v>
          </cell>
          <cell r="C503" t="str">
            <v>Kg</v>
          </cell>
          <cell r="E503">
            <v>14300</v>
          </cell>
        </row>
        <row r="504">
          <cell r="A504" t="str">
            <v>MAT,700</v>
          </cell>
          <cell r="B504" t="str">
            <v>Multi-toma horizontal 12 salidas para gabinete</v>
          </cell>
          <cell r="C504" t="str">
            <v>Un</v>
          </cell>
          <cell r="E504">
            <v>370200</v>
          </cell>
        </row>
        <row r="505">
          <cell r="A505" t="str">
            <v>MAT,262</v>
          </cell>
          <cell r="B505" t="str">
            <v>Nave en madera triplex de 0,90 x 2,05 m, entamborada</v>
          </cell>
          <cell r="C505" t="str">
            <v>Un</v>
          </cell>
          <cell r="E505">
            <v>131900</v>
          </cell>
        </row>
        <row r="506">
          <cell r="A506" t="str">
            <v>MAT,263</v>
          </cell>
          <cell r="B506" t="str">
            <v>Nave metálica en lámina C 20 de 0,60 x 2,05 m, incluye anticorrosivo</v>
          </cell>
          <cell r="C506" t="str">
            <v>Un</v>
          </cell>
          <cell r="E506">
            <v>122900</v>
          </cell>
        </row>
        <row r="507">
          <cell r="A507" t="str">
            <v>MAT,264</v>
          </cell>
          <cell r="B507" t="str">
            <v>Nave metálica en lamina C 20 de 0,80 x 2,05 m, incluye anticorrosivo</v>
          </cell>
          <cell r="C507" t="str">
            <v>Un</v>
          </cell>
          <cell r="E507">
            <v>171685.2</v>
          </cell>
        </row>
        <row r="508">
          <cell r="A508" t="str">
            <v>MAT,265</v>
          </cell>
          <cell r="B508" t="str">
            <v>Nave metálica en lamina C 20 de 0,90 x 2,05 m, incluye anticorrosivo</v>
          </cell>
          <cell r="C508" t="str">
            <v>Un</v>
          </cell>
          <cell r="E508">
            <v>188397</v>
          </cell>
        </row>
        <row r="509">
          <cell r="A509" t="str">
            <v>MAT,266</v>
          </cell>
          <cell r="B509" t="str">
            <v>Nave metálica en lamina C 20 de 1 x 2,05 m, incluye anticorrosivo</v>
          </cell>
          <cell r="C509" t="str">
            <v>Un</v>
          </cell>
          <cell r="E509">
            <v>213828</v>
          </cell>
        </row>
        <row r="510">
          <cell r="A510" t="str">
            <v>MAT,267</v>
          </cell>
          <cell r="B510" t="str">
            <v>Niple de H G o PPR  ½" L ± 0,15 m</v>
          </cell>
          <cell r="C510" t="str">
            <v>Un</v>
          </cell>
          <cell r="E510">
            <v>1547</v>
          </cell>
        </row>
        <row r="511">
          <cell r="A511" t="str">
            <v>MAT,271</v>
          </cell>
          <cell r="B511" t="str">
            <v>Niple de H G o PPR 1 ¼" L ± 0.15 m</v>
          </cell>
          <cell r="C511" t="str">
            <v>Un</v>
          </cell>
          <cell r="E511">
            <v>4522</v>
          </cell>
        </row>
        <row r="512">
          <cell r="A512" t="str">
            <v>MAT,272</v>
          </cell>
          <cell r="B512" t="str">
            <v>Niple de H G o PPR 1 ½" L ± 0.15 m</v>
          </cell>
          <cell r="C512" t="str">
            <v>Un</v>
          </cell>
          <cell r="E512">
            <v>6545</v>
          </cell>
        </row>
        <row r="513">
          <cell r="A513" t="str">
            <v>MAT,270</v>
          </cell>
          <cell r="B513" t="str">
            <v>Niple de H G o PPR 1" L ± 0.15 m</v>
          </cell>
          <cell r="C513" t="str">
            <v>Un</v>
          </cell>
          <cell r="E513">
            <v>3094</v>
          </cell>
        </row>
        <row r="514">
          <cell r="A514" t="str">
            <v>MAT,510</v>
          </cell>
          <cell r="B514" t="str">
            <v>Niple de H G o PPR 2" L ± 0.15 m</v>
          </cell>
          <cell r="C514" t="str">
            <v>Un</v>
          </cell>
          <cell r="E514">
            <v>11305</v>
          </cell>
        </row>
        <row r="515">
          <cell r="A515" t="str">
            <v>MAT,167</v>
          </cell>
          <cell r="B515" t="str">
            <v>Niple de H G o PPR 3" L ± 0.15 m</v>
          </cell>
          <cell r="C515" t="str">
            <v>Un</v>
          </cell>
          <cell r="E515">
            <v>36771</v>
          </cell>
        </row>
        <row r="516">
          <cell r="A516" t="str">
            <v>MAT,268</v>
          </cell>
          <cell r="B516" t="str">
            <v>Niple de H G o PPR 3/4" L ± 0.15 m</v>
          </cell>
          <cell r="C516" t="str">
            <v>Un</v>
          </cell>
          <cell r="E516">
            <v>2142</v>
          </cell>
        </row>
        <row r="517">
          <cell r="A517" t="str">
            <v>MAT,273</v>
          </cell>
          <cell r="B517" t="str">
            <v>Omega en 63 liviana en 2,4</v>
          </cell>
          <cell r="C517" t="str">
            <v>Un</v>
          </cell>
          <cell r="E517">
            <v>10606</v>
          </cell>
        </row>
        <row r="518">
          <cell r="A518" t="str">
            <v>MAT,274</v>
          </cell>
          <cell r="B518" t="str">
            <v>Orinal Gotta antibacterial o similar con grifería push</v>
          </cell>
          <cell r="C518" t="str">
            <v>Un</v>
          </cell>
          <cell r="E518">
            <v>1172900</v>
          </cell>
        </row>
        <row r="519">
          <cell r="A519" t="str">
            <v>MAT,275</v>
          </cell>
          <cell r="B519" t="str">
            <v>Orinal mediano con grifería push anti vandálica</v>
          </cell>
          <cell r="C519" t="str">
            <v>Un</v>
          </cell>
          <cell r="E519">
            <v>477900</v>
          </cell>
        </row>
        <row r="520">
          <cell r="A520" t="str">
            <v>MAT,276</v>
          </cell>
          <cell r="B520" t="str">
            <v>Orinal tipo Institucional Arrecife o similar con válvula tipo push</v>
          </cell>
          <cell r="C520" t="str">
            <v>Un</v>
          </cell>
          <cell r="E520">
            <v>582900</v>
          </cell>
        </row>
        <row r="521">
          <cell r="A521" t="str">
            <v>MAT,809</v>
          </cell>
          <cell r="B521" t="str">
            <v>Orinal tipo Petite blanco en caja</v>
          </cell>
          <cell r="C521" t="str">
            <v>Un</v>
          </cell>
          <cell r="E521">
            <v>198900</v>
          </cell>
        </row>
        <row r="522">
          <cell r="A522" t="str">
            <v>MAT,808</v>
          </cell>
          <cell r="B522" t="str">
            <v>Orinal tipo Petite blanco en caja con grifería</v>
          </cell>
          <cell r="C522" t="str">
            <v>Un</v>
          </cell>
          <cell r="E522">
            <v>392249</v>
          </cell>
        </row>
        <row r="523">
          <cell r="A523" t="str">
            <v>MAT,701</v>
          </cell>
          <cell r="B523" t="str">
            <v>Pago derechos ante la empresa de energía por cortes, revisión, conexión y parametrización de medidores de energía (Siempre revisar norma CHEC/EEP)</v>
          </cell>
          <cell r="C523" t="str">
            <v>Un</v>
          </cell>
          <cell r="E523">
            <v>500000</v>
          </cell>
        </row>
        <row r="524">
          <cell r="A524" t="str">
            <v>MAT,702</v>
          </cell>
          <cell r="B524" t="str">
            <v>Pago tarifa disposición final</v>
          </cell>
          <cell r="C524" t="str">
            <v>$/Tn</v>
          </cell>
          <cell r="E524">
            <v>32943</v>
          </cell>
        </row>
        <row r="525">
          <cell r="A525" t="str">
            <v>MAT,277</v>
          </cell>
          <cell r="B525" t="str">
            <v>Pala redonda con cabo</v>
          </cell>
          <cell r="C525" t="str">
            <v>Un</v>
          </cell>
          <cell r="E525">
            <v>76900</v>
          </cell>
        </row>
        <row r="526">
          <cell r="A526" t="str">
            <v>MAT,278</v>
          </cell>
          <cell r="B526" t="str">
            <v>Paleta pare - siga en polietileno y texto reflectivo, de 45 cm</v>
          </cell>
          <cell r="C526" t="str">
            <v>Un</v>
          </cell>
          <cell r="E526">
            <v>55340</v>
          </cell>
        </row>
        <row r="527">
          <cell r="A527" t="str">
            <v>MAT,279</v>
          </cell>
          <cell r="B527" t="str">
            <v>Papel de colgadura a ± 0,50 m x 10 m, tejido gris o similar</v>
          </cell>
          <cell r="C527" t="str">
            <v>Rll</v>
          </cell>
          <cell r="E527">
            <v>144900</v>
          </cell>
        </row>
        <row r="528">
          <cell r="A528" t="str">
            <v>MAT,280</v>
          </cell>
          <cell r="B528" t="str">
            <v>Papelería, fotografías, fotocopias - rocerías</v>
          </cell>
          <cell r="C528" t="str">
            <v>Mes</v>
          </cell>
          <cell r="E528">
            <v>63997</v>
          </cell>
        </row>
        <row r="529">
          <cell r="A529" t="str">
            <v>MAT,281</v>
          </cell>
          <cell r="B529" t="str">
            <v>Par de botas lisa dieléctrico con puntera en acero de caucho, cinta amarilla, puntera y plantilla de acero</v>
          </cell>
          <cell r="C529" t="str">
            <v>Un</v>
          </cell>
          <cell r="E529">
            <v>169900</v>
          </cell>
        </row>
        <row r="530">
          <cell r="A530" t="str">
            <v>MAT,282</v>
          </cell>
          <cell r="B530" t="str">
            <v>Paral 59 en 2,4 m C 26</v>
          </cell>
          <cell r="C530" t="str">
            <v>Un</v>
          </cell>
          <cell r="E530">
            <v>6851</v>
          </cell>
        </row>
        <row r="531">
          <cell r="A531" t="str">
            <v>MAT,703</v>
          </cell>
          <cell r="B531" t="str">
            <v>Pararrayos polimérico 12 KV - 10 KA</v>
          </cell>
          <cell r="C531" t="str">
            <v>Un</v>
          </cell>
          <cell r="E531">
            <v>98600</v>
          </cell>
        </row>
        <row r="532">
          <cell r="A532" t="str">
            <v>MAT,283</v>
          </cell>
          <cell r="B532" t="str">
            <v>Pasador metálico de ± 3"</v>
          </cell>
          <cell r="C532" t="str">
            <v>Un</v>
          </cell>
          <cell r="E532">
            <v>30000</v>
          </cell>
        </row>
        <row r="533">
          <cell r="A533" t="str">
            <v>MAT,284</v>
          </cell>
          <cell r="B533" t="str">
            <v>Pasamanos con casita, escalera: casita y pasamanos en tubo de 1 ½", escalera en 1", la casita de 1.20 x 1.20 m, con piso en lámina y techo en fibra de vidrio anclado en concreto. Incluye anticorrosivo y pintura en esmalte para exteriores</v>
          </cell>
          <cell r="C533" t="str">
            <v>Un</v>
          </cell>
          <cell r="E533">
            <v>6711450</v>
          </cell>
        </row>
        <row r="534">
          <cell r="A534" t="str">
            <v>MAT,704</v>
          </cell>
          <cell r="B534" t="str">
            <v>Patch cord categoría 6A 5´ rojo</v>
          </cell>
          <cell r="C534" t="str">
            <v>Un</v>
          </cell>
          <cell r="E534">
            <v>18560</v>
          </cell>
        </row>
        <row r="535">
          <cell r="A535" t="str">
            <v>MAT,652</v>
          </cell>
          <cell r="B535" t="str">
            <v>Pegante papel colgadura</v>
          </cell>
          <cell r="C535" t="str">
            <v>Kg</v>
          </cell>
          <cell r="E535">
            <v>229000</v>
          </cell>
        </row>
        <row r="536">
          <cell r="A536" t="str">
            <v>MAT,667</v>
          </cell>
          <cell r="B536" t="str">
            <v>Percha para unidad sanitaria en polímero de alta ingeniería tipo Nogal, cromada</v>
          </cell>
          <cell r="C536" t="str">
            <v>Un</v>
          </cell>
          <cell r="E536">
            <v>25200</v>
          </cell>
        </row>
        <row r="537">
          <cell r="A537" t="str">
            <v>MAT,579</v>
          </cell>
          <cell r="B537" t="str">
            <v>Percha tipo pesada de un puesto</v>
          </cell>
          <cell r="C537" t="str">
            <v>Un</v>
          </cell>
          <cell r="E537">
            <v>10850</v>
          </cell>
        </row>
        <row r="538">
          <cell r="A538" t="str">
            <v>MAT,292</v>
          </cell>
          <cell r="B538" t="str">
            <v>Perfil aluminio anoloc ángulo L = 6 m</v>
          </cell>
          <cell r="C538" t="str">
            <v>Un</v>
          </cell>
          <cell r="E538">
            <v>14500</v>
          </cell>
        </row>
        <row r="539">
          <cell r="A539" t="str">
            <v>MAT,286</v>
          </cell>
          <cell r="B539" t="str">
            <v>Perfil aluminio anoloc T L = 6 m</v>
          </cell>
          <cell r="C539" t="str">
            <v>Un</v>
          </cell>
          <cell r="E539">
            <v>14500</v>
          </cell>
        </row>
        <row r="540">
          <cell r="A540" t="str">
            <v>MAT,287</v>
          </cell>
          <cell r="B540" t="str">
            <v>Perfil aluminio blanco ángulo L = 6 m</v>
          </cell>
          <cell r="C540" t="str">
            <v>Un</v>
          </cell>
          <cell r="E540">
            <v>20594</v>
          </cell>
        </row>
        <row r="541">
          <cell r="A541" t="str">
            <v>MAT,288</v>
          </cell>
          <cell r="B541" t="str">
            <v>Perfil aluminio blanco T L = 6 m</v>
          </cell>
          <cell r="C541" t="str">
            <v>Un</v>
          </cell>
          <cell r="E541">
            <v>14500</v>
          </cell>
        </row>
        <row r="542">
          <cell r="A542" t="str">
            <v>MAT,289</v>
          </cell>
          <cell r="B542" t="str">
            <v>Perfil aluminio natural ángulo L = 6 m</v>
          </cell>
          <cell r="C542" t="str">
            <v>Un</v>
          </cell>
          <cell r="E542">
            <v>15000</v>
          </cell>
        </row>
        <row r="543">
          <cell r="A543" t="str">
            <v>MAT,290</v>
          </cell>
          <cell r="B543" t="str">
            <v>Perfil aluminio natural T L = 6 m</v>
          </cell>
          <cell r="C543" t="str">
            <v>Un</v>
          </cell>
          <cell r="E543">
            <v>14000</v>
          </cell>
        </row>
        <row r="544">
          <cell r="A544" t="str">
            <v>MAT,549</v>
          </cell>
          <cell r="B544" t="str">
            <v>Perfil de fijación RCSN (galvanizado continuo) GS</v>
          </cell>
          <cell r="C544" t="str">
            <v>Pz</v>
          </cell>
          <cell r="E544">
            <v>91722</v>
          </cell>
        </row>
        <row r="545">
          <cell r="A545" t="str">
            <v>MAT,294</v>
          </cell>
          <cell r="B545" t="str">
            <v>Perlín promedio (0,12 x 0,6) C 16</v>
          </cell>
          <cell r="C545" t="str">
            <v>M</v>
          </cell>
          <cell r="E545">
            <v>24721</v>
          </cell>
        </row>
        <row r="546">
          <cell r="A546" t="str">
            <v>MAT,295</v>
          </cell>
          <cell r="B546" t="str">
            <v>Pica con cabo</v>
          </cell>
          <cell r="C546" t="str">
            <v>Un</v>
          </cell>
          <cell r="E546">
            <v>84900</v>
          </cell>
        </row>
        <row r="547">
          <cell r="A547" t="str">
            <v>MAT,296</v>
          </cell>
          <cell r="B547" t="str">
            <v>Piedra media songa</v>
          </cell>
          <cell r="C547" t="str">
            <v>M3</v>
          </cell>
          <cell r="E547">
            <v>72845</v>
          </cell>
        </row>
        <row r="548">
          <cell r="A548" t="str">
            <v>MAT,573</v>
          </cell>
          <cell r="B548" t="str">
            <v>Pin de corte bipolar 40 A 10 KA Luminex o similar</v>
          </cell>
          <cell r="C548" t="str">
            <v>Un</v>
          </cell>
          <cell r="E548">
            <v>67400</v>
          </cell>
        </row>
        <row r="549">
          <cell r="A549" t="str">
            <v>MAT,297</v>
          </cell>
          <cell r="B549" t="str">
            <v>Pintura acrílica para tráfico</v>
          </cell>
          <cell r="C549" t="str">
            <v>Gl</v>
          </cell>
          <cell r="E549">
            <v>156900</v>
          </cell>
        </row>
        <row r="550">
          <cell r="A550" t="str">
            <v>MAT,787</v>
          </cell>
          <cell r="B550" t="str">
            <v>Pintura epóxica base solvente para pisos y paredes</v>
          </cell>
          <cell r="C550" t="str">
            <v>Gl</v>
          </cell>
          <cell r="E550">
            <v>883960</v>
          </cell>
        </row>
        <row r="551">
          <cell r="A551" t="str">
            <v>MAT,298</v>
          </cell>
          <cell r="B551" t="str">
            <v>Pintura esmalte para exteriores</v>
          </cell>
          <cell r="C551" t="str">
            <v>Gl</v>
          </cell>
          <cell r="E551">
            <v>118900</v>
          </cell>
        </row>
        <row r="552">
          <cell r="A552" t="str">
            <v>MAT,299</v>
          </cell>
          <cell r="B552" t="str">
            <v>Pintura reflectiva de aluminio</v>
          </cell>
          <cell r="C552" t="str">
            <v>Kg</v>
          </cell>
          <cell r="E552">
            <v>63300</v>
          </cell>
        </row>
        <row r="553">
          <cell r="A553" t="str">
            <v>MAT,300</v>
          </cell>
          <cell r="B553" t="str">
            <v>Pintura texturizada hidrorepelente</v>
          </cell>
          <cell r="C553" t="str">
            <v>Gl</v>
          </cell>
          <cell r="E553">
            <v>116980</v>
          </cell>
        </row>
        <row r="554">
          <cell r="A554" t="str">
            <v>MAT,301</v>
          </cell>
          <cell r="B554" t="str">
            <v>Pintura transparente protectora de fachadas</v>
          </cell>
          <cell r="C554" t="str">
            <v>Kg</v>
          </cell>
          <cell r="E554">
            <v>15695</v>
          </cell>
        </row>
        <row r="555">
          <cell r="A555" t="str">
            <v>MAT,302</v>
          </cell>
          <cell r="B555" t="str">
            <v>Pintura verde óptico (tablero)</v>
          </cell>
          <cell r="C555" t="str">
            <v>Ml</v>
          </cell>
          <cell r="E555">
            <v>20.07</v>
          </cell>
        </row>
        <row r="556">
          <cell r="A556" t="str">
            <v>MAT,303</v>
          </cell>
          <cell r="B556" t="str">
            <v>Pintura vinilo para exteriores koraza o similar</v>
          </cell>
          <cell r="C556" t="str">
            <v>Gl</v>
          </cell>
          <cell r="E556">
            <v>115980</v>
          </cell>
        </row>
        <row r="557">
          <cell r="A557" t="str">
            <v>MAT,304</v>
          </cell>
          <cell r="B557" t="str">
            <v>Pintura vinilo tipo I ultralavable</v>
          </cell>
          <cell r="C557" t="str">
            <v>Gl</v>
          </cell>
          <cell r="E557">
            <v>91980</v>
          </cell>
        </row>
        <row r="558">
          <cell r="A558" t="str">
            <v>MAT,305</v>
          </cell>
          <cell r="B558" t="str">
            <v>Pintura vinilo tipo II</v>
          </cell>
          <cell r="C558" t="str">
            <v>Gl</v>
          </cell>
          <cell r="E558">
            <v>69900</v>
          </cell>
        </row>
        <row r="559">
          <cell r="A559" t="str">
            <v>MAT,306</v>
          </cell>
          <cell r="B559" t="str">
            <v>Pirlán de bronce</v>
          </cell>
          <cell r="C559" t="str">
            <v>M</v>
          </cell>
          <cell r="E559">
            <v>19960</v>
          </cell>
        </row>
        <row r="560">
          <cell r="A560" t="str">
            <v>MAT,340</v>
          </cell>
          <cell r="B560" t="str">
            <v>Piso en lámina de vinilo de ± 3 mm tráfico pesado</v>
          </cell>
          <cell r="C560" t="str">
            <v>M2</v>
          </cell>
          <cell r="E560">
            <v>49900</v>
          </cell>
        </row>
        <row r="561">
          <cell r="A561" t="str">
            <v>MAT,311</v>
          </cell>
          <cell r="B561" t="str">
            <v>Piso estilo cemento Habitat Zen de 46 x 46 cm gris o similar, tráfico medio</v>
          </cell>
          <cell r="C561" t="str">
            <v>M2</v>
          </cell>
          <cell r="E561">
            <v>37900</v>
          </cell>
        </row>
        <row r="562">
          <cell r="A562" t="str">
            <v>MAT,380</v>
          </cell>
          <cell r="B562" t="str">
            <v>Piso exterior mate color gris, de diseño rustico,  lavra o similar superficies menos deslizantes de ± 33.8 x 33.8 cm</v>
          </cell>
          <cell r="C562" t="str">
            <v>M2</v>
          </cell>
          <cell r="E562">
            <v>38400</v>
          </cell>
        </row>
        <row r="563">
          <cell r="A563" t="str">
            <v>MAT,783</v>
          </cell>
          <cell r="B563" t="str">
            <v>Piso Gran Terrazo dark de 40 x 60 cm, tipo Alfa o similar</v>
          </cell>
          <cell r="C563" t="str">
            <v>M2</v>
          </cell>
          <cell r="E563">
            <v>79260</v>
          </cell>
        </row>
        <row r="564">
          <cell r="A564" t="str">
            <v>MAT,524</v>
          </cell>
          <cell r="B564" t="str">
            <v>Piso grano tradicional blanco Huila BH5 de 30 x 30 cm, tipo Alfa o similar</v>
          </cell>
          <cell r="C564" t="str">
            <v>M2</v>
          </cell>
          <cell r="E564">
            <v>64871</v>
          </cell>
        </row>
        <row r="565">
          <cell r="A565" t="str">
            <v>MAT,307</v>
          </cell>
          <cell r="B565" t="str">
            <v>Piso porcelanato de 60 x 60 cm súper blanco brillante tránsito medio</v>
          </cell>
          <cell r="C565" t="str">
            <v>M2</v>
          </cell>
          <cell r="E565">
            <v>86999</v>
          </cell>
        </row>
        <row r="566">
          <cell r="A566" t="str">
            <v>MAT,309</v>
          </cell>
          <cell r="B566" t="str">
            <v>Piso Porto Muicolor de 45.8 x 45.8 cm o similar, tráfico semi-comercial</v>
          </cell>
          <cell r="C566" t="str">
            <v>M2</v>
          </cell>
          <cell r="E566">
            <v>31376</v>
          </cell>
        </row>
        <row r="567">
          <cell r="A567" t="str">
            <v>MAT,308</v>
          </cell>
          <cell r="B567" t="str">
            <v>Piso tipo Duropiso de 33,8 x 33,8 cm</v>
          </cell>
          <cell r="C567" t="str">
            <v>M2</v>
          </cell>
          <cell r="E567">
            <v>40313</v>
          </cell>
        </row>
        <row r="568">
          <cell r="A568" t="str">
            <v>MAT,046</v>
          </cell>
          <cell r="B568" t="str">
            <v xml:space="preserve">Piso tipo Payande Nº 5 de 30 x 30 cm, fondo gris, tipo Alfa o similar </v>
          </cell>
          <cell r="C568" t="str">
            <v>M2</v>
          </cell>
          <cell r="E568">
            <v>63579</v>
          </cell>
        </row>
        <row r="569">
          <cell r="A569" t="str">
            <v>MAT,310</v>
          </cell>
          <cell r="B569" t="str">
            <v>Piso vinílico antideslizante, tráfico alto e = 4 mm de aproximadamente 18 x 122 cm</v>
          </cell>
          <cell r="C569" t="str">
            <v>M2</v>
          </cell>
          <cell r="E569">
            <v>52400</v>
          </cell>
        </row>
        <row r="570">
          <cell r="A570" t="str">
            <v>MAT,706</v>
          </cell>
          <cell r="B570" t="str">
            <v>Planta de emergencia 100 KW-125 KVA PERKINS o similar</v>
          </cell>
          <cell r="C570" t="str">
            <v>Un</v>
          </cell>
          <cell r="E570">
            <v>154600000</v>
          </cell>
        </row>
        <row r="571">
          <cell r="A571" t="str">
            <v>MAT,805</v>
          </cell>
          <cell r="B571" t="str">
            <v>Plantillas y pegante (marcas viales)</v>
          </cell>
          <cell r="C571" t="str">
            <v>Un</v>
          </cell>
          <cell r="E571">
            <v>65900</v>
          </cell>
        </row>
        <row r="572">
          <cell r="A572" t="str">
            <v>MAT,312</v>
          </cell>
          <cell r="B572" t="str">
            <v>Plántula (nacedero, carey, leucaena, matarratón), altura promedio 0.25 m</v>
          </cell>
          <cell r="C572" t="str">
            <v>Un</v>
          </cell>
          <cell r="E572">
            <v>35000</v>
          </cell>
        </row>
        <row r="573">
          <cell r="A573" t="str">
            <v>MAT,803</v>
          </cell>
          <cell r="B573" t="str">
            <v>Plántula (vainillo, guayacán (varios colores), acacia, eucalipto, guadua, guamo, gualanday, chachafruto, cámbulo), altura promedio 0.25 m</v>
          </cell>
          <cell r="C573" t="str">
            <v>Un</v>
          </cell>
          <cell r="E573">
            <v>17500</v>
          </cell>
        </row>
        <row r="574">
          <cell r="A574" t="str">
            <v>MAT,313</v>
          </cell>
          <cell r="B574" t="str">
            <v>Plántula (vetiver, limoncillo, lirio y afines), altura promedio 0.25 m</v>
          </cell>
          <cell r="C574" t="str">
            <v>Un</v>
          </cell>
          <cell r="E574">
            <v>15000</v>
          </cell>
        </row>
        <row r="575">
          <cell r="A575" t="str">
            <v>MAT,314</v>
          </cell>
          <cell r="B575" t="str">
            <v>Plántula con especies diferentes guayacán, acacia, eucalipto, altura promedio 0.25</v>
          </cell>
          <cell r="C575" t="str">
            <v>Un</v>
          </cell>
          <cell r="E575">
            <v>17500</v>
          </cell>
        </row>
        <row r="576">
          <cell r="A576" t="str">
            <v>MAT,707</v>
          </cell>
          <cell r="B576" t="str">
            <v>Platina acanalada de armazón doble en U de 60 cm</v>
          </cell>
          <cell r="C576" t="str">
            <v>Un</v>
          </cell>
          <cell r="E576">
            <v>65450</v>
          </cell>
        </row>
        <row r="577">
          <cell r="A577" t="str">
            <v>MAT,318</v>
          </cell>
          <cell r="B577" t="str">
            <v>Platinas para claraboya</v>
          </cell>
          <cell r="C577" t="str">
            <v>Jg</v>
          </cell>
          <cell r="E577">
            <v>4800</v>
          </cell>
        </row>
        <row r="578">
          <cell r="A578" t="str">
            <v>MAT,507</v>
          </cell>
          <cell r="B578" t="str">
            <v>Polietileno negro C 4 a = 3 m</v>
          </cell>
          <cell r="C578" t="str">
            <v>M2</v>
          </cell>
          <cell r="E578">
            <v>1009</v>
          </cell>
        </row>
        <row r="579">
          <cell r="A579" t="str">
            <v>MAT,544</v>
          </cell>
          <cell r="B579" t="str">
            <v>Pomos de porcelana</v>
          </cell>
          <cell r="C579" t="str">
            <v>Par</v>
          </cell>
          <cell r="E579">
            <v>14900</v>
          </cell>
        </row>
        <row r="580">
          <cell r="A580" t="str">
            <v>MAT,666</v>
          </cell>
          <cell r="B580" t="str">
            <v>Porta rollo en polímero de alta ingeniería a ≥ 27 cm, cromado, incluye vástago plástico, tipo Nilo</v>
          </cell>
          <cell r="C580" t="str">
            <v>Un</v>
          </cell>
          <cell r="E580">
            <v>24900</v>
          </cell>
        </row>
        <row r="581">
          <cell r="A581" t="str">
            <v>MAT,708</v>
          </cell>
          <cell r="B581" t="str">
            <v>Poste de ferroconcreto 14 m x 750 kg</v>
          </cell>
          <cell r="C581" t="str">
            <v>Un</v>
          </cell>
          <cell r="E581">
            <v>1394900</v>
          </cell>
        </row>
        <row r="582">
          <cell r="A582" t="str">
            <v>MAT,322</v>
          </cell>
          <cell r="B582" t="str">
            <v>Poste de madera (estacón de 2,50 m diámetro ± 0,10 m inmunizado)</v>
          </cell>
          <cell r="C582" t="str">
            <v>Un</v>
          </cell>
          <cell r="E582">
            <v>48900</v>
          </cell>
        </row>
        <row r="583">
          <cell r="A583" t="str">
            <v>MAT,323</v>
          </cell>
          <cell r="B583" t="str">
            <v>Poste de madera para cerramiento ± l = 2,50 m Ø ± 9 cm, inmunizado</v>
          </cell>
          <cell r="C583" t="str">
            <v>Un</v>
          </cell>
          <cell r="E583">
            <v>48900</v>
          </cell>
        </row>
        <row r="584">
          <cell r="A584" t="str">
            <v>MAT,324</v>
          </cell>
          <cell r="B584" t="str">
            <v>Poste en ángulo de ± 2 x 2 x 1/8" de 3,5 m (completo)</v>
          </cell>
          <cell r="C584" t="str">
            <v>Un</v>
          </cell>
          <cell r="E584">
            <v>94900</v>
          </cell>
        </row>
        <row r="585">
          <cell r="A585" t="str">
            <v>MAT,709</v>
          </cell>
          <cell r="B585" t="str">
            <v>Poste metálico de 6 m alumbrado público tipo MEGABUS</v>
          </cell>
          <cell r="C585" t="str">
            <v>M</v>
          </cell>
          <cell r="E585">
            <v>2356000</v>
          </cell>
        </row>
        <row r="586">
          <cell r="A586" t="str">
            <v>MAT,326</v>
          </cell>
          <cell r="B586" t="str">
            <v>Poste para cerramiento en concreto 3,00 m</v>
          </cell>
          <cell r="C586" t="str">
            <v>Un</v>
          </cell>
          <cell r="E586">
            <v>55980</v>
          </cell>
        </row>
        <row r="587">
          <cell r="A587" t="str">
            <v>MAT,328</v>
          </cell>
          <cell r="B587" t="str">
            <v>Postes para defensa metálica (1.80 m) 6 mm, galvanizado (incluye tornillos)</v>
          </cell>
          <cell r="C587" t="str">
            <v>Un</v>
          </cell>
          <cell r="E587">
            <v>207600</v>
          </cell>
        </row>
        <row r="588">
          <cell r="A588" t="str">
            <v>MAT,329</v>
          </cell>
          <cell r="B588" t="str">
            <v>Prado kikuyo</v>
          </cell>
          <cell r="C588" t="str">
            <v>M2</v>
          </cell>
          <cell r="E588">
            <v>16000</v>
          </cell>
        </row>
        <row r="589">
          <cell r="A589" t="str">
            <v>MAT,330</v>
          </cell>
          <cell r="B589" t="str">
            <v>Prado trenza</v>
          </cell>
          <cell r="C589" t="str">
            <v>M2</v>
          </cell>
          <cell r="E589">
            <v>16000</v>
          </cell>
        </row>
        <row r="590">
          <cell r="A590" t="str">
            <v>MAT,581</v>
          </cell>
          <cell r="B590" t="str">
            <v>Proyector Indulux BC redondo con cofre de 250 W MH, reactor 208/220/240V o similar. Incluye bombillo</v>
          </cell>
          <cell r="C590" t="str">
            <v>Un</v>
          </cell>
          <cell r="E590">
            <v>2529900</v>
          </cell>
        </row>
        <row r="591">
          <cell r="A591" t="str">
            <v>MAT,710</v>
          </cell>
          <cell r="B591" t="str">
            <v>Proyector led tipo RGB 10800 lúmenes</v>
          </cell>
          <cell r="C591" t="str">
            <v>Un</v>
          </cell>
          <cell r="E591">
            <v>3567000</v>
          </cell>
        </row>
        <row r="592">
          <cell r="A592" t="str">
            <v>MAT,582</v>
          </cell>
          <cell r="B592" t="str">
            <v>Proyector RRA 400W MH incluye bombillo</v>
          </cell>
          <cell r="C592" t="str">
            <v>Un</v>
          </cell>
          <cell r="E592">
            <v>85600</v>
          </cell>
        </row>
        <row r="593">
          <cell r="A593" t="str">
            <v>MAT,711</v>
          </cell>
          <cell r="B593" t="str">
            <v>Puerta para división en lámina doble C 20 h = 1,60 m, incluye anticorrosivo</v>
          </cell>
          <cell r="C593" t="str">
            <v>M2</v>
          </cell>
          <cell r="E593">
            <v>399630.00000000006</v>
          </cell>
        </row>
        <row r="594">
          <cell r="A594" t="str">
            <v>MAT,712</v>
          </cell>
          <cell r="B594" t="str">
            <v>Punta de captación de aluminio ø 5/8" x 60 cm</v>
          </cell>
          <cell r="C594" t="str">
            <v>Un</v>
          </cell>
          <cell r="E594">
            <v>88100</v>
          </cell>
        </row>
        <row r="595">
          <cell r="A595" t="str">
            <v>MAT,333</v>
          </cell>
          <cell r="B595" t="str">
            <v>Puntilla (promedio)</v>
          </cell>
          <cell r="C595" t="str">
            <v>Lb</v>
          </cell>
          <cell r="E595">
            <v>5650</v>
          </cell>
        </row>
        <row r="596">
          <cell r="A596" t="str">
            <v>MAT,334</v>
          </cell>
          <cell r="B596" t="str">
            <v>Puntilla de 3"</v>
          </cell>
          <cell r="C596" t="str">
            <v>Lb</v>
          </cell>
          <cell r="E596">
            <v>5100</v>
          </cell>
        </row>
        <row r="597">
          <cell r="A597" t="str">
            <v>MAT,713</v>
          </cell>
          <cell r="B597" t="str">
            <v>Rack vertical cerrado QUEST o similar 2.1 m x 22,5" x 24"</v>
          </cell>
          <cell r="C597" t="str">
            <v>Un</v>
          </cell>
          <cell r="E597">
            <v>2469000</v>
          </cell>
        </row>
        <row r="598">
          <cell r="A598" t="str">
            <v>MAT,337</v>
          </cell>
          <cell r="B598" t="str">
            <v>Regadera corriente (tipo Grival)</v>
          </cell>
          <cell r="C598" t="str">
            <v>Un</v>
          </cell>
          <cell r="E598">
            <v>29900</v>
          </cell>
        </row>
        <row r="599">
          <cell r="A599" t="str">
            <v>MAT,336</v>
          </cell>
          <cell r="B599" t="str">
            <v>Regadera mezclador tipo rival (Balta Dalia)</v>
          </cell>
          <cell r="C599" t="str">
            <v>Un</v>
          </cell>
          <cell r="E599">
            <v>152900</v>
          </cell>
        </row>
        <row r="600">
          <cell r="A600" t="str">
            <v>MAT,338</v>
          </cell>
          <cell r="B600" t="str">
            <v>Registro de corte de ½" antifraude</v>
          </cell>
          <cell r="C600" t="str">
            <v>Un</v>
          </cell>
          <cell r="E600">
            <v>23562</v>
          </cell>
        </row>
        <row r="601">
          <cell r="A601" t="str">
            <v>MAT,339</v>
          </cell>
          <cell r="B601" t="str">
            <v>Registro de incorporación de ½"</v>
          </cell>
          <cell r="C601" t="str">
            <v>Un</v>
          </cell>
          <cell r="E601">
            <v>23900</v>
          </cell>
        </row>
        <row r="602">
          <cell r="A602" t="str">
            <v>MAT,714</v>
          </cell>
          <cell r="B602" t="str">
            <v>Regleta SIEMON S-66 25 pares con soportes o similar</v>
          </cell>
          <cell r="C602" t="str">
            <v>Un</v>
          </cell>
          <cell r="E602">
            <v>46100</v>
          </cell>
        </row>
        <row r="603">
          <cell r="A603" t="str">
            <v>MAT,715</v>
          </cell>
          <cell r="B603" t="str">
            <v>Reja para sumidero de 50 x 70 cm y ángulo de 2 x 2 x ¼" incluye anticorrosivo y pintura</v>
          </cell>
          <cell r="C603" t="str">
            <v>Un</v>
          </cell>
          <cell r="E603">
            <v>534310</v>
          </cell>
        </row>
        <row r="604">
          <cell r="A604" t="str">
            <v>MAT,341</v>
          </cell>
          <cell r="B604" t="str">
            <v>Rejilla para piso corriente de 3" x 2" aluminio / bronce</v>
          </cell>
          <cell r="C604" t="str">
            <v>Un</v>
          </cell>
          <cell r="E604">
            <v>53900</v>
          </cell>
        </row>
        <row r="605">
          <cell r="A605" t="str">
            <v>MAT,342</v>
          </cell>
          <cell r="B605" t="str">
            <v>Remache de aluminio</v>
          </cell>
          <cell r="C605" t="str">
            <v>Un</v>
          </cell>
          <cell r="E605">
            <v>329</v>
          </cell>
        </row>
        <row r="606">
          <cell r="A606" t="str">
            <v>MAT,594</v>
          </cell>
          <cell r="B606" t="str">
            <v>Riel tipo channel/unistrut perforado 4 x 2"</v>
          </cell>
          <cell r="C606" t="str">
            <v>M</v>
          </cell>
          <cell r="E606">
            <v>7900</v>
          </cell>
        </row>
        <row r="607">
          <cell r="A607" t="str">
            <v>MAT,716</v>
          </cell>
          <cell r="B607" t="str">
            <v>Router WIFI 300 MBPS - 183 M</v>
          </cell>
          <cell r="C607" t="str">
            <v>Un</v>
          </cell>
          <cell r="E607">
            <v>114000</v>
          </cell>
        </row>
        <row r="608">
          <cell r="A608" t="str">
            <v>MAT,343</v>
          </cell>
          <cell r="B608" t="str">
            <v>Sanitario infantil bicolor incluye grifería</v>
          </cell>
          <cell r="C608" t="str">
            <v>Un</v>
          </cell>
          <cell r="E608">
            <v>628900</v>
          </cell>
        </row>
        <row r="609">
          <cell r="A609" t="str">
            <v>MAT,653</v>
          </cell>
          <cell r="B609" t="str">
            <v>Sanitario One Piece Solare blanco tipo Corona</v>
          </cell>
          <cell r="C609" t="str">
            <v>Un</v>
          </cell>
          <cell r="E609">
            <v>245000</v>
          </cell>
        </row>
        <row r="610">
          <cell r="A610" t="str">
            <v>MAT,344</v>
          </cell>
          <cell r="B610" t="str">
            <v>Sanitario tipo Acuaplus blanco</v>
          </cell>
          <cell r="C610" t="str">
            <v>Un</v>
          </cell>
          <cell r="E610">
            <v>247900</v>
          </cell>
        </row>
        <row r="611">
          <cell r="A611" t="str">
            <v>MAT,345</v>
          </cell>
          <cell r="B611" t="str">
            <v>Sanitario tipo Avanti Plus</v>
          </cell>
          <cell r="C611" t="str">
            <v>Un</v>
          </cell>
          <cell r="E611">
            <v>296900</v>
          </cell>
        </row>
        <row r="612">
          <cell r="A612" t="str">
            <v>MAT,346</v>
          </cell>
          <cell r="B612" t="str">
            <v>Sardinel prefabricado A80 (800 x 200 x 350 mm)</v>
          </cell>
          <cell r="C612" t="str">
            <v>Un</v>
          </cell>
          <cell r="E612">
            <v>39900</v>
          </cell>
        </row>
        <row r="613">
          <cell r="A613" t="str">
            <v>MAT,347</v>
          </cell>
          <cell r="B613" t="str">
            <v>Seguro para puerta en lámina</v>
          </cell>
          <cell r="C613" t="str">
            <v>Un</v>
          </cell>
          <cell r="E613">
            <v>39900</v>
          </cell>
        </row>
        <row r="614">
          <cell r="A614" t="str">
            <v>MAT,741</v>
          </cell>
          <cell r="B614" t="str">
            <v>Sellador acrílico base solvente transparente, semimate</v>
          </cell>
          <cell r="C614" t="str">
            <v>Lt</v>
          </cell>
          <cell r="E614">
            <v>32000</v>
          </cell>
        </row>
        <row r="615">
          <cell r="A615" t="str">
            <v>MAT,804</v>
          </cell>
          <cell r="B615" t="str">
            <v>Semilla de grama clima templado</v>
          </cell>
          <cell r="C615" t="str">
            <v>Lb</v>
          </cell>
          <cell r="E615">
            <v>32400</v>
          </cell>
        </row>
        <row r="616">
          <cell r="A616" t="str">
            <v>MAT,813</v>
          </cell>
          <cell r="B616" t="str">
            <v>Semilla para empradizar</v>
          </cell>
          <cell r="C616" t="str">
            <v>Kg</v>
          </cell>
          <cell r="E616">
            <v>59300</v>
          </cell>
        </row>
        <row r="617">
          <cell r="A617" t="str">
            <v>MAT,348</v>
          </cell>
          <cell r="B617" t="str">
            <v>Señal (grupo 1). Tablero en lámina galvanizada de 75 cm x 75 cm, calibre 16 reflectivo tipo III</v>
          </cell>
          <cell r="C617" t="str">
            <v>Un</v>
          </cell>
          <cell r="E617">
            <v>313200</v>
          </cell>
        </row>
        <row r="618">
          <cell r="A618" t="str">
            <v>MAT,349</v>
          </cell>
          <cell r="B618" t="str">
            <v>Señal (grupo 2). Tablero en lámina galvanizada de 1.2 m x 0.4 m, calibre16, reflectivo tipo III</v>
          </cell>
          <cell r="C618" t="str">
            <v>Un</v>
          </cell>
          <cell r="E618">
            <v>344600</v>
          </cell>
        </row>
        <row r="619">
          <cell r="A619" t="str">
            <v>MAT,350</v>
          </cell>
          <cell r="B619" t="str">
            <v>Señal vertical completa con cinta reflectiva, mástil de 0,90 m</v>
          </cell>
          <cell r="C619" t="str">
            <v>Un</v>
          </cell>
          <cell r="E619">
            <v>198000</v>
          </cell>
        </row>
        <row r="620">
          <cell r="A620" t="str">
            <v>MAT,351</v>
          </cell>
          <cell r="B620" t="str">
            <v>Señalizador tubular de 1 m (2 líneas de cinta)</v>
          </cell>
          <cell r="C620" t="str">
            <v>Un</v>
          </cell>
          <cell r="E620">
            <v>44400</v>
          </cell>
        </row>
        <row r="621">
          <cell r="A621" t="str">
            <v>MAT,352</v>
          </cell>
          <cell r="B621" t="str">
            <v>Separador plástico para bloques de vidrio</v>
          </cell>
          <cell r="C621" t="str">
            <v>Un</v>
          </cell>
          <cell r="E621">
            <v>1081</v>
          </cell>
        </row>
        <row r="622">
          <cell r="A622" t="str">
            <v>MAT,190</v>
          </cell>
          <cell r="B622" t="str">
            <v>Sikaflex 401 pavenent SL o similar (autonivelante)</v>
          </cell>
          <cell r="C622" t="str">
            <v>Gl</v>
          </cell>
          <cell r="E622">
            <v>459900</v>
          </cell>
        </row>
        <row r="623">
          <cell r="A623" t="str">
            <v>MAT,815</v>
          </cell>
          <cell r="B623" t="str">
            <v>Sikagrout-212 o similar bulto x 30 Kg (relleno de nivelación con área &gt; 1.5 m2 y e entre 5 y 12 cm</v>
          </cell>
          <cell r="C623" t="str">
            <v>Kg</v>
          </cell>
          <cell r="E623">
            <v>6430</v>
          </cell>
        </row>
        <row r="624">
          <cell r="A624" t="str">
            <v>MAT,355</v>
          </cell>
          <cell r="B624" t="str">
            <v xml:space="preserve">Sikarod 6 -10 mm de diámetro </v>
          </cell>
          <cell r="C624" t="str">
            <v>M</v>
          </cell>
          <cell r="E624">
            <v>1097</v>
          </cell>
        </row>
        <row r="625">
          <cell r="A625" t="str">
            <v>MAT,246</v>
          </cell>
          <cell r="B625" t="str">
            <v>Silicona antihongos sello vidrio transparente (Masilla para vidrios)</v>
          </cell>
          <cell r="C625" t="str">
            <v>M</v>
          </cell>
          <cell r="E625">
            <v>88.928571428571431</v>
          </cell>
        </row>
        <row r="626">
          <cell r="A626" t="str">
            <v>MAT,356</v>
          </cell>
          <cell r="B626" t="str">
            <v>Silicona transparente sellador de vidrios</v>
          </cell>
          <cell r="C626" t="str">
            <v>M</v>
          </cell>
          <cell r="E626">
            <v>79.666666666666671</v>
          </cell>
        </row>
        <row r="627">
          <cell r="A627" t="str">
            <v>MAT,357</v>
          </cell>
          <cell r="B627" t="str">
            <v>Silla Yee PVC de pared estructural 400 x 160</v>
          </cell>
          <cell r="C627" t="str">
            <v>Un</v>
          </cell>
          <cell r="E627">
            <v>331900</v>
          </cell>
        </row>
        <row r="628">
          <cell r="A628" t="str">
            <v>MAT,358</v>
          </cell>
          <cell r="B628" t="str">
            <v>Silla Yee PVC de pared estructural 450 x 160</v>
          </cell>
          <cell r="C628" t="str">
            <v>Un</v>
          </cell>
          <cell r="E628">
            <v>354900</v>
          </cell>
        </row>
        <row r="629">
          <cell r="A629" t="str">
            <v>MAT,359</v>
          </cell>
          <cell r="B629" t="str">
            <v>Silla Yee PVC de pared estructural 500 x 160</v>
          </cell>
          <cell r="C629" t="str">
            <v>Un</v>
          </cell>
          <cell r="E629">
            <v>252335</v>
          </cell>
        </row>
        <row r="630">
          <cell r="A630" t="str">
            <v>MAT,360</v>
          </cell>
          <cell r="B630" t="str">
            <v>Sistema séptico Integrado horizontal 4000 litros subterráneo</v>
          </cell>
          <cell r="C630" t="str">
            <v>Un</v>
          </cell>
          <cell r="E630">
            <v>5607900</v>
          </cell>
        </row>
        <row r="631">
          <cell r="A631" t="str">
            <v>MAT,361</v>
          </cell>
          <cell r="B631" t="str">
            <v xml:space="preserve">Soldadura 6013 </v>
          </cell>
          <cell r="C631" t="str">
            <v>Kg</v>
          </cell>
          <cell r="E631">
            <v>25900</v>
          </cell>
        </row>
        <row r="632">
          <cell r="A632" t="str">
            <v>MAT,718</v>
          </cell>
          <cell r="B632" t="str">
            <v>Soldadura CADWELD promedio</v>
          </cell>
          <cell r="C632" t="str">
            <v>Un</v>
          </cell>
          <cell r="E632">
            <v>18850</v>
          </cell>
        </row>
        <row r="633">
          <cell r="A633" t="str">
            <v>MAT,505</v>
          </cell>
          <cell r="B633" t="str">
            <v>Soldadura Color PVC de Pavco o similar</v>
          </cell>
          <cell r="C633" t="str">
            <v>Gl</v>
          </cell>
          <cell r="E633">
            <v>399200</v>
          </cell>
        </row>
        <row r="634">
          <cell r="A634" t="str">
            <v>MAT,362</v>
          </cell>
          <cell r="B634" t="str">
            <v>Soldadura CPVC líquida para agua caliente ¼</v>
          </cell>
          <cell r="C634" t="str">
            <v>Un</v>
          </cell>
          <cell r="E634">
            <v>104900</v>
          </cell>
        </row>
        <row r="635">
          <cell r="A635" t="str">
            <v>MAT,587</v>
          </cell>
          <cell r="B635" t="str">
            <v>Soldadura exotérmica 115 gr</v>
          </cell>
          <cell r="C635" t="str">
            <v>Un</v>
          </cell>
          <cell r="E635">
            <v>18850</v>
          </cell>
        </row>
        <row r="636">
          <cell r="A636" t="str">
            <v>MAT,508</v>
          </cell>
          <cell r="B636" t="str">
            <v>Soldadura para hierro estructural</v>
          </cell>
          <cell r="C636" t="str">
            <v>Kg</v>
          </cell>
          <cell r="E636">
            <v>15580</v>
          </cell>
        </row>
        <row r="637">
          <cell r="A637" t="str">
            <v>MAT,364</v>
          </cell>
          <cell r="B637" t="str">
            <v>Soldadura PVC (¼ galón)</v>
          </cell>
          <cell r="C637" t="str">
            <v>Un</v>
          </cell>
          <cell r="E637">
            <v>80900</v>
          </cell>
        </row>
        <row r="638">
          <cell r="A638" t="str">
            <v>MAT,539</v>
          </cell>
          <cell r="B638" t="str">
            <v xml:space="preserve">Soporte bajante PVC </v>
          </cell>
          <cell r="C638" t="str">
            <v>Un</v>
          </cell>
          <cell r="E638">
            <v>2900</v>
          </cell>
        </row>
        <row r="639">
          <cell r="A639" t="str">
            <v>MAT,719</v>
          </cell>
          <cell r="B639" t="str">
            <v>Soporte colgante bandeja porta cable tipo canasta CABLOFIL  de 200 mm</v>
          </cell>
          <cell r="C639" t="str">
            <v>Un</v>
          </cell>
          <cell r="E639">
            <v>13774.25</v>
          </cell>
        </row>
        <row r="640">
          <cell r="A640" t="str">
            <v>MAT,720</v>
          </cell>
          <cell r="B640" t="str">
            <v>Soporte metálico de sujeción de cable a alambrón OBB</v>
          </cell>
          <cell r="C640" t="str">
            <v>Un</v>
          </cell>
          <cell r="E640">
            <v>42300</v>
          </cell>
        </row>
        <row r="641">
          <cell r="A641" t="str">
            <v>MAT,597</v>
          </cell>
          <cell r="B641" t="str">
            <v>Soporte para alambrón de 8 mm tipo Snap</v>
          </cell>
          <cell r="C641" t="str">
            <v>Un</v>
          </cell>
          <cell r="E641">
            <v>3500</v>
          </cell>
        </row>
        <row r="642">
          <cell r="A642" t="str">
            <v>MAT,500</v>
          </cell>
          <cell r="B642" t="str">
            <v>Steeldeck, C 22 0,94 x 5,60 m e = 0,75 mm, perfil e = 1,5 mm 90 x 130 mm l = 6 m</v>
          </cell>
          <cell r="C642" t="str">
            <v>M2</v>
          </cell>
          <cell r="E642">
            <v>61431</v>
          </cell>
        </row>
        <row r="643">
          <cell r="A643" t="str">
            <v>MAT,721</v>
          </cell>
          <cell r="B643" t="str">
            <v>Suministro UPS 3ø 10 kva, 208/120 V</v>
          </cell>
          <cell r="C643" t="str">
            <v>Un</v>
          </cell>
          <cell r="E643">
            <v>18750000</v>
          </cell>
        </row>
        <row r="644">
          <cell r="A644" t="str">
            <v>MAT,368</v>
          </cell>
          <cell r="B644" t="str">
            <v>Tabla para formaleta de 1" x 10" x 2,9 m</v>
          </cell>
          <cell r="C644" t="str">
            <v>M</v>
          </cell>
          <cell r="E644">
            <v>10591</v>
          </cell>
        </row>
        <row r="645">
          <cell r="A645" t="str">
            <v>MAT,722</v>
          </cell>
          <cell r="B645" t="str">
            <v xml:space="preserve">TABLERO BIFASICO CU/AL 125A 240V TQ-CP- 12 </v>
          </cell>
          <cell r="C645" t="str">
            <v>Un</v>
          </cell>
          <cell r="E645">
            <v>163490</v>
          </cell>
        </row>
        <row r="646">
          <cell r="A646" t="str">
            <v>MAT,723</v>
          </cell>
          <cell r="B646" t="str">
            <v>Tablero Trifásico HomeLine NTQT 12 cto 200A 240V totalizador puerta</v>
          </cell>
          <cell r="C646" t="str">
            <v>Un</v>
          </cell>
          <cell r="E646">
            <v>349900</v>
          </cell>
        </row>
        <row r="647">
          <cell r="A647" t="str">
            <v>MAT,724</v>
          </cell>
          <cell r="B647" t="str">
            <v>Tablero Trifásico 18 Circuitos Totalizador Ntqt-418 Sq</v>
          </cell>
          <cell r="C647" t="str">
            <v>Un</v>
          </cell>
          <cell r="E647">
            <v>499900</v>
          </cell>
        </row>
        <row r="648">
          <cell r="A648" t="str">
            <v>MAT,725</v>
          </cell>
          <cell r="B648" t="str">
            <v>Tablero Trifásico 30 Circuitos Totalizador NTQ-430-SQ</v>
          </cell>
          <cell r="C648" t="str">
            <v>Un</v>
          </cell>
          <cell r="E648">
            <v>599000</v>
          </cell>
        </row>
        <row r="649">
          <cell r="A649" t="str">
            <v>MAT,726</v>
          </cell>
          <cell r="B649" t="str">
            <v>Tablero Trifásico HomeLine NTQT 36 cto 200A 240V totalizador puerta</v>
          </cell>
          <cell r="C649" t="str">
            <v>Un</v>
          </cell>
          <cell r="E649">
            <v>649900</v>
          </cell>
        </row>
        <row r="650">
          <cell r="A650" t="str">
            <v>MAT,727</v>
          </cell>
          <cell r="B650" t="str">
            <v>Tablero Trifásico 42 Circuitos Totalizador NTQ-442-SQ</v>
          </cell>
          <cell r="C650" t="str">
            <v>Un</v>
          </cell>
          <cell r="E650">
            <v>699900</v>
          </cell>
        </row>
        <row r="651">
          <cell r="A651" t="str">
            <v>MAT,625</v>
          </cell>
          <cell r="B651" t="str">
            <v>Tablero bifásico 4 circuitos con barraje de 75 A, barras de neutro y tierra.  Ref VTQ-4M-SQ marca Schneider Electric o similar</v>
          </cell>
          <cell r="C651" t="str">
            <v>Un</v>
          </cell>
          <cell r="E651">
            <v>46750</v>
          </cell>
        </row>
        <row r="652">
          <cell r="A652" t="str">
            <v>MAT,379</v>
          </cell>
          <cell r="B652" t="str">
            <v>Tablero bifásico 8 circuitos con barraje de 125 A, barras de neutro y tierra, puerta y chapa. Ref TQ-CP-8-SQ marca Schneider Electric o similar</v>
          </cell>
          <cell r="C652" t="str">
            <v>Un</v>
          </cell>
          <cell r="E652">
            <v>136290</v>
          </cell>
        </row>
        <row r="653">
          <cell r="A653" t="str">
            <v>MAT,562</v>
          </cell>
          <cell r="B653" t="str">
            <v>Tablero de baloncesto acrílico, de 1,20 x 1,80 m, C 10 mm, incluye aro y malla</v>
          </cell>
          <cell r="C653" t="str">
            <v>Un</v>
          </cell>
          <cell r="E653">
            <v>803620</v>
          </cell>
        </row>
        <row r="654">
          <cell r="A654" t="str">
            <v>MAT,561</v>
          </cell>
          <cell r="B654" t="str">
            <v>Tablero melamínico de ± 2,40 x 1,80 m, base en MDF de ± 15 mm, para marcador seco, incluye ticero en madera, instalado</v>
          </cell>
          <cell r="C654" t="str">
            <v>Un</v>
          </cell>
          <cell r="E654">
            <v>331370</v>
          </cell>
        </row>
        <row r="655">
          <cell r="A655" t="str">
            <v>MAT,633</v>
          </cell>
          <cell r="B655" t="str">
            <v>Tablero monofásico 6 circuitos con barraje de 75 A, barras de neutro y tierra. Ref VTQ-6-SQ marca Schneider Electric o similar</v>
          </cell>
          <cell r="C655" t="str">
            <v>Un</v>
          </cell>
          <cell r="E655">
            <v>99900</v>
          </cell>
        </row>
        <row r="656">
          <cell r="A656" t="str">
            <v>MAT,728</v>
          </cell>
          <cell r="B656" t="str">
            <v>Tablero PHILIPS DYNALITE y controlador 2 RELES-DALI o similar</v>
          </cell>
          <cell r="C656" t="str">
            <v>Un</v>
          </cell>
          <cell r="E656">
            <v>12340000</v>
          </cell>
        </row>
        <row r="657">
          <cell r="A657" t="str">
            <v>MAT,623</v>
          </cell>
          <cell r="B657" t="str">
            <v>Tablero trifásico 12 circuitos con barraje de 200 A, barras de neutro y tierra. Puerta y chapa. Ref NTQ-412-SQ marca Schneider Electric o similar</v>
          </cell>
          <cell r="C657" t="str">
            <v>Un</v>
          </cell>
          <cell r="E657">
            <v>302900</v>
          </cell>
        </row>
        <row r="658">
          <cell r="A658" t="str">
            <v>MAT,621</v>
          </cell>
          <cell r="B658" t="str">
            <v>Tablero trifásico 18 circuitos NTQ-418-SQ, con barraje de 200 A, barra de neutro, barra de tierra, puerta y chapa. Marca Schneider Electric o similar</v>
          </cell>
          <cell r="C658" t="str">
            <v>Un</v>
          </cell>
          <cell r="E658">
            <v>499900</v>
          </cell>
        </row>
        <row r="659">
          <cell r="A659" t="str">
            <v>MAT,620</v>
          </cell>
          <cell r="B659" t="str">
            <v>Tablero trifásico 24 circuitos con barraje de 200 A, barras de neutro y tierra, puerta y chapa. Ref NTQ-424-SQ marca Schneider Electric o similar</v>
          </cell>
          <cell r="C659" t="str">
            <v>Un</v>
          </cell>
          <cell r="E659">
            <v>499900</v>
          </cell>
        </row>
        <row r="660">
          <cell r="A660" t="str">
            <v>MAT,729</v>
          </cell>
          <cell r="B660" t="str">
            <v>Tablet 7" 16 GB</v>
          </cell>
          <cell r="C660" t="str">
            <v>Un</v>
          </cell>
          <cell r="E660">
            <v>344999</v>
          </cell>
        </row>
        <row r="661">
          <cell r="A661" t="str">
            <v>MAT,374</v>
          </cell>
          <cell r="B661" t="str">
            <v>Tablón tipo Túnez de 0,15 x 0,15 m</v>
          </cell>
          <cell r="C661" t="str">
            <v>M2</v>
          </cell>
          <cell r="E661">
            <v>35900</v>
          </cell>
        </row>
        <row r="662">
          <cell r="A662" t="str">
            <v>MAT,375</v>
          </cell>
          <cell r="B662" t="str">
            <v>Tablilla fina para piso (chanú)</v>
          </cell>
          <cell r="C662" t="str">
            <v>M2</v>
          </cell>
          <cell r="E662">
            <v>87921</v>
          </cell>
        </row>
        <row r="663">
          <cell r="A663" t="str">
            <v>MAT,377</v>
          </cell>
          <cell r="B663" t="str">
            <v>Tablón de 0,20 x 0,20 m rojo</v>
          </cell>
          <cell r="C663" t="str">
            <v>M2</v>
          </cell>
          <cell r="E663">
            <v>10500</v>
          </cell>
        </row>
        <row r="664">
          <cell r="A664" t="str">
            <v>MAT,381</v>
          </cell>
          <cell r="B664" t="str">
            <v>Tacha reflectiva uni o bidireccional</v>
          </cell>
          <cell r="C664" t="str">
            <v>Un</v>
          </cell>
          <cell r="E664">
            <v>5600</v>
          </cell>
        </row>
        <row r="665">
          <cell r="A665" t="str">
            <v>MAT,382</v>
          </cell>
          <cell r="B665" t="str">
            <v>Tachón en resina 0,4 x 0,15 x 0,08 m</v>
          </cell>
          <cell r="C665" t="str">
            <v>Un</v>
          </cell>
          <cell r="E665">
            <v>37200</v>
          </cell>
        </row>
        <row r="666">
          <cell r="A666" t="str">
            <v>MAT,383</v>
          </cell>
          <cell r="B666" t="str">
            <v>Tanque para agua plástico de 1000 lt completo</v>
          </cell>
          <cell r="C666" t="str">
            <v>Un</v>
          </cell>
          <cell r="E666">
            <v>536900</v>
          </cell>
        </row>
        <row r="667">
          <cell r="A667" t="str">
            <v>MAT,384</v>
          </cell>
          <cell r="B667" t="str">
            <v>Tanque para agua plástico de 250 lt completo</v>
          </cell>
          <cell r="C667" t="str">
            <v>Un</v>
          </cell>
          <cell r="E667">
            <v>198900</v>
          </cell>
        </row>
        <row r="668">
          <cell r="A668" t="str">
            <v>MAT,385</v>
          </cell>
          <cell r="B668" t="str">
            <v>Tanque para agua plástico de 500 lt completo</v>
          </cell>
          <cell r="C668" t="str">
            <v>Un</v>
          </cell>
          <cell r="E668">
            <v>273900</v>
          </cell>
        </row>
        <row r="669">
          <cell r="A669" t="str">
            <v>MAT,591</v>
          </cell>
          <cell r="B669" t="str">
            <v>Tapa metálica 4 x 4" para caja radwell</v>
          </cell>
          <cell r="C669" t="str">
            <v>Un</v>
          </cell>
          <cell r="E669">
            <v>3550</v>
          </cell>
        </row>
        <row r="670">
          <cell r="A670" t="str">
            <v>MAT,386</v>
          </cell>
          <cell r="B670" t="str">
            <v>Tapa para cámara, incluye aro de 70 cm, fabricada en polietileno de alta densidad. Medidas aro: diámetro 93 cm, alto 20 cm, peso Aprox. 26.4 kg, medidas tapa: diámetro 70 cm, alto 20 cm, peso aprox 33 kg. Resistencia por prueba de laboratorio de ruptura y flexión: 18 toneladas por decímetro cuadrado</v>
          </cell>
          <cell r="C670" t="str">
            <v>Un</v>
          </cell>
          <cell r="E670">
            <v>791900</v>
          </cell>
        </row>
        <row r="671">
          <cell r="A671" t="str">
            <v>MAT,387</v>
          </cell>
          <cell r="B671" t="str">
            <v>Tapa plástica de registro de 0,20 x 0,20 m</v>
          </cell>
          <cell r="C671" t="str">
            <v>Un</v>
          </cell>
          <cell r="E671">
            <v>20900</v>
          </cell>
        </row>
        <row r="672">
          <cell r="A672" t="str">
            <v>MAT,388</v>
          </cell>
          <cell r="B672" t="str">
            <v>Tapaporos referencia 7203 o similar</v>
          </cell>
          <cell r="C672" t="str">
            <v>Gl</v>
          </cell>
          <cell r="E672">
            <v>108900</v>
          </cell>
        </row>
        <row r="673">
          <cell r="A673" t="str">
            <v>MAT,798</v>
          </cell>
          <cell r="B673" t="str">
            <v>Tapón tubería galvanizada para cerramiento de 2"</v>
          </cell>
          <cell r="C673" t="str">
            <v>Un</v>
          </cell>
          <cell r="E673">
            <v>18000</v>
          </cell>
        </row>
        <row r="674">
          <cell r="A674" t="str">
            <v>MAT,389</v>
          </cell>
          <cell r="B674" t="str">
            <v>Tee de HG 2"</v>
          </cell>
          <cell r="C674" t="str">
            <v>Un</v>
          </cell>
          <cell r="E674">
            <v>37180</v>
          </cell>
        </row>
        <row r="675">
          <cell r="A675" t="str">
            <v>MAT,390</v>
          </cell>
          <cell r="B675" t="str">
            <v>Tee de HG 3"</v>
          </cell>
          <cell r="C675" t="str">
            <v>Un</v>
          </cell>
          <cell r="E675">
            <v>98200</v>
          </cell>
        </row>
        <row r="676">
          <cell r="A676" t="str">
            <v>MAT,563</v>
          </cell>
          <cell r="B676" t="str">
            <v>Teja española de fibrocemento</v>
          </cell>
          <cell r="C676" t="str">
            <v>M2</v>
          </cell>
          <cell r="E676">
            <v>61409</v>
          </cell>
        </row>
        <row r="677">
          <cell r="A677" t="str">
            <v>MAT,574</v>
          </cell>
          <cell r="B677" t="str">
            <v>Teja metálica aluzinc pintada 4 C 28 roja (tipo Techolum Plus RAL 9002)</v>
          </cell>
          <cell r="C677" t="str">
            <v>M2</v>
          </cell>
          <cell r="E677">
            <v>29706</v>
          </cell>
        </row>
        <row r="678">
          <cell r="A678" t="str">
            <v>MAT,497</v>
          </cell>
          <cell r="B678" t="str">
            <v>Teja ondulada de fibrocemento Nº 6</v>
          </cell>
          <cell r="C678" t="str">
            <v>M2</v>
          </cell>
          <cell r="E678">
            <v>21319</v>
          </cell>
        </row>
        <row r="679">
          <cell r="A679" t="str">
            <v>MAT,392</v>
          </cell>
          <cell r="B679" t="str">
            <v>Teja ondulada transparente policarbonato perfil 7 de 2.44 x 0.92m x 0.7mm (útil 0,74 x 2,29 m)</v>
          </cell>
          <cell r="C679" t="str">
            <v>M2</v>
          </cell>
          <cell r="E679">
            <v>18397</v>
          </cell>
        </row>
        <row r="680">
          <cell r="A680" t="str">
            <v>MAT,391</v>
          </cell>
          <cell r="B680" t="str">
            <v>Teja S de barro ± l = 0,46 m a = 0,285 m</v>
          </cell>
          <cell r="C680" t="str">
            <v>Un</v>
          </cell>
          <cell r="E680">
            <v>4900</v>
          </cell>
        </row>
        <row r="681">
          <cell r="A681" t="str">
            <v>MAT,393</v>
          </cell>
          <cell r="B681" t="str">
            <v>Teja termoacústica UPVC 2,5 mm, azul, roja, verde o blanca</v>
          </cell>
          <cell r="C681" t="str">
            <v>M2</v>
          </cell>
          <cell r="E681">
            <v>58394</v>
          </cell>
        </row>
        <row r="682">
          <cell r="A682" t="str">
            <v>MAT,166</v>
          </cell>
          <cell r="B682" t="str">
            <v>Teja zinc ondulada ± 2,13 x 0,80 m C 34</v>
          </cell>
          <cell r="C682" t="str">
            <v>M2</v>
          </cell>
          <cell r="E682">
            <v>13767</v>
          </cell>
        </row>
        <row r="683">
          <cell r="A683" t="str">
            <v>MAT,394</v>
          </cell>
          <cell r="B683" t="str">
            <v>Tela de cerramiento a = 2,10 m (rollo por 100 m)</v>
          </cell>
          <cell r="C683" t="str">
            <v>M2</v>
          </cell>
          <cell r="E683">
            <v>1418</v>
          </cell>
        </row>
        <row r="684">
          <cell r="A684" t="str">
            <v>MAT,395</v>
          </cell>
          <cell r="B684" t="str">
            <v>Tela para protección de edificios</v>
          </cell>
          <cell r="C684" t="str">
            <v>M2</v>
          </cell>
          <cell r="E684">
            <v>1724</v>
          </cell>
        </row>
        <row r="685">
          <cell r="A685" t="str">
            <v>MAT,730</v>
          </cell>
          <cell r="B685" t="str">
            <v>Terminal compresión cable 1/0 AMP AWG</v>
          </cell>
          <cell r="C685" t="str">
            <v>Un</v>
          </cell>
          <cell r="E685">
            <v>15650</v>
          </cell>
        </row>
        <row r="686">
          <cell r="A686" t="str">
            <v>MAT,731</v>
          </cell>
          <cell r="B686" t="str">
            <v>Terminal compresión cable 6 AMP AWG</v>
          </cell>
          <cell r="C686" t="str">
            <v>Un</v>
          </cell>
          <cell r="E686">
            <v>1100</v>
          </cell>
        </row>
        <row r="687">
          <cell r="A687" t="str">
            <v>MAT,732</v>
          </cell>
          <cell r="B687" t="str">
            <v>Terminal conduit EMT 1 ½"</v>
          </cell>
          <cell r="C687" t="str">
            <v>Un</v>
          </cell>
          <cell r="E687">
            <v>2600</v>
          </cell>
        </row>
        <row r="688">
          <cell r="A688" t="str">
            <v>MAT,733</v>
          </cell>
          <cell r="B688" t="str">
            <v>Terminal conduit EMT 1"</v>
          </cell>
          <cell r="C688" t="str">
            <v>Un</v>
          </cell>
          <cell r="E688">
            <v>1500</v>
          </cell>
        </row>
        <row r="689">
          <cell r="A689" t="str">
            <v>MAT,734</v>
          </cell>
          <cell r="B689" t="str">
            <v>Terminal conduit EMT 3/4"</v>
          </cell>
          <cell r="C689" t="str">
            <v>Un</v>
          </cell>
          <cell r="E689">
            <v>1150</v>
          </cell>
        </row>
        <row r="690">
          <cell r="A690" t="str">
            <v>MAT,397</v>
          </cell>
          <cell r="B690" t="str">
            <v>Tierra no vegetal</v>
          </cell>
          <cell r="C690" t="str">
            <v>M3</v>
          </cell>
          <cell r="E690">
            <v>93750</v>
          </cell>
        </row>
        <row r="691">
          <cell r="A691" t="str">
            <v>MAT,398</v>
          </cell>
          <cell r="B691" t="str">
            <v>Tierra vegetal</v>
          </cell>
          <cell r="C691" t="str">
            <v>M3</v>
          </cell>
          <cell r="E691">
            <v>93750</v>
          </cell>
        </row>
        <row r="692">
          <cell r="A692" t="str">
            <v>MAT,664</v>
          </cell>
          <cell r="B692" t="str">
            <v>Toallero de barra cromado a ≥ 47 cm, fácil click</v>
          </cell>
          <cell r="C692" t="str">
            <v>Un</v>
          </cell>
          <cell r="E692">
            <v>31800</v>
          </cell>
        </row>
        <row r="693">
          <cell r="A693" t="str">
            <v>MAT,663</v>
          </cell>
          <cell r="B693" t="str">
            <v>Toallero en polímero de alta ingeniería cromado, de argolla tipo Valencia, fácil click</v>
          </cell>
          <cell r="C693" t="str">
            <v>Un</v>
          </cell>
          <cell r="E693">
            <v>39900</v>
          </cell>
        </row>
        <row r="694">
          <cell r="A694" t="str">
            <v>MAT,735</v>
          </cell>
          <cell r="B694" t="str">
            <v>Toma coaxial Luminex AMBIA REFRESH o similar</v>
          </cell>
          <cell r="C694" t="str">
            <v>Un</v>
          </cell>
          <cell r="E694">
            <v>6150</v>
          </cell>
        </row>
        <row r="695">
          <cell r="A695" t="str">
            <v>MAT,611</v>
          </cell>
          <cell r="B695" t="str">
            <v>Toma corriente doble con polo a tierra, marca Luminex o similar</v>
          </cell>
          <cell r="C695" t="str">
            <v>Un</v>
          </cell>
          <cell r="E695">
            <v>6100</v>
          </cell>
        </row>
        <row r="696">
          <cell r="A696" t="str">
            <v>MAT,605</v>
          </cell>
          <cell r="B696" t="str">
            <v>Toma corriente doble tipo GFCI, marca Luminex o similar</v>
          </cell>
          <cell r="C696" t="str">
            <v>Un</v>
          </cell>
          <cell r="E696">
            <v>33150</v>
          </cell>
        </row>
        <row r="697">
          <cell r="A697" t="str">
            <v>MAT,736</v>
          </cell>
          <cell r="B697" t="str">
            <v>Toma doble polo a tierra aislada LEVITON NEMA 5 - 15 o similar</v>
          </cell>
          <cell r="C697" t="str">
            <v>Un</v>
          </cell>
          <cell r="E697">
            <v>22750</v>
          </cell>
        </row>
        <row r="698">
          <cell r="A698" t="str">
            <v>MAT,737</v>
          </cell>
          <cell r="B698" t="str">
            <v>Toma doble polo a tierra GFCI Luminex AMBIA REFRESH o similar</v>
          </cell>
          <cell r="C698" t="str">
            <v>Un</v>
          </cell>
          <cell r="E698">
            <v>33150</v>
          </cell>
        </row>
        <row r="699">
          <cell r="A699" t="str">
            <v>MAT,738</v>
          </cell>
          <cell r="B699" t="str">
            <v>Toma doble polo a tierra LEVITON 20 A o similar</v>
          </cell>
          <cell r="C699" t="str">
            <v>Un</v>
          </cell>
          <cell r="E699">
            <v>6100</v>
          </cell>
        </row>
        <row r="700">
          <cell r="A700" t="str">
            <v>MAT,739</v>
          </cell>
          <cell r="B700" t="str">
            <v>Toma doble polo a tierra Luminex AMBIA REFRESH</v>
          </cell>
          <cell r="C700" t="str">
            <v>Un</v>
          </cell>
          <cell r="E700">
            <v>6100</v>
          </cell>
        </row>
        <row r="701">
          <cell r="A701" t="str">
            <v>MAT,740</v>
          </cell>
          <cell r="B701" t="str">
            <v>Toma industrial de sobre poner 3 F, N, T 63A</v>
          </cell>
          <cell r="C701" t="str">
            <v>Un</v>
          </cell>
          <cell r="E701">
            <v>193000</v>
          </cell>
        </row>
        <row r="702">
          <cell r="A702" t="str">
            <v>MAT,602</v>
          </cell>
          <cell r="B702" t="str">
            <v>Toma sencilla de incrustar 20 A 250 V 2F Turnlock</v>
          </cell>
          <cell r="C702" t="str">
            <v>Un</v>
          </cell>
          <cell r="E702">
            <v>49990</v>
          </cell>
        </row>
        <row r="703">
          <cell r="A703" t="str">
            <v>MAT,511</v>
          </cell>
          <cell r="B703" t="str">
            <v>Tope para puerta (caucho - resorte)</v>
          </cell>
          <cell r="C703" t="str">
            <v>Un</v>
          </cell>
          <cell r="E703">
            <v>6900</v>
          </cell>
        </row>
        <row r="704">
          <cell r="A704" t="str">
            <v>MAT,405</v>
          </cell>
          <cell r="B704" t="str">
            <v>Tornillo autoperforante 8/18" x ½" zinc hexágono metal tecks</v>
          </cell>
          <cell r="C704" t="str">
            <v>Un</v>
          </cell>
          <cell r="E704">
            <v>8033.333333333333</v>
          </cell>
        </row>
        <row r="705">
          <cell r="A705" t="str">
            <v>MAT,583</v>
          </cell>
          <cell r="B705" t="str">
            <v>Tornillo de carriaje de 5/8" x 2", incluye tuerca, arandela plana y de presión</v>
          </cell>
          <cell r="C705" t="str">
            <v>Un</v>
          </cell>
          <cell r="E705">
            <v>1800</v>
          </cell>
        </row>
        <row r="706">
          <cell r="A706" t="str">
            <v>MAT,406</v>
          </cell>
          <cell r="B706" t="str">
            <v>Tornillo drywall 6 x 1"</v>
          </cell>
          <cell r="C706" t="str">
            <v>Un</v>
          </cell>
          <cell r="E706">
            <v>4165</v>
          </cell>
        </row>
        <row r="707">
          <cell r="A707" t="str">
            <v>MAT,742</v>
          </cell>
          <cell r="B707" t="str">
            <v>Tornillo espaciador 5/8" x 14"</v>
          </cell>
          <cell r="C707" t="str">
            <v>Un</v>
          </cell>
          <cell r="E707">
            <v>7500</v>
          </cell>
        </row>
        <row r="708">
          <cell r="A708" t="str">
            <v>MAT,407</v>
          </cell>
          <cell r="B708" t="str">
            <v>Tornillo estructura drywall 8 x 1/2"</v>
          </cell>
          <cell r="C708" t="str">
            <v>Un</v>
          </cell>
          <cell r="E708">
            <v>86</v>
          </cell>
        </row>
        <row r="709">
          <cell r="A709" t="str">
            <v>MAT,743</v>
          </cell>
          <cell r="B709" t="str">
            <v>Tornillo máquina ½" x 1 ½"</v>
          </cell>
          <cell r="C709" t="str">
            <v>Un</v>
          </cell>
          <cell r="E709">
            <v>1500</v>
          </cell>
        </row>
        <row r="710">
          <cell r="A710" t="str">
            <v>MAT,744</v>
          </cell>
          <cell r="B710" t="str">
            <v>Tornillo máquina 3/4" x 2"</v>
          </cell>
          <cell r="C710" t="str">
            <v>Un</v>
          </cell>
          <cell r="E710">
            <v>1300</v>
          </cell>
        </row>
        <row r="711">
          <cell r="A711" t="str">
            <v>MAT,745</v>
          </cell>
          <cell r="B711" t="str">
            <v>Tornillo máquina 5/8" x 2"</v>
          </cell>
          <cell r="C711" t="str">
            <v>Un</v>
          </cell>
          <cell r="E711">
            <v>1750</v>
          </cell>
        </row>
        <row r="712">
          <cell r="A712" t="str">
            <v>MAT,409</v>
          </cell>
          <cell r="B712" t="str">
            <v>Trampa de grasa 250 lt</v>
          </cell>
          <cell r="C712" t="str">
            <v>Un</v>
          </cell>
          <cell r="E712">
            <v>284900</v>
          </cell>
        </row>
        <row r="713">
          <cell r="A713" t="str">
            <v>MAT,746</v>
          </cell>
          <cell r="B713" t="str">
            <v>Transformador 3ø 150 KVA, 13.2 Kv, 214/123 V</v>
          </cell>
          <cell r="C713" t="str">
            <v>Un</v>
          </cell>
          <cell r="E713">
            <v>22038885</v>
          </cell>
        </row>
        <row r="714">
          <cell r="A714" t="str">
            <v>MAT,747</v>
          </cell>
          <cell r="B714" t="str">
            <v>Transformador de corriente 15 Kv, 5A uso exterior</v>
          </cell>
          <cell r="C714" t="str">
            <v>Un</v>
          </cell>
          <cell r="E714">
            <v>3400000</v>
          </cell>
        </row>
        <row r="715">
          <cell r="A715" t="str">
            <v>MAT,748</v>
          </cell>
          <cell r="B715" t="str">
            <v>Transformador de potencia 15 Kv/120v uso exterior</v>
          </cell>
          <cell r="C715" t="str">
            <v>Un</v>
          </cell>
          <cell r="E715">
            <v>4472000</v>
          </cell>
        </row>
        <row r="716">
          <cell r="A716" t="str">
            <v>MAT,410</v>
          </cell>
          <cell r="B716" t="str">
            <v>Triturado 3/4" para concreto</v>
          </cell>
          <cell r="C716" t="str">
            <v>M3</v>
          </cell>
          <cell r="E716">
            <v>74972.5</v>
          </cell>
        </row>
        <row r="717">
          <cell r="A717" t="str">
            <v>MAT,751</v>
          </cell>
          <cell r="B717" t="str">
            <v>Tubería conduit EMT ½"</v>
          </cell>
          <cell r="C717" t="str">
            <v>M</v>
          </cell>
          <cell r="E717">
            <v>6600</v>
          </cell>
        </row>
        <row r="718">
          <cell r="A718" t="str">
            <v>MAT,749</v>
          </cell>
          <cell r="B718" t="str">
            <v>Tubería conduit EMT 1 ½"</v>
          </cell>
          <cell r="C718" t="str">
            <v>M</v>
          </cell>
          <cell r="E718">
            <v>24100</v>
          </cell>
        </row>
        <row r="719">
          <cell r="A719" t="str">
            <v>MAT,750</v>
          </cell>
          <cell r="B719" t="str">
            <v>Tubería conduit EMT 1"</v>
          </cell>
          <cell r="C719" t="str">
            <v>M</v>
          </cell>
          <cell r="E719">
            <v>13283.333333333334</v>
          </cell>
        </row>
        <row r="720">
          <cell r="A720" t="str">
            <v>MAT,752</v>
          </cell>
          <cell r="B720" t="str">
            <v>Tubería conduit EMT 2"</v>
          </cell>
          <cell r="C720" t="str">
            <v>M</v>
          </cell>
          <cell r="E720">
            <v>35433.333333333336</v>
          </cell>
        </row>
        <row r="721">
          <cell r="A721" t="str">
            <v>MAT,753</v>
          </cell>
          <cell r="B721" t="str">
            <v>Tubería conduit EMT 3"</v>
          </cell>
          <cell r="C721" t="str">
            <v>M</v>
          </cell>
          <cell r="E721">
            <v>79100</v>
          </cell>
        </row>
        <row r="722">
          <cell r="A722" t="str">
            <v>MAT,609</v>
          </cell>
          <cell r="B722" t="str">
            <v>Tubo Conduit Emt 3/4" (ul 797)</v>
          </cell>
          <cell r="C722" t="str">
            <v>M</v>
          </cell>
          <cell r="E722">
            <v>8083.333333333333</v>
          </cell>
        </row>
        <row r="723">
          <cell r="A723" t="str">
            <v>MAT,754</v>
          </cell>
          <cell r="B723" t="str">
            <v>Tubería conduit EMT 4"</v>
          </cell>
          <cell r="C723" t="str">
            <v>M</v>
          </cell>
          <cell r="E723">
            <v>112333.33333333333</v>
          </cell>
        </row>
        <row r="724">
          <cell r="A724" t="str">
            <v>MAT,584</v>
          </cell>
          <cell r="B724" t="str">
            <v>Tubería conduit IMC ½"</v>
          </cell>
          <cell r="C724" t="str">
            <v>M</v>
          </cell>
          <cell r="E724">
            <v>15200</v>
          </cell>
        </row>
        <row r="725">
          <cell r="A725" t="str">
            <v>MAT,755</v>
          </cell>
          <cell r="B725" t="str">
            <v>Tubería conduit IMC 1 ½"</v>
          </cell>
          <cell r="C725" t="str">
            <v>M</v>
          </cell>
          <cell r="E725">
            <v>42516.666666666664</v>
          </cell>
        </row>
        <row r="726">
          <cell r="A726" t="str">
            <v>MAT,571</v>
          </cell>
          <cell r="B726" t="str">
            <v>Tubería conduit IMC 1"</v>
          </cell>
          <cell r="C726" t="str">
            <v>M</v>
          </cell>
          <cell r="E726">
            <v>26150</v>
          </cell>
        </row>
        <row r="727">
          <cell r="A727" t="str">
            <v>MAT,756</v>
          </cell>
          <cell r="B727" t="str">
            <v>Tubería conduit IMC 2"</v>
          </cell>
          <cell r="C727" t="str">
            <v>M</v>
          </cell>
          <cell r="E727">
            <v>53533.333333333336</v>
          </cell>
        </row>
        <row r="728">
          <cell r="A728" t="str">
            <v>MAT,595</v>
          </cell>
          <cell r="B728" t="str">
            <v>Tubería IMC (Intermediate Metal Conduit) ø 3/4"</v>
          </cell>
          <cell r="C728" t="str">
            <v>M</v>
          </cell>
          <cell r="E728">
            <v>18483.333333333332</v>
          </cell>
        </row>
        <row r="729">
          <cell r="A729" t="str">
            <v>MAT,757</v>
          </cell>
          <cell r="B729" t="str">
            <v>Tubería conduit IMC 4"</v>
          </cell>
          <cell r="C729" t="str">
            <v>M</v>
          </cell>
          <cell r="E729">
            <v>162733.33333333334</v>
          </cell>
        </row>
        <row r="730">
          <cell r="A730" t="str">
            <v>MAT,619</v>
          </cell>
          <cell r="B730" t="str">
            <v>Tubería conduit PVC ½"</v>
          </cell>
          <cell r="C730" t="str">
            <v>M</v>
          </cell>
          <cell r="E730">
            <v>1283.3333333333333</v>
          </cell>
        </row>
        <row r="731">
          <cell r="A731" t="str">
            <v>MAT,638</v>
          </cell>
          <cell r="B731" t="str">
            <v>Tubería conduit PVC ½" SCH 40</v>
          </cell>
          <cell r="C731" t="str">
            <v>M</v>
          </cell>
          <cell r="E731">
            <v>2566.6666666666665</v>
          </cell>
        </row>
        <row r="732">
          <cell r="A732" t="str">
            <v>MAT,758</v>
          </cell>
          <cell r="B732" t="str">
            <v>Tubería conduit PVC 1"</v>
          </cell>
          <cell r="C732" t="str">
            <v>M</v>
          </cell>
          <cell r="E732">
            <v>2350</v>
          </cell>
        </row>
        <row r="733">
          <cell r="A733" t="str">
            <v>MAT,636</v>
          </cell>
          <cell r="B733" t="str">
            <v>Tubería conduit PVC 3/4"</v>
          </cell>
          <cell r="C733" t="str">
            <v>M</v>
          </cell>
          <cell r="E733">
            <v>1733.3333333333333</v>
          </cell>
        </row>
        <row r="734">
          <cell r="A734" t="str">
            <v>MAT,411</v>
          </cell>
          <cell r="B734" t="str">
            <v>Tubería CPVC de ½" 100 PSI</v>
          </cell>
          <cell r="C734" t="str">
            <v>M</v>
          </cell>
          <cell r="E734">
            <v>4667</v>
          </cell>
        </row>
        <row r="735">
          <cell r="A735" t="str">
            <v>MAT,412</v>
          </cell>
          <cell r="B735" t="str">
            <v>Tubería de concreto vibrada de 10" unión caucho C 2 (250 mm)</v>
          </cell>
          <cell r="C735" t="str">
            <v>M</v>
          </cell>
          <cell r="E735">
            <v>27167</v>
          </cell>
        </row>
        <row r="736">
          <cell r="A736" t="str">
            <v>MAT,413</v>
          </cell>
          <cell r="B736" t="str">
            <v>Tubería de concreto vibrada de 12" unión caucho C 2 (300 mm)</v>
          </cell>
          <cell r="C736" t="str">
            <v>M</v>
          </cell>
          <cell r="E736">
            <v>28667</v>
          </cell>
        </row>
        <row r="737">
          <cell r="A737" t="str">
            <v>MAT,414</v>
          </cell>
          <cell r="B737" t="str">
            <v>Tubería de concreto vibrada de 15" unión caucho C 2 (375 mm)</v>
          </cell>
          <cell r="C737" t="str">
            <v>M</v>
          </cell>
          <cell r="E737">
            <v>48000</v>
          </cell>
        </row>
        <row r="738">
          <cell r="A738" t="str">
            <v>MAT,415</v>
          </cell>
          <cell r="B738" t="str">
            <v>Tubería de concreto vibrada de 16" unión caucho C 2 (400 mm)</v>
          </cell>
          <cell r="C738" t="str">
            <v>M</v>
          </cell>
          <cell r="E738">
            <v>48600</v>
          </cell>
        </row>
        <row r="739">
          <cell r="A739" t="str">
            <v>MAT,416</v>
          </cell>
          <cell r="B739" t="str">
            <v>Tubería de concreto vibrada de 18" unión caucho C 2 (450 mm)</v>
          </cell>
          <cell r="C739" t="str">
            <v>M</v>
          </cell>
          <cell r="E739">
            <v>75200</v>
          </cell>
        </row>
        <row r="740">
          <cell r="A740" t="str">
            <v>MAT,417</v>
          </cell>
          <cell r="B740" t="str">
            <v>Tubería de concreto vibrada de 21" unión caucho C 2 (525 mm)</v>
          </cell>
          <cell r="C740" t="str">
            <v>M</v>
          </cell>
          <cell r="E740">
            <v>85267</v>
          </cell>
        </row>
        <row r="741">
          <cell r="A741" t="str">
            <v>MAT,418</v>
          </cell>
          <cell r="B741" t="str">
            <v>Tubería de concreto vibrada de 24" unión caucho C 2 (600 mm)</v>
          </cell>
          <cell r="C741" t="str">
            <v>M</v>
          </cell>
          <cell r="E741">
            <v>181000</v>
          </cell>
        </row>
        <row r="742">
          <cell r="A742" t="str">
            <v>MAT,420</v>
          </cell>
          <cell r="B742" t="str">
            <v>Tubería de concreto vibrada reforzada de 24" unión caucho C 2 (600 mm)</v>
          </cell>
          <cell r="C742" t="str">
            <v>M</v>
          </cell>
          <cell r="E742">
            <v>157565</v>
          </cell>
        </row>
        <row r="743">
          <cell r="A743" t="str">
            <v>MAT,421</v>
          </cell>
          <cell r="B743" t="str">
            <v>Tubería de concreto vibrada reforzada de 30" unión caucho C 2 (750 mm)</v>
          </cell>
          <cell r="C743" t="str">
            <v>M</v>
          </cell>
          <cell r="E743">
            <v>251467</v>
          </cell>
        </row>
        <row r="744">
          <cell r="A744" t="str">
            <v>MAT,422</v>
          </cell>
          <cell r="B744" t="str">
            <v>Tubería de concreto vibrada reforzada de 36" unión caucho C 2 (900 mm)</v>
          </cell>
          <cell r="C744" t="str">
            <v>M</v>
          </cell>
          <cell r="E744">
            <v>307662</v>
          </cell>
        </row>
        <row r="745">
          <cell r="A745" t="str">
            <v>MAT,423</v>
          </cell>
          <cell r="B745" t="str">
            <v>Tubería de concreto vibrada reforzada de 40" unión caucho C 2 (1000 mm)</v>
          </cell>
          <cell r="C745" t="str">
            <v>M</v>
          </cell>
          <cell r="E745">
            <v>391000</v>
          </cell>
        </row>
        <row r="746">
          <cell r="A746" t="str">
            <v>MAT,424</v>
          </cell>
          <cell r="B746" t="str">
            <v>Tubería de concreto vibrada reforzada de 48" unión caucho C 2 (1200 mm)</v>
          </cell>
          <cell r="C746" t="str">
            <v>M</v>
          </cell>
          <cell r="E746">
            <v>305673</v>
          </cell>
        </row>
        <row r="747">
          <cell r="A747" t="str">
            <v>MAT,425</v>
          </cell>
          <cell r="B747" t="str">
            <v>Tubería de concreto vibrada reforzada de 52" unión caucho C 2 (1300 mm)</v>
          </cell>
          <cell r="C747" t="str">
            <v>M</v>
          </cell>
          <cell r="E747">
            <v>318462</v>
          </cell>
        </row>
        <row r="748">
          <cell r="A748" t="str">
            <v>MAT,426</v>
          </cell>
          <cell r="B748" t="str">
            <v>Tubería de concreto vibrada reforzada de 60" unión caucho C 2 (1500 mm)</v>
          </cell>
          <cell r="C748" t="str">
            <v>M</v>
          </cell>
          <cell r="E748">
            <v>423200</v>
          </cell>
        </row>
        <row r="749">
          <cell r="A749" t="str">
            <v>MAT,519</v>
          </cell>
          <cell r="B749" t="str">
            <v>Tubería de HG de 2" C 14</v>
          </cell>
          <cell r="C749" t="str">
            <v>M</v>
          </cell>
          <cell r="E749">
            <v>19650</v>
          </cell>
        </row>
        <row r="750">
          <cell r="A750" t="str">
            <v>MAT,427</v>
          </cell>
          <cell r="B750" t="str">
            <v>Tubería de HG de 3"</v>
          </cell>
          <cell r="C750" t="str">
            <v>M</v>
          </cell>
          <cell r="E750">
            <v>72640.333333333328</v>
          </cell>
        </row>
        <row r="751">
          <cell r="A751" t="str">
            <v>MAT,428</v>
          </cell>
          <cell r="B751" t="str">
            <v>Tubería galvanizada para cerramiento de 1 ½" x 6 m</v>
          </cell>
          <cell r="C751" t="str">
            <v>M</v>
          </cell>
          <cell r="E751">
            <v>10712</v>
          </cell>
        </row>
        <row r="752">
          <cell r="A752" t="str">
            <v>MAT,472</v>
          </cell>
          <cell r="B752" t="str">
            <v>Tubería galvanizada para cerramiento de 1 ½" x 6 m incluye tapa</v>
          </cell>
          <cell r="C752" t="str">
            <v>Un</v>
          </cell>
          <cell r="E752">
            <v>64270</v>
          </cell>
        </row>
        <row r="753">
          <cell r="A753" t="str">
            <v>MAT,429</v>
          </cell>
          <cell r="B753" t="str">
            <v>Tubería PF + UAD ½" (manguera)</v>
          </cell>
          <cell r="C753" t="str">
            <v>M</v>
          </cell>
          <cell r="E753">
            <v>3950</v>
          </cell>
        </row>
        <row r="754">
          <cell r="A754" t="str">
            <v>MAT,430</v>
          </cell>
          <cell r="B754" t="str">
            <v>Tubería PVC acueducto unión platino de 2" RDE 21</v>
          </cell>
          <cell r="C754" t="str">
            <v>M</v>
          </cell>
          <cell r="E754">
            <v>12317</v>
          </cell>
        </row>
        <row r="755">
          <cell r="A755" t="str">
            <v>MAT,431</v>
          </cell>
          <cell r="B755" t="str">
            <v>Tubería PVC acueducto unión platino de 3" RDE 21</v>
          </cell>
          <cell r="C755" t="str">
            <v>M</v>
          </cell>
          <cell r="E755">
            <v>34984</v>
          </cell>
        </row>
        <row r="756">
          <cell r="A756" t="str">
            <v>MAT,432</v>
          </cell>
          <cell r="B756" t="str">
            <v>Tubería PVC acueducto unión platino de 4" RDE 21</v>
          </cell>
          <cell r="C756" t="str">
            <v>M</v>
          </cell>
          <cell r="E756">
            <v>73150</v>
          </cell>
        </row>
        <row r="757">
          <cell r="A757" t="str">
            <v>MAT,433</v>
          </cell>
          <cell r="B757" t="str">
            <v>Tubería PVC acueducto unión platino de 6" RDE 21</v>
          </cell>
          <cell r="C757" t="str">
            <v>M</v>
          </cell>
          <cell r="E757">
            <v>90650</v>
          </cell>
        </row>
        <row r="758">
          <cell r="A758" t="str">
            <v>MAT,434</v>
          </cell>
          <cell r="B758" t="str">
            <v>Tubería PVC acueducto unión platino de 8" RDE 21</v>
          </cell>
          <cell r="C758" t="str">
            <v>M</v>
          </cell>
          <cell r="E758">
            <v>144084</v>
          </cell>
        </row>
        <row r="759">
          <cell r="A759" t="str">
            <v>MAT,435</v>
          </cell>
          <cell r="B759" t="str">
            <v>Tubería PVC agua lluvia cuadrada</v>
          </cell>
          <cell r="C759" t="str">
            <v>M</v>
          </cell>
          <cell r="E759">
            <v>16300</v>
          </cell>
        </row>
        <row r="760">
          <cell r="A760" t="str">
            <v>MAT,436</v>
          </cell>
          <cell r="B760" t="str">
            <v>Tubería PVC agua lluvia de 2"</v>
          </cell>
          <cell r="C760" t="str">
            <v>M</v>
          </cell>
          <cell r="E760">
            <v>8484</v>
          </cell>
        </row>
        <row r="761">
          <cell r="A761" t="str">
            <v>MAT,437</v>
          </cell>
          <cell r="B761" t="str">
            <v>Tubería PVC agua lluvia de 3"</v>
          </cell>
          <cell r="C761" t="str">
            <v>M</v>
          </cell>
          <cell r="E761">
            <v>12317</v>
          </cell>
        </row>
        <row r="762">
          <cell r="A762" t="str">
            <v>MAT,438</v>
          </cell>
          <cell r="B762" t="str">
            <v>Tubería PVC agua lluvia de 4"</v>
          </cell>
          <cell r="C762" t="str">
            <v>M</v>
          </cell>
          <cell r="E762">
            <v>16141.666666666666</v>
          </cell>
        </row>
        <row r="763">
          <cell r="A763" t="str">
            <v>MAT,441</v>
          </cell>
          <cell r="B763" t="str">
            <v>Tubería PVC corrugada perforada de 100 mm (4")</v>
          </cell>
          <cell r="C763" t="str">
            <v>M</v>
          </cell>
          <cell r="E763">
            <v>17990</v>
          </cell>
        </row>
        <row r="764">
          <cell r="A764" t="str">
            <v>MAT,442</v>
          </cell>
          <cell r="B764" t="str">
            <v>Tubería PVC corrugada perforada de 160 mm (6")</v>
          </cell>
          <cell r="C764" t="str">
            <v>M</v>
          </cell>
          <cell r="E764">
            <v>22002</v>
          </cell>
        </row>
        <row r="765">
          <cell r="A765" t="str">
            <v>MAT,443</v>
          </cell>
          <cell r="B765" t="str">
            <v>Tubería PVC corrugada perforada de 200 mm (8")</v>
          </cell>
          <cell r="C765" t="str">
            <v>M</v>
          </cell>
          <cell r="E765">
            <v>30670.666666666668</v>
          </cell>
        </row>
        <row r="766">
          <cell r="A766" t="str">
            <v>MAT,444</v>
          </cell>
          <cell r="B766" t="str">
            <v>Tubería PVC de alcantarillado de pared estructural d =  10", exterior corrugado</v>
          </cell>
          <cell r="C766" t="str">
            <v>M</v>
          </cell>
          <cell r="E766">
            <v>63484</v>
          </cell>
        </row>
        <row r="767">
          <cell r="A767" t="str">
            <v>MAT,445</v>
          </cell>
          <cell r="B767" t="str">
            <v>Tubería PVC de alcantarillado de pared estructural d =  12", exterior corrugado</v>
          </cell>
          <cell r="C767" t="str">
            <v>M</v>
          </cell>
          <cell r="E767">
            <v>124650</v>
          </cell>
        </row>
        <row r="768">
          <cell r="A768" t="str">
            <v>MAT,446</v>
          </cell>
          <cell r="B768" t="str">
            <v>Tubería PVC de alcantarillado de pared estructural d =  16", exterior corrugado</v>
          </cell>
          <cell r="C768" t="str">
            <v>M</v>
          </cell>
          <cell r="E768">
            <v>228650</v>
          </cell>
        </row>
        <row r="769">
          <cell r="A769" t="str">
            <v>MAT,447</v>
          </cell>
          <cell r="B769" t="str">
            <v>Tubería PVC de alcantarillado de pared estructural d =  4", exterior corrugado</v>
          </cell>
          <cell r="C769" t="str">
            <v>M</v>
          </cell>
          <cell r="E769">
            <v>12816.666666666666</v>
          </cell>
        </row>
        <row r="770">
          <cell r="A770" t="str">
            <v>MAT,448</v>
          </cell>
          <cell r="B770" t="str">
            <v>Tubería PVC de alcantarillado de pared estructural d =  6", exterior corrugado</v>
          </cell>
          <cell r="C770" t="str">
            <v>M</v>
          </cell>
          <cell r="E770">
            <v>41484</v>
          </cell>
        </row>
        <row r="771">
          <cell r="A771" t="str">
            <v>MAT,449</v>
          </cell>
          <cell r="B771" t="str">
            <v>Tubería PVC de alcantarillado de pared estructural d =  8", exterior corrugado</v>
          </cell>
          <cell r="C771" t="str">
            <v>M</v>
          </cell>
          <cell r="E771">
            <v>43150</v>
          </cell>
        </row>
        <row r="772">
          <cell r="A772" t="str">
            <v>MAT,541</v>
          </cell>
          <cell r="B772" t="str">
            <v>Tubería PVC de alcantarillado de pared estructural d = 24", exterior corrugado</v>
          </cell>
          <cell r="C772" t="str">
            <v>M</v>
          </cell>
          <cell r="E772">
            <v>607184.61538461538</v>
          </cell>
        </row>
        <row r="773">
          <cell r="A773" t="str">
            <v>MAT,450</v>
          </cell>
          <cell r="B773" t="str">
            <v>Tubería PVC de alcantarillado de pared estructural d = 27", exterior corrugado</v>
          </cell>
          <cell r="C773" t="str">
            <v>M</v>
          </cell>
          <cell r="E773">
            <v>714030.76923076925</v>
          </cell>
        </row>
        <row r="774">
          <cell r="A774" t="str">
            <v>MAT,451</v>
          </cell>
          <cell r="B774" t="str">
            <v>Tubería PVC de alcantarillado de pared estructural d = 30", exterior corrugado.</v>
          </cell>
          <cell r="C774" t="str">
            <v>M</v>
          </cell>
          <cell r="E774">
            <v>813114</v>
          </cell>
        </row>
        <row r="775">
          <cell r="A775" t="str">
            <v>MAT,452</v>
          </cell>
          <cell r="B775" t="str">
            <v>Tubería PVC de alcantarillado de pared estructural d = 36", exterior corrugado</v>
          </cell>
          <cell r="C775" t="str">
            <v>M</v>
          </cell>
          <cell r="E775">
            <v>1653892.3076923077</v>
          </cell>
        </row>
        <row r="776">
          <cell r="A776" t="str">
            <v>MAT,453</v>
          </cell>
          <cell r="B776" t="str">
            <v>Tubería PVC de alcantarillado de pared estructural d = 42", exterior corrugado</v>
          </cell>
          <cell r="C776" t="str">
            <v>M</v>
          </cell>
          <cell r="E776">
            <v>2597838.4615384615</v>
          </cell>
        </row>
        <row r="777">
          <cell r="A777" t="str">
            <v>MAT,564</v>
          </cell>
          <cell r="B777" t="str">
            <v>Tubería PVC de alcantarillado de pared estructural d = 45", exterior liso</v>
          </cell>
          <cell r="C777" t="str">
            <v>M</v>
          </cell>
          <cell r="E777">
            <v>2547435.076923077</v>
          </cell>
        </row>
        <row r="778">
          <cell r="A778" t="str">
            <v>MAT,454</v>
          </cell>
          <cell r="B778" t="str">
            <v>Tubería PVC de alcantarillado de pared estructural d = 48", exterior liso</v>
          </cell>
          <cell r="C778" t="str">
            <v>M</v>
          </cell>
          <cell r="E778">
            <v>3105506.153846154</v>
          </cell>
        </row>
        <row r="779">
          <cell r="A779" t="str">
            <v>MAT,455</v>
          </cell>
          <cell r="B779" t="str">
            <v>Tubería PVC de alcantarillado de pared estructural d = 51", con unión</v>
          </cell>
          <cell r="C779" t="str">
            <v>M</v>
          </cell>
          <cell r="E779">
            <v>601948.16666666663</v>
          </cell>
        </row>
        <row r="780">
          <cell r="A780" t="str">
            <v>MAT,456</v>
          </cell>
          <cell r="B780" t="str">
            <v>Tubería PVC de alcantarillado de pared estructural d = 54", con unión</v>
          </cell>
          <cell r="C780" t="str">
            <v>M</v>
          </cell>
          <cell r="E780">
            <v>633693.66666666663</v>
          </cell>
        </row>
        <row r="781">
          <cell r="A781" t="str">
            <v>MAT,657</v>
          </cell>
          <cell r="B781" t="str">
            <v>Tubería PVC de alcantarillado de pared estructural d = 57", con unión</v>
          </cell>
          <cell r="C781" t="str">
            <v>M</v>
          </cell>
          <cell r="E781">
            <v>661732</v>
          </cell>
        </row>
        <row r="782">
          <cell r="A782" t="str">
            <v>MAT,458</v>
          </cell>
          <cell r="B782" t="str">
            <v>Tubería PVC de alcantarillado de pared estructural d = 60", con unión</v>
          </cell>
          <cell r="C782" t="str">
            <v>M</v>
          </cell>
          <cell r="E782">
            <v>749553.66666666663</v>
          </cell>
        </row>
        <row r="783">
          <cell r="A783" t="str">
            <v>MAT,459</v>
          </cell>
          <cell r="B783" t="str">
            <v>Tubería PVC de ventilación de 2"</v>
          </cell>
          <cell r="C783" t="str">
            <v>M</v>
          </cell>
          <cell r="E783">
            <v>8484</v>
          </cell>
        </row>
        <row r="784">
          <cell r="A784" t="str">
            <v>MAT,460</v>
          </cell>
          <cell r="B784" t="str">
            <v>Tubería PVC de ventilación de 3"</v>
          </cell>
          <cell r="C784" t="str">
            <v>M</v>
          </cell>
          <cell r="E784">
            <v>12317</v>
          </cell>
        </row>
        <row r="785">
          <cell r="A785" t="str">
            <v>MAT,464</v>
          </cell>
          <cell r="B785" t="str">
            <v>Tubería PVC presión de ½" RDE 9</v>
          </cell>
          <cell r="C785" t="str">
            <v>M</v>
          </cell>
          <cell r="E785">
            <v>2317</v>
          </cell>
        </row>
        <row r="786">
          <cell r="A786" t="str">
            <v>MAT,462</v>
          </cell>
          <cell r="B786" t="str">
            <v>Tubería PVC presión de 1 ¼" RDE 21</v>
          </cell>
          <cell r="C786" t="str">
            <v>M</v>
          </cell>
          <cell r="E786">
            <v>9484</v>
          </cell>
        </row>
        <row r="787">
          <cell r="A787" t="str">
            <v>MAT,461</v>
          </cell>
          <cell r="B787" t="str">
            <v>Tubería PVC presión de 1 ½" RDE 21</v>
          </cell>
          <cell r="C787" t="str">
            <v>M</v>
          </cell>
          <cell r="E787">
            <v>12484</v>
          </cell>
        </row>
        <row r="788">
          <cell r="A788" t="str">
            <v>MAT,463</v>
          </cell>
          <cell r="B788" t="str">
            <v>Tubería PVC presión de 1" RDE 21</v>
          </cell>
          <cell r="C788" t="str">
            <v>M</v>
          </cell>
          <cell r="E788">
            <v>5484</v>
          </cell>
        </row>
        <row r="789">
          <cell r="A789" t="str">
            <v>MAT,465</v>
          </cell>
          <cell r="B789" t="str">
            <v>Tubería PVC presión de 2" RDE 21</v>
          </cell>
          <cell r="C789" t="str">
            <v>M</v>
          </cell>
          <cell r="E789">
            <v>18817</v>
          </cell>
        </row>
        <row r="790">
          <cell r="A790" t="str">
            <v>MAT,466</v>
          </cell>
          <cell r="B790" t="str">
            <v>Tubería PVC presión de 3" RDE 21</v>
          </cell>
          <cell r="C790" t="str">
            <v>M</v>
          </cell>
          <cell r="E790">
            <v>12550</v>
          </cell>
        </row>
        <row r="791">
          <cell r="A791" t="str">
            <v>MAT,467</v>
          </cell>
          <cell r="B791" t="str">
            <v>Tubería PVC presión de 3/4" RDE 21</v>
          </cell>
          <cell r="C791" t="str">
            <v>M</v>
          </cell>
          <cell r="E791">
            <v>1250</v>
          </cell>
        </row>
        <row r="792">
          <cell r="A792" t="str">
            <v>MAT,468</v>
          </cell>
          <cell r="B792" t="str">
            <v>Tubería PVC sanitaria de 2"</v>
          </cell>
          <cell r="C792" t="str">
            <v>M</v>
          </cell>
          <cell r="E792">
            <v>8317</v>
          </cell>
        </row>
        <row r="793">
          <cell r="A793" t="str">
            <v>MAT,469</v>
          </cell>
          <cell r="B793" t="str">
            <v>Tubería PVC sanitaria de 3"</v>
          </cell>
          <cell r="C793" t="str">
            <v>M</v>
          </cell>
          <cell r="E793">
            <v>12983</v>
          </cell>
        </row>
        <row r="794">
          <cell r="A794" t="str">
            <v>MAT,470</v>
          </cell>
          <cell r="B794" t="str">
            <v>Tubería PVC sanitaria de 4"</v>
          </cell>
          <cell r="C794" t="str">
            <v>M</v>
          </cell>
          <cell r="E794">
            <v>18317</v>
          </cell>
        </row>
        <row r="795">
          <cell r="A795" t="str">
            <v>MAT,471</v>
          </cell>
          <cell r="B795" t="str">
            <v>Tubería PVC sanitaria de 6"</v>
          </cell>
          <cell r="C795" t="str">
            <v>M</v>
          </cell>
          <cell r="E795">
            <v>38300</v>
          </cell>
        </row>
        <row r="796">
          <cell r="A796" t="str">
            <v>MAT,799</v>
          </cell>
          <cell r="B796" t="str">
            <v>Tubo cerramiento galvanizado 2" x 1.5 mm Z180 o similar</v>
          </cell>
          <cell r="C796" t="str">
            <v>M</v>
          </cell>
          <cell r="E796">
            <v>20150</v>
          </cell>
        </row>
        <row r="797">
          <cell r="A797" t="str">
            <v>MAT,567</v>
          </cell>
          <cell r="B797" t="str">
            <v>Tuerca galvanizada 3/8", incluye arandela</v>
          </cell>
          <cell r="C797" t="str">
            <v>Un</v>
          </cell>
          <cell r="E797">
            <v>150</v>
          </cell>
        </row>
        <row r="798">
          <cell r="A798" t="str">
            <v>MAT,759</v>
          </cell>
          <cell r="B798" t="str">
            <v>Unión conduit EMT 1 ½"</v>
          </cell>
          <cell r="C798" t="str">
            <v>Un</v>
          </cell>
          <cell r="E798">
            <v>3900</v>
          </cell>
        </row>
        <row r="799">
          <cell r="A799" t="str">
            <v>MAT,760</v>
          </cell>
          <cell r="B799" t="str">
            <v>Unión para tuberia EMT 1"</v>
          </cell>
          <cell r="C799" t="str">
            <v>Un</v>
          </cell>
          <cell r="E799">
            <v>1150</v>
          </cell>
        </row>
        <row r="800">
          <cell r="A800" t="str">
            <v>MAT,761</v>
          </cell>
          <cell r="B800" t="str">
            <v>Unión para tuberia EMT 2"</v>
          </cell>
          <cell r="C800" t="str">
            <v>Un</v>
          </cell>
          <cell r="E800">
            <v>4386</v>
          </cell>
        </row>
        <row r="801">
          <cell r="A801" t="str">
            <v>MAT,762</v>
          </cell>
          <cell r="B801" t="str">
            <v>Unión para tuberia EMT 3"</v>
          </cell>
          <cell r="C801" t="str">
            <v>Un</v>
          </cell>
          <cell r="E801">
            <v>19927</v>
          </cell>
        </row>
        <row r="802">
          <cell r="A802" t="str">
            <v>MAT,763</v>
          </cell>
          <cell r="B802" t="str">
            <v>Unión para tuberia EMT 3/4"</v>
          </cell>
          <cell r="C802" t="str">
            <v>Un</v>
          </cell>
          <cell r="E802">
            <v>1150</v>
          </cell>
        </row>
        <row r="803">
          <cell r="A803" t="str">
            <v>MAT,764</v>
          </cell>
          <cell r="B803" t="str">
            <v>Unión para tuberia EMT 4"</v>
          </cell>
          <cell r="C803" t="str">
            <v>Un</v>
          </cell>
          <cell r="E803">
            <v>26450</v>
          </cell>
        </row>
        <row r="804">
          <cell r="A804" t="str">
            <v>MAT,766</v>
          </cell>
          <cell r="B804" t="str">
            <v>Unión para tuberia IMC 1 ½"</v>
          </cell>
          <cell r="C804" t="str">
            <v>Un</v>
          </cell>
          <cell r="E804">
            <v>3450</v>
          </cell>
        </row>
        <row r="805">
          <cell r="A805" t="str">
            <v>MAT,765</v>
          </cell>
          <cell r="B805" t="str">
            <v>Unión para tuberia IMC 1"</v>
          </cell>
          <cell r="C805" t="str">
            <v>Un</v>
          </cell>
          <cell r="E805">
            <v>2250</v>
          </cell>
        </row>
        <row r="806">
          <cell r="A806" t="str">
            <v>MAT,767</v>
          </cell>
          <cell r="B806" t="str">
            <v>Unión para tuberia IMC 2"</v>
          </cell>
          <cell r="C806" t="str">
            <v>Un</v>
          </cell>
          <cell r="E806">
            <v>4800</v>
          </cell>
        </row>
        <row r="807">
          <cell r="A807" t="str">
            <v>MAT,768</v>
          </cell>
          <cell r="B807" t="str">
            <v>Unión para tubería IMC 3/4"</v>
          </cell>
          <cell r="C807" t="str">
            <v>Un</v>
          </cell>
          <cell r="E807">
            <v>1400</v>
          </cell>
        </row>
        <row r="808">
          <cell r="A808" t="str">
            <v>MAT,473</v>
          </cell>
          <cell r="B808" t="str">
            <v>Unión de reparación de 2 ½"</v>
          </cell>
          <cell r="C808" t="str">
            <v>Un</v>
          </cell>
          <cell r="E808">
            <v>57900</v>
          </cell>
        </row>
        <row r="809">
          <cell r="A809" t="str">
            <v>MAT,474</v>
          </cell>
          <cell r="B809" t="str">
            <v>Unión de reparación de 2"</v>
          </cell>
          <cell r="C809" t="str">
            <v>Un</v>
          </cell>
          <cell r="E809">
            <v>29377</v>
          </cell>
        </row>
        <row r="810">
          <cell r="A810" t="str">
            <v>MAT,475</v>
          </cell>
          <cell r="B810" t="str">
            <v>Unión de reparación de 3"</v>
          </cell>
          <cell r="C810" t="str">
            <v>Un</v>
          </cell>
          <cell r="E810">
            <v>56900</v>
          </cell>
        </row>
        <row r="811">
          <cell r="A811" t="str">
            <v>MAT,476</v>
          </cell>
          <cell r="B811" t="str">
            <v>Unión de reparación de 4"</v>
          </cell>
          <cell r="C811" t="str">
            <v>Un</v>
          </cell>
          <cell r="E811">
            <v>71559</v>
          </cell>
        </row>
        <row r="812">
          <cell r="A812" t="str">
            <v>MAT,477</v>
          </cell>
          <cell r="B812" t="str">
            <v>Unión de reparación de 6"</v>
          </cell>
          <cell r="C812" t="str">
            <v>Un</v>
          </cell>
          <cell r="E812">
            <v>192900</v>
          </cell>
        </row>
        <row r="813">
          <cell r="A813" t="str">
            <v>MAT,478</v>
          </cell>
          <cell r="B813" t="str">
            <v>Unión de reparación de 8"</v>
          </cell>
          <cell r="C813" t="str">
            <v>Un</v>
          </cell>
          <cell r="E813">
            <v>286061</v>
          </cell>
        </row>
        <row r="814">
          <cell r="A814" t="str">
            <v>MAT,769</v>
          </cell>
          <cell r="B814" t="str">
            <v>Unión rápida EDRN  - EZ</v>
          </cell>
          <cell r="C814" t="str">
            <v>Un</v>
          </cell>
          <cell r="E814">
            <v>8500</v>
          </cell>
        </row>
        <row r="815">
          <cell r="A815" t="str">
            <v>MAT,479</v>
          </cell>
          <cell r="B815" t="str">
            <v>Universal PVC 1 ½"</v>
          </cell>
          <cell r="C815" t="str">
            <v>Un</v>
          </cell>
          <cell r="E815">
            <v>33900</v>
          </cell>
        </row>
        <row r="816">
          <cell r="A816" t="str">
            <v>MAT,537</v>
          </cell>
          <cell r="B816" t="str">
            <v>Universal PVC 1"</v>
          </cell>
          <cell r="C816" t="str">
            <v>Un</v>
          </cell>
          <cell r="E816">
            <v>14900</v>
          </cell>
        </row>
        <row r="817">
          <cell r="A817" t="str">
            <v>MAT,480</v>
          </cell>
          <cell r="B817" t="str">
            <v>Universal PVC 2"</v>
          </cell>
          <cell r="C817" t="str">
            <v>Un</v>
          </cell>
          <cell r="E817">
            <v>30900</v>
          </cell>
        </row>
        <row r="818">
          <cell r="A818" t="str">
            <v>MAT,481</v>
          </cell>
          <cell r="B818" t="str">
            <v>Universal PVC 3/4"</v>
          </cell>
          <cell r="C818" t="str">
            <v>Un</v>
          </cell>
          <cell r="E818">
            <v>8900</v>
          </cell>
        </row>
        <row r="819">
          <cell r="A819" t="str">
            <v>MAT,538</v>
          </cell>
          <cell r="B819" t="str">
            <v>Universal PVC de ½"</v>
          </cell>
          <cell r="C819" t="str">
            <v>Un</v>
          </cell>
          <cell r="E819">
            <v>8900</v>
          </cell>
        </row>
        <row r="820">
          <cell r="A820" t="str">
            <v>MAT,482</v>
          </cell>
          <cell r="B820" t="str">
            <v>Valla en tela vinílica con malla de poliéster (banner)</v>
          </cell>
          <cell r="C820" t="str">
            <v>M2</v>
          </cell>
          <cell r="E820">
            <v>60000</v>
          </cell>
        </row>
        <row r="821">
          <cell r="A821" t="str">
            <v>MAT,770</v>
          </cell>
          <cell r="B821" t="str">
            <v>Valor contrato para suministro de consola de operación (vinculado a tablero de protecciones), según diagrama unifilar del proyecto (Siempre Ajustar a Realidad)</v>
          </cell>
          <cell r="C821" t="str">
            <v>Un</v>
          </cell>
          <cell r="E821">
            <v>4362994</v>
          </cell>
        </row>
        <row r="822">
          <cell r="A822" t="str">
            <v>MAT,771</v>
          </cell>
          <cell r="B822" t="str">
            <v>Valor contrato para suministro de tablero de protecciones y operación motores, según diagrama unifilar del proyecto. (Siempre Ajustar a Realidad)</v>
          </cell>
          <cell r="C822" t="str">
            <v>Un</v>
          </cell>
          <cell r="E822">
            <v>13080023</v>
          </cell>
        </row>
        <row r="823">
          <cell r="A823" t="str">
            <v>MAT,772</v>
          </cell>
          <cell r="B823" t="str">
            <v>Valor contrato para suministro de tablero general de baja tensión, incluye transferencia automática motorizada de 450 A, según diseños del proyecto. No se incluyen protecciones. (Siempre Ajustar a Realidad)</v>
          </cell>
          <cell r="C823" t="str">
            <v>Un</v>
          </cell>
          <cell r="E823">
            <v>25823471</v>
          </cell>
        </row>
        <row r="824">
          <cell r="A824" t="str">
            <v>MAT,774</v>
          </cell>
          <cell r="B824" t="str">
            <v>Valor inspección con fines de certificación de cumplimiento con RETIE vigente. Incluye personal necesario para apoyo en la revisión de las instalaciones eléctricas, diferente al del organismo de certificación.(Siempre Ajustar a Realidad)</v>
          </cell>
          <cell r="C824" t="str">
            <v>Sf</v>
          </cell>
          <cell r="E824">
            <v>7525493</v>
          </cell>
        </row>
        <row r="825">
          <cell r="A825" t="str">
            <v>MAT,483</v>
          </cell>
          <cell r="B825" t="str">
            <v>Válvula de 3" sello de bronce extremo liso o junta hidráulica PVC</v>
          </cell>
          <cell r="C825" t="str">
            <v>Un</v>
          </cell>
          <cell r="E825">
            <v>547500</v>
          </cell>
        </row>
        <row r="826">
          <cell r="A826" t="str">
            <v>MAT,484</v>
          </cell>
          <cell r="B826" t="str">
            <v>Válvula de 3" sello elástico extremo liso o junta hidráulica PVC</v>
          </cell>
          <cell r="C826" t="str">
            <v>Un</v>
          </cell>
          <cell r="E826">
            <v>407408</v>
          </cell>
        </row>
        <row r="827">
          <cell r="A827" t="str">
            <v>MAT,588</v>
          </cell>
          <cell r="B827" t="str">
            <v>Varilla Cu 5/8" x 2.4 m</v>
          </cell>
          <cell r="C827" t="str">
            <v>Un</v>
          </cell>
          <cell r="E827">
            <v>59900</v>
          </cell>
        </row>
        <row r="828">
          <cell r="A828" t="str">
            <v>MAT,485</v>
          </cell>
          <cell r="B828" t="str">
            <v>Varilla cuadrada de ½" para reja</v>
          </cell>
          <cell r="C828" t="str">
            <v>M</v>
          </cell>
          <cell r="E828">
            <v>6984</v>
          </cell>
        </row>
        <row r="829">
          <cell r="A829" t="str">
            <v>MAT,486</v>
          </cell>
          <cell r="B829" t="str">
            <v>Varilla esqueleto fina</v>
          </cell>
          <cell r="C829" t="str">
            <v>M</v>
          </cell>
          <cell r="E829">
            <v>1285.7142857142858</v>
          </cell>
        </row>
        <row r="830">
          <cell r="A830" t="str">
            <v>MAT,589</v>
          </cell>
          <cell r="B830" t="str">
            <v>Varilla roscada 3/8" galvanizada</v>
          </cell>
          <cell r="C830" t="str">
            <v>M</v>
          </cell>
          <cell r="E830">
            <v>2666.6666666666665</v>
          </cell>
        </row>
        <row r="831">
          <cell r="A831" t="str">
            <v>MAT,814</v>
          </cell>
          <cell r="B831" t="str">
            <v>Varillón común 3 x 0.04 x 0.02 m</v>
          </cell>
          <cell r="C831" t="str">
            <v>Un</v>
          </cell>
          <cell r="E831">
            <v>6000</v>
          </cell>
        </row>
        <row r="832">
          <cell r="A832" t="str">
            <v>MAT,487</v>
          </cell>
          <cell r="B832" t="str">
            <v>Varillón de sajo 3 x 3 cm</v>
          </cell>
          <cell r="C832" t="str">
            <v>M</v>
          </cell>
          <cell r="E832">
            <v>360</v>
          </cell>
        </row>
        <row r="833">
          <cell r="A833" t="str">
            <v>MAT,488</v>
          </cell>
          <cell r="B833" t="str">
            <v>Vaselina</v>
          </cell>
          <cell r="C833" t="str">
            <v>Lb</v>
          </cell>
          <cell r="E833">
            <v>15110</v>
          </cell>
        </row>
        <row r="834">
          <cell r="A834" t="str">
            <v>MAT,802</v>
          </cell>
          <cell r="B834" t="str">
            <v>Ventana 1.2 x 1.5 m aluminio Int negro corrediza XO/O, vidrio templado 6 mm alúmina</v>
          </cell>
          <cell r="C834" t="str">
            <v>M2</v>
          </cell>
          <cell r="E834">
            <v>98833.333333333343</v>
          </cell>
        </row>
        <row r="835">
          <cell r="A835" t="str">
            <v>MAT,489</v>
          </cell>
          <cell r="B835" t="str">
            <v>Ventanería en ángulo de 1" x 1/8", incluye anticorrosivo</v>
          </cell>
          <cell r="C835" t="str">
            <v>M2</v>
          </cell>
          <cell r="E835">
            <v>55648.333333333336</v>
          </cell>
        </row>
        <row r="836">
          <cell r="A836" t="str">
            <v>MAT,490</v>
          </cell>
          <cell r="B836" t="str">
            <v>Ventanería metálica en lámina C 20 de seguridad, incluye anticorrosivo</v>
          </cell>
          <cell r="C836" t="str">
            <v>M2</v>
          </cell>
          <cell r="E836">
            <v>128296.8</v>
          </cell>
        </row>
        <row r="837">
          <cell r="A837" t="str">
            <v>MAT,491</v>
          </cell>
          <cell r="B837" t="str">
            <v>Ventanería metálica en lámina C 20, incluye anticorrosivo</v>
          </cell>
          <cell r="C837" t="str">
            <v>M2</v>
          </cell>
          <cell r="E837">
            <v>185000</v>
          </cell>
        </row>
        <row r="838">
          <cell r="A838" t="str">
            <v>MAT,492</v>
          </cell>
          <cell r="B838" t="str">
            <v>Película de privacidad</v>
          </cell>
          <cell r="C838" t="str">
            <v>M2</v>
          </cell>
          <cell r="E838">
            <v>30000</v>
          </cell>
        </row>
        <row r="839">
          <cell r="A839" t="str">
            <v>MAT,493</v>
          </cell>
          <cell r="B839" t="str">
            <v>Vidrio de 4 mm de seguridad transparente</v>
          </cell>
          <cell r="C839" t="str">
            <v>M2</v>
          </cell>
          <cell r="E839">
            <v>101000</v>
          </cell>
        </row>
        <row r="840">
          <cell r="A840" t="str">
            <v>MAT,494</v>
          </cell>
          <cell r="B840" t="str">
            <v>Vigueta principal de ± 2,4 m de aluminio</v>
          </cell>
          <cell r="C840" t="str">
            <v>Un</v>
          </cell>
          <cell r="E840">
            <v>5950</v>
          </cell>
        </row>
        <row r="841">
          <cell r="A841" t="str">
            <v>MAT,495</v>
          </cell>
          <cell r="B841" t="str">
            <v>Yeso</v>
          </cell>
          <cell r="C841" t="str">
            <v>Kg</v>
          </cell>
          <cell r="E841">
            <v>2780</v>
          </cell>
        </row>
        <row r="842">
          <cell r="A842" t="str">
            <v>MAT,162</v>
          </cell>
          <cell r="B842" t="str">
            <v>Pintura anticorrosiva tipo C5-X que cumpla la norma 12944 negra</v>
          </cell>
          <cell r="C842" t="str">
            <v>Gl</v>
          </cell>
          <cell r="E842">
            <v>69900</v>
          </cell>
        </row>
        <row r="843">
          <cell r="A843" t="str">
            <v>MAT,234</v>
          </cell>
          <cell r="B843" t="str">
            <v>Ajustador alifático (varsol) 21132 o similar</v>
          </cell>
          <cell r="C843" t="str">
            <v>Gl</v>
          </cell>
          <cell r="E843">
            <v>50182</v>
          </cell>
        </row>
        <row r="844">
          <cell r="A844" t="str">
            <v>MAT,521</v>
          </cell>
          <cell r="B844" t="str">
            <v>Malla electrosoldada M-188 Φ 6.00 mm c/0.15 m (peso 42,20 Kg/m2) (2,35 x 6 m)</v>
          </cell>
          <cell r="C844" t="str">
            <v>Kg</v>
          </cell>
          <cell r="E844">
            <v>6547.8199052132695</v>
          </cell>
        </row>
        <row r="845">
          <cell r="A845" t="str">
            <v>MAT,586</v>
          </cell>
        </row>
        <row r="846">
          <cell r="A846" t="str">
            <v>MAT,888</v>
          </cell>
          <cell r="B846" t="str">
            <v>Materiales Menores (Marcadores, Cintas, Amarras, limpiador )</v>
          </cell>
          <cell r="C846" t="str">
            <v>Glb</v>
          </cell>
          <cell r="E846">
            <v>3000</v>
          </cell>
        </row>
        <row r="847">
          <cell r="A847" t="str">
            <v>MAT,889</v>
          </cell>
          <cell r="B847" t="str">
            <v>Accesorios de Montaje (Chazos, Tornillos)</v>
          </cell>
          <cell r="C847" t="str">
            <v>Glb</v>
          </cell>
          <cell r="D847">
            <v>1000</v>
          </cell>
          <cell r="E847">
            <v>3000</v>
          </cell>
        </row>
        <row r="848">
          <cell r="A848" t="str">
            <v>MAT,890</v>
          </cell>
          <cell r="B848" t="str">
            <v>Materiales Menores (Marcadores, Limpiador, Terminales Pequeños)</v>
          </cell>
          <cell r="C848" t="str">
            <v>Glb</v>
          </cell>
          <cell r="D848">
            <v>1000</v>
          </cell>
          <cell r="E848">
            <v>3000</v>
          </cell>
        </row>
        <row r="849">
          <cell r="A849" t="str">
            <v>MAT,891</v>
          </cell>
          <cell r="B849" t="str">
            <v>Marcación General Tablero (ID Panel + Advertencia RETIE)</v>
          </cell>
          <cell r="C849" t="str">
            <v>Glb</v>
          </cell>
          <cell r="E849">
            <v>6000</v>
          </cell>
        </row>
        <row r="850">
          <cell r="A850" t="str">
            <v>MAT,892</v>
          </cell>
          <cell r="B850" t="str">
            <v>Marcación por Circuito (Etiqueta Breaker+Directorio)</v>
          </cell>
          <cell r="C850" t="str">
            <v>Cto</v>
          </cell>
          <cell r="E850">
            <v>500</v>
          </cell>
        </row>
        <row r="851">
          <cell r="A851" t="str">
            <v>MAT,893</v>
          </cell>
          <cell r="B851" t="str">
            <v>Cortacircuito, breaker o taco monopolar (1 polo) 15 amperios LX enchufe DSE</v>
          </cell>
          <cell r="C851" t="str">
            <v>Un</v>
          </cell>
          <cell r="E851">
            <v>17900</v>
          </cell>
        </row>
        <row r="852">
          <cell r="A852" t="str">
            <v>MAT,894</v>
          </cell>
          <cell r="B852" t="str">
            <v>Cortacircuito, breaker o taco monopolar (1 polo) 30 amperios LX enchufe DSE</v>
          </cell>
          <cell r="C852" t="str">
            <v>Un</v>
          </cell>
          <cell r="E852">
            <v>22900</v>
          </cell>
        </row>
        <row r="853">
          <cell r="A853" t="str">
            <v>MAT,895</v>
          </cell>
          <cell r="B853" t="str">
            <v>Cortacircuito, breaker o taco monopolar (1 polo) 40 amperios LX enchufe DSE</v>
          </cell>
          <cell r="C853" t="str">
            <v>Un</v>
          </cell>
          <cell r="E853">
            <v>22900</v>
          </cell>
        </row>
        <row r="854">
          <cell r="A854" t="str">
            <v>MAT,896</v>
          </cell>
          <cell r="B854" t="str">
            <v>Cortacircuito, breaker o taco monopolar (1 polo) 50 amperios LX enchufe DSE</v>
          </cell>
          <cell r="C854" t="str">
            <v>Un</v>
          </cell>
          <cell r="E854">
            <v>20900</v>
          </cell>
        </row>
        <row r="855">
          <cell r="A855" t="str">
            <v>MAT,897</v>
          </cell>
          <cell r="B855" t="str">
            <v>Cortacircuito, breaker o taco monopolar (1 polo) 60 amperios LX enchufe DSE</v>
          </cell>
          <cell r="C855" t="str">
            <v>Un</v>
          </cell>
          <cell r="E855">
            <v>20900</v>
          </cell>
        </row>
        <row r="856">
          <cell r="A856" t="str">
            <v>MAT,898</v>
          </cell>
          <cell r="B856" t="str">
            <v>Cortacircuito, breaker o taco monopolar (1 polo) 70 amperios LX enchufe DSE</v>
          </cell>
          <cell r="C856" t="str">
            <v>Un</v>
          </cell>
          <cell r="E856">
            <v>52900</v>
          </cell>
        </row>
        <row r="857">
          <cell r="A857" t="str">
            <v>MAT,900</v>
          </cell>
          <cell r="B857" t="str">
            <v>Cortacircuito, breaker o taco monopolar (1 polo) 90 amperios LX enchufe DSE</v>
          </cell>
          <cell r="C857" t="str">
            <v>Un</v>
          </cell>
          <cell r="E857">
            <v>52900</v>
          </cell>
        </row>
        <row r="858">
          <cell r="A858" t="str">
            <v>MAT,901</v>
          </cell>
          <cell r="B858" t="str">
            <v>Cortacircuito, breaker o taco monopolar (1 polo) 100 amperios LX enchufe DSE</v>
          </cell>
          <cell r="C858" t="str">
            <v>Un</v>
          </cell>
          <cell r="E858">
            <v>52900</v>
          </cell>
        </row>
        <row r="859">
          <cell r="A859" t="str">
            <v>MAT,902</v>
          </cell>
          <cell r="B859" t="str">
            <v>ANILLO MARCACION 12-6AWG AR2 #0 DEXSON DXN21R20</v>
          </cell>
          <cell r="C859" t="str">
            <v>Un</v>
          </cell>
          <cell r="E859">
            <v>55.57</v>
          </cell>
        </row>
        <row r="860">
          <cell r="A860" t="str">
            <v>MAT,903</v>
          </cell>
          <cell r="B860" t="str">
            <v>Amarre Plastico 10 cm Bolsa DEXON</v>
          </cell>
          <cell r="C860" t="str">
            <v>Un</v>
          </cell>
          <cell r="E860">
            <v>36</v>
          </cell>
        </row>
        <row r="861">
          <cell r="A861" t="str">
            <v>MAT,904</v>
          </cell>
          <cell r="B861" t="str">
            <v>Cortacircuito, breaker o taco bipolar (2 polos) 15 amperios LX enchufe DSE</v>
          </cell>
          <cell r="C861" t="str">
            <v>Un</v>
          </cell>
          <cell r="E861">
            <v>49900</v>
          </cell>
        </row>
        <row r="862">
          <cell r="A862" t="str">
            <v>MAT,905</v>
          </cell>
          <cell r="B862" t="str">
            <v>Cortacircuito, breaker o taco bipolar (2 polos) 30 amperios LX enchufe DSE</v>
          </cell>
          <cell r="C862" t="str">
            <v>Un</v>
          </cell>
          <cell r="E862">
            <v>49900</v>
          </cell>
        </row>
        <row r="863">
          <cell r="A863" t="str">
            <v>MAT,906</v>
          </cell>
          <cell r="B863" t="str">
            <v>Cortacircuito, breaker o taco bipolar (2 polos) 40 amperios LX enchufe DSE</v>
          </cell>
          <cell r="C863" t="str">
            <v>Un</v>
          </cell>
          <cell r="E863">
            <v>61900</v>
          </cell>
        </row>
        <row r="864">
          <cell r="A864" t="str">
            <v>MAT,907</v>
          </cell>
          <cell r="B864" t="str">
            <v>Cortacircuito, breaker o taco bipolar (2 polos) 50 amperios LX enchufe DSE</v>
          </cell>
          <cell r="C864" t="str">
            <v>Un</v>
          </cell>
          <cell r="E864">
            <v>61900</v>
          </cell>
        </row>
        <row r="865">
          <cell r="A865" t="str">
            <v>MAT,908</v>
          </cell>
          <cell r="B865" t="str">
            <v>Cortacircuito, breaker o taco bipolar (2 polos) 60 amperios LX enchufe DSE</v>
          </cell>
          <cell r="C865" t="str">
            <v>Un</v>
          </cell>
          <cell r="E865">
            <v>62600</v>
          </cell>
        </row>
        <row r="866">
          <cell r="A866" t="str">
            <v>MAT,909</v>
          </cell>
          <cell r="B866" t="str">
            <v>Cortacircuito, breaker o taco bipolar (2 polos) 70 amperios LX enchufe DSE</v>
          </cell>
          <cell r="C866" t="str">
            <v>Un</v>
          </cell>
          <cell r="E866">
            <v>97800</v>
          </cell>
        </row>
        <row r="867">
          <cell r="A867" t="str">
            <v>MAT,911</v>
          </cell>
          <cell r="B867" t="str">
            <v>Cortacircuito, breaker o taco bipolar (2 polos) 90 amperios LX enchufe DSE</v>
          </cell>
          <cell r="C867" t="str">
            <v>Un</v>
          </cell>
          <cell r="E867">
            <v>97800</v>
          </cell>
        </row>
        <row r="868">
          <cell r="A868" t="str">
            <v>MAT,912</v>
          </cell>
          <cell r="B868" t="str">
            <v>Cortacircuito, breaker o taco bipolar (2 polos) 100 amperios LX enchufe DSE</v>
          </cell>
          <cell r="C868" t="str">
            <v>Un</v>
          </cell>
          <cell r="E868">
            <v>97800</v>
          </cell>
        </row>
        <row r="869">
          <cell r="A869" t="str">
            <v>MAT,913</v>
          </cell>
          <cell r="B869" t="str">
            <v>Cortacircuito, breaker o taco tripolar (3 polos) 15 amperios LX enchufe DSE</v>
          </cell>
          <cell r="C869" t="str">
            <v>Un</v>
          </cell>
          <cell r="E869">
            <v>114300</v>
          </cell>
        </row>
        <row r="870">
          <cell r="A870" t="str">
            <v>MAT,914</v>
          </cell>
          <cell r="B870" t="str">
            <v>Cortacircuito, breaker o taco tripolar (3 polos) 30 amperios LX enchufe DSE</v>
          </cell>
          <cell r="C870" t="str">
            <v>Un</v>
          </cell>
          <cell r="E870">
            <v>114300</v>
          </cell>
        </row>
        <row r="871">
          <cell r="A871" t="str">
            <v>MAT,915</v>
          </cell>
          <cell r="B871" t="str">
            <v>Cortacircuito, breaker o taco tripolar (3 polos) 40 amperios LX enchufe DSE</v>
          </cell>
          <cell r="C871" t="str">
            <v>Un</v>
          </cell>
          <cell r="E871">
            <v>114300</v>
          </cell>
        </row>
        <row r="872">
          <cell r="A872" t="str">
            <v>MAT,916</v>
          </cell>
          <cell r="B872" t="str">
            <v>Cortacircuito, breaker o taco tripolar (3 polos) 50 amperios LX enchufe DSE</v>
          </cell>
          <cell r="C872" t="str">
            <v>Un</v>
          </cell>
          <cell r="E872">
            <v>119900</v>
          </cell>
        </row>
        <row r="873">
          <cell r="A873" t="str">
            <v>MAT,917</v>
          </cell>
          <cell r="B873" t="str">
            <v>Cortacircuito, breaker o taco tripolar (3 polos) 60 amperios LX enchufe DSE</v>
          </cell>
          <cell r="C873" t="str">
            <v>Un</v>
          </cell>
          <cell r="E873">
            <v>119900</v>
          </cell>
        </row>
        <row r="874">
          <cell r="A874" t="str">
            <v>MAT,918</v>
          </cell>
          <cell r="B874" t="str">
            <v>Cortacircuito, breaker o taco tripolar (3 polos) 70 amperios LX enchufe DSE</v>
          </cell>
          <cell r="C874" t="str">
            <v>Un</v>
          </cell>
          <cell r="E874">
            <v>153900</v>
          </cell>
        </row>
        <row r="875">
          <cell r="A875" t="str">
            <v>MAT,919</v>
          </cell>
          <cell r="B875" t="str">
            <v>Cortacircuito, breaker o taco tripolar (3 polos) 90 amperios LX enchufe DSE</v>
          </cell>
          <cell r="C875" t="str">
            <v>Un</v>
          </cell>
          <cell r="E875">
            <v>153900</v>
          </cell>
        </row>
        <row r="876">
          <cell r="A876" t="str">
            <v>MAT,920</v>
          </cell>
          <cell r="B876" t="str">
            <v>Cortacircuito, breaker o taco tripolar (3 polos) 100 amperios LX enchufe DSE</v>
          </cell>
          <cell r="C876" t="str">
            <v>Un</v>
          </cell>
          <cell r="E876">
            <v>153900</v>
          </cell>
        </row>
        <row r="877">
          <cell r="A877" t="str">
            <v>MAT,921</v>
          </cell>
          <cell r="B877" t="str">
            <v>Disyuntor, GoPact MCCB 125, 3 polos, 15 kA a 415 VCA, clasificación de 100 A, unidad de desconexión TMD, protección térmica fija – SCHNEIDER G12E3F100</v>
          </cell>
          <cell r="C877" t="str">
            <v>Un</v>
          </cell>
          <cell r="E877">
            <v>198671</v>
          </cell>
        </row>
        <row r="878">
          <cell r="A878" t="str">
            <v>MAT,922</v>
          </cell>
          <cell r="B878" t="str">
            <v>Borna Ponchar hasta calibre 2 AWG Estañada Cobre Barril Largo Ojo 5-16 T11BL1E2C</v>
          </cell>
          <cell r="C878" t="str">
            <v>Un</v>
          </cell>
          <cell r="E878">
            <v>2750</v>
          </cell>
        </row>
        <row r="879">
          <cell r="A879" t="str">
            <v>MAT,923</v>
          </cell>
          <cell r="B879" t="str">
            <v>Puentes de conexión (totalizador-barras), calibre igual o superior al de la acometida del tablero. Cable hasta calibre 2AWG, 3 tramos de 50 cm</v>
          </cell>
          <cell r="C879" t="str">
            <v>M</v>
          </cell>
          <cell r="E879">
            <v>26200</v>
          </cell>
        </row>
        <row r="880">
          <cell r="A880" t="str">
            <v>MAT,924</v>
          </cell>
          <cell r="B880" t="str">
            <v>ANILLO MARCADOR PARA CABLE AR2 UN DEXSON</v>
          </cell>
          <cell r="C880" t="str">
            <v>Un</v>
          </cell>
          <cell r="E880">
            <v>51.4437</v>
          </cell>
        </row>
        <row r="881">
          <cell r="A881" t="str">
            <v>MAT,925</v>
          </cell>
          <cell r="B881" t="str">
            <v>Prensa Estopa 3/4 Pulgada (21Mm)</v>
          </cell>
          <cell r="C881" t="str">
            <v>Un</v>
          </cell>
          <cell r="E881">
            <v>5200</v>
          </cell>
        </row>
        <row r="882">
          <cell r="A882" t="str">
            <v>MAT,926</v>
          </cell>
          <cell r="B882" t="str">
            <v>CHAZO PLASTICO 3/8 GIGANTE CON TORNILLO</v>
          </cell>
          <cell r="C882" t="str">
            <v>Un</v>
          </cell>
          <cell r="E882">
            <v>305.83</v>
          </cell>
        </row>
        <row r="883">
          <cell r="A883" t="str">
            <v>MAT,927</v>
          </cell>
          <cell r="B883" t="str">
            <v>Empaque Conduleta 3/4</v>
          </cell>
          <cell r="C883" t="str">
            <v>Un</v>
          </cell>
          <cell r="E883">
            <v>1520</v>
          </cell>
        </row>
        <row r="884">
          <cell r="A884" t="str">
            <v>MAT,928</v>
          </cell>
          <cell r="B884" t="str">
            <v>Curva prefabricada 90 Grados Galvanizada IMC de 3/4</v>
          </cell>
          <cell r="C884" t="str">
            <v>Un</v>
          </cell>
          <cell r="E884">
            <v>6150</v>
          </cell>
        </row>
        <row r="885">
          <cell r="A885" t="str">
            <v>MAT,929</v>
          </cell>
          <cell r="B885" t="str">
            <v>Terminales Tubo IMC de 3/4</v>
          </cell>
          <cell r="C885" t="str">
            <v>Un</v>
          </cell>
          <cell r="E885">
            <v>1800</v>
          </cell>
        </row>
        <row r="886">
          <cell r="A886" t="str">
            <v>MAT,930</v>
          </cell>
          <cell r="B886" t="str">
            <v>Tablero monofásico 4 circuitos con barraje de 75 A  barras de neutro y  tierra. Ref. VTQ-6-SQ marca Schneider Electric o similar</v>
          </cell>
          <cell r="C886" t="str">
            <v>Un</v>
          </cell>
          <cell r="E886">
            <v>45000</v>
          </cell>
        </row>
        <row r="887">
          <cell r="A887" t="str">
            <v>MAT,931</v>
          </cell>
          <cell r="B887" t="str">
            <v>Adaptador terminal conduit EMT 1/2"</v>
          </cell>
          <cell r="C887" t="str">
            <v>Un</v>
          </cell>
          <cell r="E887">
            <v>950</v>
          </cell>
        </row>
        <row r="888">
          <cell r="A888" t="str">
            <v>MAT,932</v>
          </cell>
          <cell r="B888" t="str">
            <v>Curva conduit EMT 1/2"</v>
          </cell>
          <cell r="C888" t="str">
            <v>Un</v>
          </cell>
          <cell r="E888">
            <v>1050</v>
          </cell>
        </row>
        <row r="889">
          <cell r="A889" t="str">
            <v>MAT,933</v>
          </cell>
          <cell r="B889" t="str">
            <v>Tapa lisa metalica para caja 2"x4" radweld</v>
          </cell>
          <cell r="C889" t="str">
            <v>Un</v>
          </cell>
          <cell r="E889">
            <v>3300</v>
          </cell>
        </row>
        <row r="890">
          <cell r="A890" t="str">
            <v>EQUIPO Y ENSAYOS</v>
          </cell>
        </row>
        <row r="892">
          <cell r="A892" t="str">
            <v>EQU033</v>
          </cell>
          <cell r="B892" t="str">
            <v>Alquiler de campero o camioneta modelo &gt; 2016 de 2.600 o más C. C., con conductor</v>
          </cell>
          <cell r="C892" t="str">
            <v>Día</v>
          </cell>
          <cell r="E892">
            <v>378333.33333333331</v>
          </cell>
        </row>
        <row r="893">
          <cell r="A893" t="str">
            <v>EQU050</v>
          </cell>
          <cell r="B893" t="str">
            <v>Alquiler diario de cesta elevadora de brazo articulado, motor diésel, de 16 m de altura máxima de trabajo, incluso mantenimiento y seguro de responsabilidad civil</v>
          </cell>
          <cell r="C893" t="str">
            <v>Día</v>
          </cell>
          <cell r="E893">
            <v>315206</v>
          </cell>
        </row>
        <row r="894">
          <cell r="A894" t="str">
            <v>EQU006</v>
          </cell>
          <cell r="B894" t="str">
            <v>Andamio certificado</v>
          </cell>
          <cell r="C894" t="str">
            <v>%MO</v>
          </cell>
          <cell r="E894">
            <v>0</v>
          </cell>
        </row>
        <row r="895">
          <cell r="A895" t="str">
            <v>EQU048</v>
          </cell>
          <cell r="B895" t="str">
            <v>Andamio tubular certificado incluye arnés y línea de vida</v>
          </cell>
          <cell r="C895" t="str">
            <v>Día</v>
          </cell>
          <cell r="E895">
            <v>2500</v>
          </cell>
        </row>
        <row r="896">
          <cell r="A896" t="str">
            <v>EQU061</v>
          </cell>
          <cell r="B896" t="str">
            <v>Aspersor manual</v>
          </cell>
          <cell r="C896" t="str">
            <v>Día</v>
          </cell>
          <cell r="E896">
            <v>20760</v>
          </cell>
        </row>
        <row r="897">
          <cell r="A897" t="str">
            <v>EQU040</v>
          </cell>
          <cell r="B897" t="str">
            <v>Bomba para concreto</v>
          </cell>
          <cell r="C897" t="str">
            <v>Hr</v>
          </cell>
          <cell r="E897">
            <v>48300</v>
          </cell>
        </row>
        <row r="898">
          <cell r="A898" t="str">
            <v>EQU004</v>
          </cell>
          <cell r="B898" t="str">
            <v>Bulldozer, potencia al volante de 140 HP, motor de 2200 RPM, longitud de hoja 4,80 m</v>
          </cell>
          <cell r="C898" t="str">
            <v>Hr</v>
          </cell>
          <cell r="E898">
            <v>238000</v>
          </cell>
        </row>
        <row r="899">
          <cell r="A899" t="str">
            <v>EQU030</v>
          </cell>
          <cell r="B899" t="str">
            <v>Cama baja</v>
          </cell>
          <cell r="C899" t="str">
            <v>Serv x 10 Km</v>
          </cell>
          <cell r="E899">
            <v>26747</v>
          </cell>
        </row>
        <row r="900">
          <cell r="A900" t="str">
            <v>EQU066</v>
          </cell>
          <cell r="B900" t="str">
            <v>Camión dobletroque</v>
          </cell>
          <cell r="C900" t="str">
            <v>Tn</v>
          </cell>
          <cell r="E900">
            <v>60000</v>
          </cell>
        </row>
        <row r="901">
          <cell r="A901" t="str">
            <v>EQU057</v>
          </cell>
          <cell r="B901" t="str">
            <v>Camisa metálica recuperable para pilotes</v>
          </cell>
          <cell r="C901" t="str">
            <v>Día</v>
          </cell>
          <cell r="E901">
            <v>39444</v>
          </cell>
        </row>
        <row r="902">
          <cell r="A902" t="str">
            <v>EQU009</v>
          </cell>
          <cell r="B902" t="str">
            <v>Cargador 930 1,5 yd3</v>
          </cell>
          <cell r="C902" t="str">
            <v>Hr</v>
          </cell>
          <cell r="E902">
            <v>113000</v>
          </cell>
        </row>
        <row r="903">
          <cell r="A903" t="str">
            <v>EQU023</v>
          </cell>
          <cell r="B903" t="str">
            <v>Carrotanque agua</v>
          </cell>
          <cell r="C903" t="str">
            <v>Hr</v>
          </cell>
          <cell r="E903">
            <v>104125</v>
          </cell>
        </row>
        <row r="904">
          <cell r="A904" t="str">
            <v>EQU020</v>
          </cell>
          <cell r="B904" t="str">
            <v>Carrotanque asfalto</v>
          </cell>
          <cell r="C904" t="str">
            <v>Hr</v>
          </cell>
          <cell r="E904">
            <v>107100</v>
          </cell>
        </row>
        <row r="905">
          <cell r="A905" t="str">
            <v>EQU065</v>
          </cell>
          <cell r="B905" t="str">
            <v>Cercha metálica 3 m</v>
          </cell>
          <cell r="C905" t="str">
            <v>Día</v>
          </cell>
          <cell r="E905">
            <v>117</v>
          </cell>
        </row>
        <row r="906">
          <cell r="A906" t="str">
            <v>EQU013</v>
          </cell>
          <cell r="B906" t="str">
            <v>Cilindro compactador vibratorio Dynapac y tractor</v>
          </cell>
          <cell r="C906" t="str">
            <v>Hr</v>
          </cell>
          <cell r="E906">
            <v>75000</v>
          </cell>
        </row>
        <row r="907">
          <cell r="A907" t="str">
            <v>EQU034</v>
          </cell>
          <cell r="B907" t="str">
            <v>Compactador manual (canguro)</v>
          </cell>
          <cell r="C907" t="str">
            <v>Día</v>
          </cell>
          <cell r="E907">
            <v>39483</v>
          </cell>
        </row>
        <row r="908">
          <cell r="A908" t="str">
            <v>EQU022</v>
          </cell>
          <cell r="B908" t="str">
            <v>Compactador neumático con tractor</v>
          </cell>
          <cell r="C908" t="str">
            <v>Hr</v>
          </cell>
          <cell r="E908">
            <v>165410</v>
          </cell>
        </row>
        <row r="909">
          <cell r="A909" t="str">
            <v>EQU060</v>
          </cell>
          <cell r="B909" t="str">
            <v>Compresor (barrido y soplado)</v>
          </cell>
          <cell r="C909" t="str">
            <v>Día</v>
          </cell>
          <cell r="E909">
            <v>59000</v>
          </cell>
        </row>
        <row r="910">
          <cell r="A910" t="str">
            <v>EQU005</v>
          </cell>
          <cell r="B910" t="str">
            <v>Compresor 185 pies3 CFM de 2 martillos, incluye 2 operarios y combustible</v>
          </cell>
          <cell r="C910" t="str">
            <v>Hr</v>
          </cell>
          <cell r="E910">
            <v>83000</v>
          </cell>
        </row>
        <row r="911">
          <cell r="A911" t="str">
            <v>EQU021</v>
          </cell>
          <cell r="B911" t="str">
            <v>Compresor pintura</v>
          </cell>
          <cell r="C911" t="str">
            <v>Día</v>
          </cell>
          <cell r="E911">
            <v>35700</v>
          </cell>
        </row>
        <row r="912">
          <cell r="A912" t="str">
            <v>EQU003</v>
          </cell>
          <cell r="B912" t="str">
            <v>Concretadora gasolina 1 o 1 1/2 sacos</v>
          </cell>
          <cell r="C912" t="str">
            <v>Día</v>
          </cell>
          <cell r="E912">
            <v>37800</v>
          </cell>
        </row>
        <row r="913">
          <cell r="A913" t="str">
            <v>EQU001</v>
          </cell>
          <cell r="B913" t="str">
            <v>Control de agua</v>
          </cell>
          <cell r="C913" t="str">
            <v>%MO</v>
          </cell>
          <cell r="E913">
            <v>0</v>
          </cell>
        </row>
        <row r="914">
          <cell r="A914" t="str">
            <v>EQU031</v>
          </cell>
          <cell r="B914" t="str">
            <v>Cortadora de concreto con disco</v>
          </cell>
          <cell r="C914" t="str">
            <v>Día</v>
          </cell>
          <cell r="E914">
            <v>166600</v>
          </cell>
        </row>
        <row r="915">
          <cell r="A915" t="str">
            <v>EQU035</v>
          </cell>
          <cell r="B915" t="str">
            <v>Cortadora de ladrillo sin disco</v>
          </cell>
          <cell r="C915" t="str">
            <v>Día</v>
          </cell>
          <cell r="E915">
            <v>35700</v>
          </cell>
        </row>
        <row r="916">
          <cell r="A916" t="str">
            <v>ESY001</v>
          </cell>
          <cell r="B916" t="str">
            <v>Ensayo resistencia concretos</v>
          </cell>
          <cell r="C916" t="str">
            <v>Un</v>
          </cell>
          <cell r="E916">
            <v>12852</v>
          </cell>
        </row>
        <row r="917">
          <cell r="A917" t="str">
            <v>EQU017</v>
          </cell>
          <cell r="B917" t="str">
            <v>Entibado (% de mano de obra)</v>
          </cell>
          <cell r="C917" t="str">
            <v>%MO</v>
          </cell>
          <cell r="E917">
            <v>0</v>
          </cell>
        </row>
        <row r="918">
          <cell r="A918" t="str">
            <v>EQU011</v>
          </cell>
          <cell r="B918" t="str">
            <v>Equipo completo de topografía</v>
          </cell>
          <cell r="C918" t="str">
            <v>Día</v>
          </cell>
          <cell r="E918">
            <v>109900</v>
          </cell>
        </row>
        <row r="919">
          <cell r="A919" t="str">
            <v>EQU042</v>
          </cell>
          <cell r="B919" t="str">
            <v>Equipo de Oxicorte (Oxigeno - Acetileno)</v>
          </cell>
          <cell r="C919" t="str">
            <v>Día</v>
          </cell>
          <cell r="E919">
            <v>73880.688000000009</v>
          </cell>
        </row>
        <row r="920">
          <cell r="A920" t="str">
            <v>EQU032</v>
          </cell>
          <cell r="B920" t="str">
            <v>Equipo móvil pintura línea vías, incluye camioneta guía</v>
          </cell>
          <cell r="C920" t="str">
            <v>Día</v>
          </cell>
          <cell r="E920">
            <v>582243.26399999997</v>
          </cell>
        </row>
        <row r="921">
          <cell r="A921" t="str">
            <v>EQU036</v>
          </cell>
          <cell r="B921" t="str">
            <v>Equipo perforación de pilotes</v>
          </cell>
          <cell r="C921" t="str">
            <v>Hr</v>
          </cell>
          <cell r="E921">
            <v>400687.72200000001</v>
          </cell>
        </row>
        <row r="922">
          <cell r="A922" t="str">
            <v>EQU039</v>
          </cell>
          <cell r="B922" t="str">
            <v>Equipo soldadura eléctrica</v>
          </cell>
          <cell r="C922" t="str">
            <v>Día</v>
          </cell>
          <cell r="E922">
            <v>48000</v>
          </cell>
        </row>
        <row r="923">
          <cell r="A923" t="str">
            <v>EQU049</v>
          </cell>
          <cell r="B923" t="str">
            <v>Equipo y elementos auxiliares para soldadura eléctrica</v>
          </cell>
          <cell r="C923" t="str">
            <v>Hr</v>
          </cell>
          <cell r="E923">
            <v>8364</v>
          </cell>
        </row>
        <row r="924">
          <cell r="A924" t="str">
            <v>EQU019</v>
          </cell>
          <cell r="B924" t="str">
            <v>Finisher (pavimentadora) con operario</v>
          </cell>
          <cell r="C924" t="str">
            <v>Hr</v>
          </cell>
          <cell r="E924">
            <v>173872.266</v>
          </cell>
        </row>
        <row r="925">
          <cell r="A925" t="str">
            <v>EQU056</v>
          </cell>
          <cell r="B925" t="str">
            <v>Formaleta cónica para caissons</v>
          </cell>
          <cell r="C925" t="str">
            <v>Día</v>
          </cell>
          <cell r="E925">
            <v>15470</v>
          </cell>
        </row>
        <row r="926">
          <cell r="A926" t="str">
            <v>EQU025</v>
          </cell>
          <cell r="B926" t="str">
            <v>Formaleta cono cámara</v>
          </cell>
          <cell r="C926" t="str">
            <v>Día</v>
          </cell>
          <cell r="E926">
            <v>15446</v>
          </cell>
        </row>
        <row r="927">
          <cell r="A927" t="str">
            <v>EQU028</v>
          </cell>
          <cell r="B927" t="str">
            <v>Formaleta cuerpo cámara inspección 1,20 m</v>
          </cell>
          <cell r="C927" t="str">
            <v>Día</v>
          </cell>
          <cell r="E927">
            <v>17850</v>
          </cell>
        </row>
        <row r="928">
          <cell r="A928" t="str">
            <v>EQU027</v>
          </cell>
          <cell r="B928" t="str">
            <v>Formaleta pavimento concreto 3 m</v>
          </cell>
          <cell r="C928" t="str">
            <v>Día</v>
          </cell>
          <cell r="E928">
            <v>2595</v>
          </cell>
        </row>
        <row r="929">
          <cell r="A929" t="str">
            <v>EQU051</v>
          </cell>
          <cell r="B929" t="str">
            <v>Grúa autopropulsada de brazo telescópico con una capacidad de elevación de 12 t y 20 m de altura máxima de trabajo</v>
          </cell>
          <cell r="C929" t="str">
            <v>Hr</v>
          </cell>
          <cell r="E929">
            <v>134053</v>
          </cell>
        </row>
        <row r="930">
          <cell r="A930" t="str">
            <v>EQU038</v>
          </cell>
          <cell r="B930" t="str">
            <v>Grúa montacarga (7 Tn)</v>
          </cell>
          <cell r="C930" t="str">
            <v>Hr</v>
          </cell>
          <cell r="E930">
            <v>183310.80000000002</v>
          </cell>
        </row>
        <row r="931">
          <cell r="A931" t="str">
            <v>EQU014</v>
          </cell>
          <cell r="B931" t="str">
            <v>Guadaña</v>
          </cell>
          <cell r="C931" t="str">
            <v>Día</v>
          </cell>
          <cell r="E931">
            <v>35700</v>
          </cell>
        </row>
        <row r="932">
          <cell r="A932" t="str">
            <v>EQU002</v>
          </cell>
          <cell r="B932" t="str">
            <v>Herramienta menor (%ManoObra)</v>
          </cell>
          <cell r="C932" t="str">
            <v>%MO</v>
          </cell>
          <cell r="E932">
            <v>0</v>
          </cell>
        </row>
        <row r="933">
          <cell r="A933" t="str">
            <v>EQU029</v>
          </cell>
          <cell r="B933" t="str">
            <v>Manejo de tubería</v>
          </cell>
          <cell r="C933" t="str">
            <v>%MO</v>
          </cell>
          <cell r="E933">
            <v>0</v>
          </cell>
        </row>
        <row r="934">
          <cell r="A934" t="str">
            <v>EQU053</v>
          </cell>
          <cell r="B934" t="str">
            <v>Máquina hidro sembradora 1000 - 4000 litros</v>
          </cell>
          <cell r="C934" t="str">
            <v>Hr</v>
          </cell>
          <cell r="E934">
            <v>43612</v>
          </cell>
        </row>
        <row r="935">
          <cell r="A935" t="str">
            <v>EQU047</v>
          </cell>
          <cell r="B935" t="str">
            <v>Molde en poliuretano de ± 0,60 x 0,60 m</v>
          </cell>
          <cell r="C935" t="str">
            <v>Un</v>
          </cell>
          <cell r="E935">
            <v>406886</v>
          </cell>
        </row>
        <row r="936">
          <cell r="A936" t="str">
            <v>EQU062</v>
          </cell>
          <cell r="B936" t="str">
            <v>Motobomba de concreto</v>
          </cell>
          <cell r="C936" t="str">
            <v>M3</v>
          </cell>
          <cell r="E936">
            <v>41520</v>
          </cell>
        </row>
        <row r="937">
          <cell r="A937" t="str">
            <v>EQU016</v>
          </cell>
          <cell r="B937" t="str">
            <v>Motobomba sumergible 3" con manguera</v>
          </cell>
          <cell r="C937" t="str">
            <v>Día</v>
          </cell>
          <cell r="E937">
            <v>37000</v>
          </cell>
        </row>
        <row r="938">
          <cell r="A938" t="str">
            <v>EQU008</v>
          </cell>
          <cell r="B938" t="str">
            <v xml:space="preserve">Motoniveladora </v>
          </cell>
          <cell r="C938" t="str">
            <v>Hr</v>
          </cell>
          <cell r="E938">
            <v>200000</v>
          </cell>
        </row>
        <row r="939">
          <cell r="A939" t="str">
            <v>EQU059</v>
          </cell>
          <cell r="B939" t="str">
            <v>Motosierra 93.6 cm3 - 7.1 HP, 45-90 cm - 7.9 Kg</v>
          </cell>
          <cell r="C939" t="str">
            <v>Día</v>
          </cell>
          <cell r="E939">
            <v>27000</v>
          </cell>
        </row>
        <row r="940">
          <cell r="A940" t="str">
            <v>EQU063</v>
          </cell>
          <cell r="B940" t="str">
            <v>Pala auxiliar de piloteadora</v>
          </cell>
          <cell r="C940" t="str">
            <v>Hr</v>
          </cell>
          <cell r="E940">
            <v>275070</v>
          </cell>
        </row>
        <row r="941">
          <cell r="A941" t="str">
            <v>EQU015</v>
          </cell>
          <cell r="B941" t="str">
            <v>Pulidora sin operario</v>
          </cell>
          <cell r="C941" t="str">
            <v>Día</v>
          </cell>
          <cell r="E941">
            <v>26180</v>
          </cell>
        </row>
        <row r="942">
          <cell r="A942" t="str">
            <v>EQU026</v>
          </cell>
          <cell r="B942" t="str">
            <v>Regla vibradora</v>
          </cell>
          <cell r="C942" t="str">
            <v>Día</v>
          </cell>
          <cell r="E942">
            <v>47600</v>
          </cell>
        </row>
        <row r="943">
          <cell r="A943" t="str">
            <v>EQU064</v>
          </cell>
          <cell r="B943" t="str">
            <v>Retroexcavadora A25C</v>
          </cell>
          <cell r="C943" t="str">
            <v>Hr</v>
          </cell>
          <cell r="E943">
            <v>261800</v>
          </cell>
        </row>
        <row r="944">
          <cell r="A944" t="str">
            <v>EQU024</v>
          </cell>
          <cell r="B944" t="str">
            <v>Retroexcavadora de orugas capacidad 0,9 m3 (1,5 m3)</v>
          </cell>
          <cell r="C944" t="str">
            <v>Hr</v>
          </cell>
          <cell r="E944">
            <v>180000</v>
          </cell>
        </row>
        <row r="945">
          <cell r="A945" t="str">
            <v>EQU044</v>
          </cell>
          <cell r="B945" t="str">
            <v>Tablero formaleta 90 x 135</v>
          </cell>
          <cell r="C945" t="str">
            <v>Día</v>
          </cell>
          <cell r="E945">
            <v>810</v>
          </cell>
        </row>
        <row r="946">
          <cell r="A946" t="str">
            <v>EQU007</v>
          </cell>
          <cell r="B946" t="str">
            <v>Taco metálico de 2 - &gt; 3 m</v>
          </cell>
          <cell r="C946" t="str">
            <v>Día</v>
          </cell>
          <cell r="E946">
            <v>286</v>
          </cell>
        </row>
        <row r="947">
          <cell r="A947" t="str">
            <v>EQU043</v>
          </cell>
          <cell r="B947" t="str">
            <v>Taco metálico de 2,6 - &gt; 4 m</v>
          </cell>
          <cell r="C947" t="str">
            <v>Día</v>
          </cell>
          <cell r="E947">
            <v>238</v>
          </cell>
        </row>
        <row r="948">
          <cell r="A948" t="str">
            <v>EQU045</v>
          </cell>
          <cell r="B948" t="str">
            <v>Taladro percutor, incluye broca</v>
          </cell>
          <cell r="C948" t="str">
            <v>Día</v>
          </cell>
          <cell r="E948">
            <v>145950</v>
          </cell>
        </row>
        <row r="949">
          <cell r="A949" t="str">
            <v>EQU046</v>
          </cell>
          <cell r="B949" t="str">
            <v>Taladro tipo roto martillo, incluye broca</v>
          </cell>
          <cell r="C949" t="str">
            <v>Día</v>
          </cell>
          <cell r="E949">
            <v>241650</v>
          </cell>
        </row>
        <row r="950">
          <cell r="A950" t="str">
            <v>EQU054</v>
          </cell>
          <cell r="B950" t="str">
            <v>Telera de 3,5 x 24 cm x 2,9 m de sajo</v>
          </cell>
          <cell r="C950" t="str">
            <v>Día</v>
          </cell>
          <cell r="E950">
            <v>595</v>
          </cell>
        </row>
        <row r="951">
          <cell r="A951" t="str">
            <v>ESY002</v>
          </cell>
          <cell r="B951" t="str">
            <v>Toma de densidades</v>
          </cell>
          <cell r="C951" t="str">
            <v>Un</v>
          </cell>
          <cell r="E951">
            <v>77474</v>
          </cell>
        </row>
        <row r="952">
          <cell r="A952" t="str">
            <v>EQU041</v>
          </cell>
          <cell r="B952" t="str">
            <v>Transporte (% materiales)</v>
          </cell>
          <cell r="C952" t="str">
            <v>%Mat</v>
          </cell>
          <cell r="E952">
            <v>0</v>
          </cell>
        </row>
        <row r="953">
          <cell r="A953" t="str">
            <v>EQU037</v>
          </cell>
          <cell r="B953" t="str">
            <v>Transporte de materiales en mula</v>
          </cell>
          <cell r="C953" t="str">
            <v>Cg</v>
          </cell>
          <cell r="E953">
            <v>4385</v>
          </cell>
        </row>
        <row r="954">
          <cell r="A954" t="str">
            <v>EQU018</v>
          </cell>
          <cell r="B954" t="str">
            <v>Vibrador eléctrico o a gasolina</v>
          </cell>
          <cell r="C954" t="str">
            <v>Día</v>
          </cell>
          <cell r="E954">
            <v>58310</v>
          </cell>
        </row>
        <row r="955">
          <cell r="A955" t="str">
            <v>EQU012</v>
          </cell>
          <cell r="B955" t="str">
            <v xml:space="preserve">Vibrocompactador manual </v>
          </cell>
          <cell r="C955" t="str">
            <v>Día</v>
          </cell>
          <cell r="E955">
            <v>61880</v>
          </cell>
        </row>
        <row r="956">
          <cell r="A956" t="str">
            <v>EQU010</v>
          </cell>
          <cell r="B956" t="str">
            <v>Volqueta 7 m3</v>
          </cell>
          <cell r="C956" t="str">
            <v>Hr</v>
          </cell>
          <cell r="E956">
            <v>166600</v>
          </cell>
        </row>
        <row r="957">
          <cell r="A957" t="str">
            <v>EQU055</v>
          </cell>
          <cell r="B957" t="str">
            <v>Taladro perforador hasta 2"</v>
          </cell>
          <cell r="C957" t="str">
            <v>Hr</v>
          </cell>
          <cell r="E957">
            <v>92000</v>
          </cell>
        </row>
        <row r="958">
          <cell r="A958" t="str">
            <v>EQU058</v>
          </cell>
          <cell r="B958" t="str">
            <v>Broca de perforación de 1 1/4" SDS MAX</v>
          </cell>
          <cell r="C958" t="str">
            <v>Hr</v>
          </cell>
          <cell r="E958">
            <v>23000</v>
          </cell>
        </row>
        <row r="959">
          <cell r="A959" t="str">
            <v>EQU067</v>
          </cell>
          <cell r="B959" t="str">
            <v>Equipo de Hydroblasting completo</v>
          </cell>
        </row>
        <row r="960">
          <cell r="A960" t="str">
            <v>EQU068</v>
          </cell>
        </row>
        <row r="961">
          <cell r="A961" t="str">
            <v>EQU069</v>
          </cell>
        </row>
      </sheetData>
      <sheetData sheetId="1" refreshError="1">
        <row r="6">
          <cell r="A6" t="str">
            <v>Análisis Unitarios de Referencia Gobernación de Risaralda</v>
          </cell>
        </row>
        <row r="7">
          <cell r="A7" t="str">
            <v>G- ÍTEMS GENERALES</v>
          </cell>
        </row>
        <row r="8">
          <cell r="A8" t="str">
            <v>G - 01  CONCRETOS Y MORTEROS</v>
          </cell>
        </row>
        <row r="9">
          <cell r="A9" t="str">
            <v>ÍTEM</v>
          </cell>
          <cell r="B9" t="str">
            <v>CÓDIGO</v>
          </cell>
          <cell r="C9" t="str">
            <v>DESCRIPCIÓN</v>
          </cell>
          <cell r="D9" t="str">
            <v>UN</v>
          </cell>
          <cell r="E9" t="str">
            <v>CANT</v>
          </cell>
          <cell r="F9" t="str">
            <v>VR. UN.</v>
          </cell>
          <cell r="G9" t="str">
            <v>RENDIMIENTO, USOS, DESPEDICIOS</v>
          </cell>
          <cell r="H9" t="str">
            <v>VR. PARCIAL</v>
          </cell>
        </row>
        <row r="10">
          <cell r="A10" t="str">
            <v>G-01-01</v>
          </cell>
          <cell r="C10" t="str">
            <v xml:space="preserve">Concreto de 10,3 Mpa (1500 PSI) (Producción) </v>
          </cell>
          <cell r="D10" t="str">
            <v>M3</v>
          </cell>
          <cell r="F10">
            <v>368135</v>
          </cell>
        </row>
        <row r="11">
          <cell r="A11" t="str">
            <v>MAT</v>
          </cell>
          <cell r="B11" t="str">
            <v>MAT,027</v>
          </cell>
          <cell r="C11" t="str">
            <v xml:space="preserve">Agua </v>
          </cell>
          <cell r="D11" t="str">
            <v>Lt</v>
          </cell>
          <cell r="E11">
            <v>160</v>
          </cell>
          <cell r="F11">
            <v>19</v>
          </cell>
          <cell r="G11">
            <v>1.03</v>
          </cell>
          <cell r="H11">
            <v>3131.2</v>
          </cell>
        </row>
        <row r="12">
          <cell r="B12" t="str">
            <v>MAT,040</v>
          </cell>
          <cell r="C12" t="str">
            <v>Arena</v>
          </cell>
          <cell r="D12" t="str">
            <v>M3</v>
          </cell>
          <cell r="E12">
            <v>0.56000000000000005</v>
          </cell>
          <cell r="F12">
            <v>71990</v>
          </cell>
          <cell r="G12">
            <v>1.03</v>
          </cell>
          <cell r="H12">
            <v>41523.832000000002</v>
          </cell>
        </row>
        <row r="13">
          <cell r="B13" t="str">
            <v>MAT,068</v>
          </cell>
          <cell r="C13" t="str">
            <v>Cemento gris saco por 50 kilos</v>
          </cell>
          <cell r="D13" t="str">
            <v>Sc</v>
          </cell>
          <cell r="E13">
            <v>3.5</v>
          </cell>
          <cell r="F13">
            <v>31900</v>
          </cell>
          <cell r="G13">
            <v>1.03</v>
          </cell>
          <cell r="H13">
            <v>114999.5</v>
          </cell>
        </row>
        <row r="14">
          <cell r="B14" t="str">
            <v>MAT,410</v>
          </cell>
          <cell r="C14" t="str">
            <v>Triturado 3/4" para concreto</v>
          </cell>
          <cell r="D14" t="str">
            <v>M3</v>
          </cell>
          <cell r="E14">
            <v>0.97</v>
          </cell>
          <cell r="F14">
            <v>74972.5</v>
          </cell>
          <cell r="G14">
            <v>1.03</v>
          </cell>
          <cell r="H14">
            <v>74905.024749999997</v>
          </cell>
        </row>
        <row r="15">
          <cell r="A15" t="str">
            <v>M. O.</v>
          </cell>
          <cell r="B15" t="str">
            <v>MOB013</v>
          </cell>
          <cell r="C15" t="str">
            <v>Cuadrilla C 1 Of + 7 Ay (jornal + prestaciones)</v>
          </cell>
          <cell r="D15" t="str">
            <v>Día</v>
          </cell>
          <cell r="E15">
            <v>1</v>
          </cell>
          <cell r="F15">
            <v>786641</v>
          </cell>
          <cell r="G15">
            <v>0.1499999250000375</v>
          </cell>
          <cell r="H15">
            <v>117996.0910019545</v>
          </cell>
        </row>
        <row r="16">
          <cell r="A16" t="str">
            <v>EQUIPO</v>
          </cell>
          <cell r="B16" t="str">
            <v>EQU003</v>
          </cell>
          <cell r="C16" t="str">
            <v>Concretadora gasolina de 1 o 1 1/2 sacos</v>
          </cell>
          <cell r="D16" t="str">
            <v>Día</v>
          </cell>
          <cell r="E16">
            <v>1</v>
          </cell>
          <cell r="F16">
            <v>37800</v>
          </cell>
          <cell r="G16">
            <v>0.1</v>
          </cell>
          <cell r="H16">
            <v>3780</v>
          </cell>
        </row>
        <row r="17">
          <cell r="B17" t="str">
            <v>EQU002</v>
          </cell>
          <cell r="C17" t="str">
            <v>Herramienta menor (% mano obra)</v>
          </cell>
          <cell r="D17" t="str">
            <v>%MO</v>
          </cell>
          <cell r="E17">
            <v>0.1</v>
          </cell>
          <cell r="F17">
            <v>117996.0910019545</v>
          </cell>
          <cell r="G17">
            <v>0</v>
          </cell>
          <cell r="H17">
            <v>11799.60910019545</v>
          </cell>
        </row>
        <row r="18">
          <cell r="A18" t="str">
            <v>G-01-02</v>
          </cell>
          <cell r="C18" t="str">
            <v xml:space="preserve">Concreto de 13,8 Mpa (2000 PSI) (Producción) </v>
          </cell>
          <cell r="D18" t="str">
            <v>M3</v>
          </cell>
          <cell r="F18">
            <v>413733</v>
          </cell>
        </row>
        <row r="19">
          <cell r="A19" t="str">
            <v>MAT</v>
          </cell>
          <cell r="B19" t="str">
            <v>MAT,027</v>
          </cell>
          <cell r="C19" t="str">
            <v xml:space="preserve">Agua </v>
          </cell>
          <cell r="D19" t="str">
            <v>Lt</v>
          </cell>
          <cell r="E19">
            <v>185</v>
          </cell>
          <cell r="F19">
            <v>19</v>
          </cell>
          <cell r="G19">
            <v>1.03</v>
          </cell>
          <cell r="H19">
            <v>3620.4500000000003</v>
          </cell>
        </row>
        <row r="20">
          <cell r="B20" t="str">
            <v>MAT,040</v>
          </cell>
          <cell r="C20" t="str">
            <v>Arena</v>
          </cell>
          <cell r="D20" t="str">
            <v>M3</v>
          </cell>
          <cell r="E20">
            <v>0.63</v>
          </cell>
          <cell r="F20">
            <v>71990</v>
          </cell>
          <cell r="G20">
            <v>1.03</v>
          </cell>
          <cell r="H20">
            <v>46714.311000000002</v>
          </cell>
        </row>
        <row r="21">
          <cell r="B21" t="str">
            <v>MAT,068</v>
          </cell>
          <cell r="C21" t="str">
            <v>Cemento gris saco por 50 kilos</v>
          </cell>
          <cell r="D21" t="str">
            <v>Sc</v>
          </cell>
          <cell r="E21">
            <v>5.2</v>
          </cell>
          <cell r="F21">
            <v>31900</v>
          </cell>
          <cell r="G21">
            <v>1.03</v>
          </cell>
          <cell r="H21">
            <v>170856.4</v>
          </cell>
        </row>
        <row r="22">
          <cell r="B22" t="str">
            <v>MAT,410</v>
          </cell>
          <cell r="C22" t="str">
            <v>Triturado 3/4" para concreto</v>
          </cell>
          <cell r="D22" t="str">
            <v>M3</v>
          </cell>
          <cell r="E22">
            <v>0.84</v>
          </cell>
          <cell r="F22">
            <v>74972.5</v>
          </cell>
          <cell r="G22">
            <v>1.03</v>
          </cell>
          <cell r="H22">
            <v>64866.207000000002</v>
          </cell>
        </row>
        <row r="23">
          <cell r="A23" t="str">
            <v>M. O.</v>
          </cell>
          <cell r="B23" t="str">
            <v>MOB013</v>
          </cell>
          <cell r="C23" t="str">
            <v>Cuadrilla C 1 Of + 7 Ay (jornal + prestaciones)</v>
          </cell>
          <cell r="D23" t="str">
            <v>Día</v>
          </cell>
          <cell r="E23">
            <v>1</v>
          </cell>
          <cell r="F23">
            <v>786641</v>
          </cell>
          <cell r="G23">
            <v>0.1499999250000375</v>
          </cell>
          <cell r="H23">
            <v>117996.0910019545</v>
          </cell>
        </row>
        <row r="24">
          <cell r="A24" t="str">
            <v>EQUIPO</v>
          </cell>
          <cell r="B24" t="str">
            <v>EQU003</v>
          </cell>
          <cell r="C24" t="str">
            <v>Concretadora gasolina de 1 o 1 1/2 sacos</v>
          </cell>
          <cell r="D24" t="str">
            <v>Día</v>
          </cell>
          <cell r="E24">
            <v>1</v>
          </cell>
          <cell r="F24">
            <v>37800</v>
          </cell>
          <cell r="G24">
            <v>0.1</v>
          </cell>
          <cell r="H24">
            <v>3780</v>
          </cell>
        </row>
        <row r="25">
          <cell r="B25" t="str">
            <v>EQU002</v>
          </cell>
          <cell r="C25" t="str">
            <v>Herramienta menor (% mano obra)</v>
          </cell>
          <cell r="D25" t="str">
            <v>%MO</v>
          </cell>
          <cell r="E25">
            <v>0.05</v>
          </cell>
          <cell r="F25">
            <v>117996.0910019545</v>
          </cell>
          <cell r="G25">
            <v>0</v>
          </cell>
          <cell r="H25">
            <v>5899.804550097725</v>
          </cell>
        </row>
        <row r="26">
          <cell r="A26" t="str">
            <v>G-01-03</v>
          </cell>
          <cell r="C26" t="str">
            <v xml:space="preserve">Concreto de 17,2 Mpa (2500 PSI) (Producción) </v>
          </cell>
          <cell r="D26" t="str">
            <v>M3</v>
          </cell>
          <cell r="F26">
            <v>448188</v>
          </cell>
        </row>
        <row r="27">
          <cell r="A27" t="str">
            <v>MAT</v>
          </cell>
          <cell r="B27" t="str">
            <v>MAT,027</v>
          </cell>
          <cell r="C27" t="str">
            <v xml:space="preserve">Agua </v>
          </cell>
          <cell r="D27" t="str">
            <v>Lt</v>
          </cell>
          <cell r="E27">
            <v>170</v>
          </cell>
          <cell r="F27">
            <v>19</v>
          </cell>
          <cell r="G27">
            <v>1.03</v>
          </cell>
          <cell r="H27">
            <v>3326.9</v>
          </cell>
        </row>
        <row r="28">
          <cell r="B28" t="str">
            <v>MAT,040</v>
          </cell>
          <cell r="C28" t="str">
            <v>Arena</v>
          </cell>
          <cell r="D28" t="str">
            <v>M3</v>
          </cell>
          <cell r="E28">
            <v>0.55000000000000004</v>
          </cell>
          <cell r="F28">
            <v>71990</v>
          </cell>
          <cell r="G28">
            <v>1.03</v>
          </cell>
          <cell r="H28">
            <v>40782.334999999999</v>
          </cell>
        </row>
        <row r="29">
          <cell r="B29" t="str">
            <v>MAT,068</v>
          </cell>
          <cell r="C29" t="str">
            <v>Cemento gris saco por 50 kilos</v>
          </cell>
          <cell r="D29" t="str">
            <v>Sc</v>
          </cell>
          <cell r="E29">
            <v>6</v>
          </cell>
          <cell r="F29">
            <v>31900</v>
          </cell>
          <cell r="G29">
            <v>1.03</v>
          </cell>
          <cell r="H29">
            <v>197142</v>
          </cell>
        </row>
        <row r="30">
          <cell r="B30" t="str">
            <v>MAT,410</v>
          </cell>
          <cell r="C30" t="str">
            <v>Triturado 3/4" para concreto</v>
          </cell>
          <cell r="D30" t="str">
            <v>M3</v>
          </cell>
          <cell r="E30">
            <v>0.95</v>
          </cell>
          <cell r="F30">
            <v>74972.5</v>
          </cell>
          <cell r="G30">
            <v>1.03</v>
          </cell>
          <cell r="H30">
            <v>73360.591249999998</v>
          </cell>
        </row>
        <row r="31">
          <cell r="A31" t="str">
            <v>M. O.</v>
          </cell>
          <cell r="B31" t="str">
            <v>MOB013</v>
          </cell>
          <cell r="C31" t="str">
            <v>Cuadrilla C 1 Of + 7 Ay (jornal + prestaciones)</v>
          </cell>
          <cell r="D31" t="str">
            <v>Día</v>
          </cell>
          <cell r="E31">
            <v>1</v>
          </cell>
          <cell r="F31">
            <v>786641</v>
          </cell>
          <cell r="G31">
            <v>0.1499999250000375</v>
          </cell>
          <cell r="H31">
            <v>117996.0910019545</v>
          </cell>
        </row>
        <row r="32">
          <cell r="A32" t="str">
            <v>EQUIPO</v>
          </cell>
          <cell r="B32" t="str">
            <v>EQU003</v>
          </cell>
          <cell r="C32" t="str">
            <v>Concretadora gasolina de 1 o 1 1/2 sacos</v>
          </cell>
          <cell r="D32" t="str">
            <v>Día</v>
          </cell>
          <cell r="E32">
            <v>1</v>
          </cell>
          <cell r="F32">
            <v>37800</v>
          </cell>
          <cell r="G32">
            <v>0.1</v>
          </cell>
          <cell r="H32">
            <v>3780</v>
          </cell>
        </row>
        <row r="33">
          <cell r="B33" t="str">
            <v>EQU002</v>
          </cell>
          <cell r="C33" t="str">
            <v>Herramienta menor (% mano obra)</v>
          </cell>
          <cell r="D33" t="str">
            <v>%MO</v>
          </cell>
          <cell r="E33">
            <v>0.1</v>
          </cell>
          <cell r="F33">
            <v>117996.0910019545</v>
          </cell>
          <cell r="G33">
            <v>0</v>
          </cell>
          <cell r="H33">
            <v>11799.60910019545</v>
          </cell>
        </row>
        <row r="34">
          <cell r="A34" t="str">
            <v>G-01-04</v>
          </cell>
          <cell r="C34" t="str">
            <v xml:space="preserve">Concreto de 20,7 Mpa (3000 PSI) (Producción) </v>
          </cell>
          <cell r="D34" t="str">
            <v>M3</v>
          </cell>
          <cell r="F34">
            <v>472746</v>
          </cell>
        </row>
        <row r="35">
          <cell r="A35" t="str">
            <v>MAT</v>
          </cell>
          <cell r="B35" t="str">
            <v>MAT,027</v>
          </cell>
          <cell r="C35" t="str">
            <v xml:space="preserve">Agua </v>
          </cell>
          <cell r="D35" t="str">
            <v>Lt</v>
          </cell>
          <cell r="E35">
            <v>180</v>
          </cell>
          <cell r="F35">
            <v>19</v>
          </cell>
          <cell r="G35">
            <v>1.03</v>
          </cell>
          <cell r="H35">
            <v>3522.6</v>
          </cell>
        </row>
        <row r="36">
          <cell r="B36" t="str">
            <v>MAT,040</v>
          </cell>
          <cell r="C36" t="str">
            <v>Arena</v>
          </cell>
          <cell r="D36" t="str">
            <v>M3</v>
          </cell>
          <cell r="E36">
            <v>0.55000000000000004</v>
          </cell>
          <cell r="F36">
            <v>71990</v>
          </cell>
          <cell r="G36">
            <v>1.03</v>
          </cell>
          <cell r="H36">
            <v>40782.334999999999</v>
          </cell>
        </row>
        <row r="37">
          <cell r="B37" t="str">
            <v>MAT,068</v>
          </cell>
          <cell r="C37" t="str">
            <v>Cemento gris saco por 50 kilos</v>
          </cell>
          <cell r="D37" t="str">
            <v>Sc</v>
          </cell>
          <cell r="E37">
            <v>7</v>
          </cell>
          <cell r="F37">
            <v>31900</v>
          </cell>
          <cell r="G37">
            <v>1.03</v>
          </cell>
          <cell r="H37">
            <v>229999</v>
          </cell>
        </row>
        <row r="38">
          <cell r="B38" t="str">
            <v>MAT,410</v>
          </cell>
          <cell r="C38" t="str">
            <v>Triturado 3/4" para concreto</v>
          </cell>
          <cell r="D38" t="str">
            <v>M3</v>
          </cell>
          <cell r="E38">
            <v>0.84</v>
          </cell>
          <cell r="F38">
            <v>74972.5</v>
          </cell>
          <cell r="G38">
            <v>1.03</v>
          </cell>
          <cell r="H38">
            <v>64866.207000000002</v>
          </cell>
        </row>
        <row r="39">
          <cell r="A39" t="str">
            <v>M. O.</v>
          </cell>
          <cell r="B39" t="str">
            <v>MOB013</v>
          </cell>
          <cell r="C39" t="str">
            <v>Cuadrilla C 1 Of + 7 Ay (jornal + prestaciones)</v>
          </cell>
          <cell r="D39" t="str">
            <v>Día</v>
          </cell>
          <cell r="E39">
            <v>1</v>
          </cell>
          <cell r="F39">
            <v>786641</v>
          </cell>
          <cell r="G39">
            <v>0.1499999250000375</v>
          </cell>
          <cell r="H39">
            <v>117996.0910019545</v>
          </cell>
        </row>
        <row r="40">
          <cell r="A40" t="str">
            <v>EQUIPO</v>
          </cell>
          <cell r="B40" t="str">
            <v>EQU003</v>
          </cell>
          <cell r="C40" t="str">
            <v>Concretadora gasolina de 1 o 1 1/2 sacos</v>
          </cell>
          <cell r="D40" t="str">
            <v>Día</v>
          </cell>
          <cell r="E40">
            <v>1</v>
          </cell>
          <cell r="F40">
            <v>37800</v>
          </cell>
          <cell r="G40">
            <v>0.1</v>
          </cell>
          <cell r="H40">
            <v>3780</v>
          </cell>
        </row>
        <row r="41">
          <cell r="B41" t="str">
            <v>EQU002</v>
          </cell>
          <cell r="C41" t="str">
            <v>Herramienta menor (% mano obra)</v>
          </cell>
          <cell r="D41" t="str">
            <v>%MO</v>
          </cell>
          <cell r="E41">
            <v>0.1</v>
          </cell>
          <cell r="F41">
            <v>117996.0910019545</v>
          </cell>
          <cell r="G41">
            <v>0</v>
          </cell>
          <cell r="H41">
            <v>11799.60910019545</v>
          </cell>
        </row>
        <row r="42">
          <cell r="A42" t="str">
            <v>G-01-05</v>
          </cell>
          <cell r="C42" t="str">
            <v xml:space="preserve">Concreto de 24,5 Mpa (3500 PSI) (Producción) </v>
          </cell>
          <cell r="D42" t="str">
            <v>M3</v>
          </cell>
          <cell r="F42">
            <v>522846</v>
          </cell>
        </row>
        <row r="43">
          <cell r="A43" t="str">
            <v>MAT</v>
          </cell>
          <cell r="B43" t="str">
            <v>MAT,027</v>
          </cell>
          <cell r="C43" t="str">
            <v>Agua</v>
          </cell>
          <cell r="D43" t="str">
            <v>Lt</v>
          </cell>
          <cell r="E43">
            <v>190</v>
          </cell>
          <cell r="F43">
            <v>19</v>
          </cell>
          <cell r="G43">
            <v>1.03</v>
          </cell>
          <cell r="H43">
            <v>3718.3</v>
          </cell>
        </row>
        <row r="44">
          <cell r="B44" t="str">
            <v>MAT,040</v>
          </cell>
          <cell r="C44" t="str">
            <v>Arena</v>
          </cell>
          <cell r="D44" t="str">
            <v>M3</v>
          </cell>
          <cell r="E44">
            <v>0.6</v>
          </cell>
          <cell r="F44">
            <v>71990</v>
          </cell>
          <cell r="G44">
            <v>1.03</v>
          </cell>
          <cell r="H44">
            <v>44489.82</v>
          </cell>
        </row>
        <row r="45">
          <cell r="B45" t="str">
            <v>MAT,068</v>
          </cell>
          <cell r="C45" t="str">
            <v>Cemento gris saco por 50 kilos</v>
          </cell>
          <cell r="D45" t="str">
            <v>Sc</v>
          </cell>
          <cell r="E45">
            <v>8.5</v>
          </cell>
          <cell r="F45">
            <v>31900</v>
          </cell>
          <cell r="G45">
            <v>1.03</v>
          </cell>
          <cell r="H45">
            <v>279284.5</v>
          </cell>
        </row>
        <row r="46">
          <cell r="B46" t="str">
            <v>MAT,410</v>
          </cell>
          <cell r="C46" t="str">
            <v>Triturado 3/4" para concreto</v>
          </cell>
          <cell r="D46" t="str">
            <v>M3</v>
          </cell>
          <cell r="E46">
            <v>0.8</v>
          </cell>
          <cell r="F46">
            <v>74972.5</v>
          </cell>
          <cell r="G46">
            <v>1.03</v>
          </cell>
          <cell r="H46">
            <v>61777.340000000004</v>
          </cell>
        </row>
        <row r="47">
          <cell r="A47" t="str">
            <v>M. O.</v>
          </cell>
          <cell r="B47" t="str">
            <v>MOB013</v>
          </cell>
          <cell r="C47" t="str">
            <v>Cuadrilla C 1 Of + 7 Ay (jornal + prestaciones)</v>
          </cell>
          <cell r="D47" t="str">
            <v>Día</v>
          </cell>
          <cell r="E47">
            <v>1</v>
          </cell>
          <cell r="F47">
            <v>786641</v>
          </cell>
          <cell r="G47">
            <v>0.1499999250000375</v>
          </cell>
          <cell r="H47">
            <v>117996.0910019545</v>
          </cell>
        </row>
        <row r="48">
          <cell r="A48" t="str">
            <v>EQUIPO</v>
          </cell>
          <cell r="B48" t="str">
            <v>EQU003</v>
          </cell>
          <cell r="C48" t="str">
            <v>Concretadora gasolina de 1 o 1 1/2 sacos</v>
          </cell>
          <cell r="D48" t="str">
            <v>Día</v>
          </cell>
          <cell r="E48">
            <v>1</v>
          </cell>
          <cell r="F48">
            <v>37800</v>
          </cell>
          <cell r="G48">
            <v>0.1</v>
          </cell>
          <cell r="H48">
            <v>3780</v>
          </cell>
        </row>
        <row r="49">
          <cell r="B49" t="str">
            <v>EQU002</v>
          </cell>
          <cell r="C49" t="str">
            <v>Herramienta menor (% mano obra)</v>
          </cell>
          <cell r="D49" t="str">
            <v>%MO</v>
          </cell>
          <cell r="E49">
            <v>0.1</v>
          </cell>
          <cell r="F49">
            <v>117996.0910019545</v>
          </cell>
          <cell r="G49">
            <v>0</v>
          </cell>
          <cell r="H49">
            <v>11799.60910019545</v>
          </cell>
        </row>
        <row r="50">
          <cell r="A50" t="str">
            <v>G-01-06</v>
          </cell>
          <cell r="C50" t="str">
            <v xml:space="preserve">Concreto de 27,6 Mpa (4000 PSI) (Producción) </v>
          </cell>
          <cell r="D50" t="str">
            <v>M3</v>
          </cell>
          <cell r="F50">
            <v>551050</v>
          </cell>
        </row>
        <row r="51">
          <cell r="A51" t="str">
            <v>MAT</v>
          </cell>
          <cell r="B51" t="str">
            <v>MAT,027</v>
          </cell>
          <cell r="C51" t="str">
            <v>Agua</v>
          </cell>
          <cell r="D51" t="str">
            <v>Lt</v>
          </cell>
          <cell r="E51">
            <v>200</v>
          </cell>
          <cell r="F51">
            <v>19</v>
          </cell>
          <cell r="G51">
            <v>1.03</v>
          </cell>
          <cell r="H51">
            <v>3914</v>
          </cell>
        </row>
        <row r="52">
          <cell r="B52" t="str">
            <v>MAT,040</v>
          </cell>
          <cell r="C52" t="str">
            <v>Arena</v>
          </cell>
          <cell r="D52" t="str">
            <v>M3</v>
          </cell>
          <cell r="E52">
            <v>0.67</v>
          </cell>
          <cell r="F52">
            <v>71990</v>
          </cell>
          <cell r="G52">
            <v>1.03</v>
          </cell>
          <cell r="H52">
            <v>49680.298999999999</v>
          </cell>
        </row>
        <row r="53">
          <cell r="B53" t="str">
            <v>MAT,068</v>
          </cell>
          <cell r="C53" t="str">
            <v>Cemento gris saco por 50 kilos</v>
          </cell>
          <cell r="D53" t="str">
            <v>Sc</v>
          </cell>
          <cell r="E53">
            <v>9.5</v>
          </cell>
          <cell r="F53">
            <v>31900</v>
          </cell>
          <cell r="G53">
            <v>1.03</v>
          </cell>
          <cell r="H53">
            <v>312141.5</v>
          </cell>
        </row>
        <row r="54">
          <cell r="B54" t="str">
            <v>MAT,410</v>
          </cell>
          <cell r="C54" t="str">
            <v>Triturado 3/4" para concreto</v>
          </cell>
          <cell r="D54" t="str">
            <v>M3</v>
          </cell>
          <cell r="E54">
            <v>0.67</v>
          </cell>
          <cell r="F54">
            <v>74972.5</v>
          </cell>
          <cell r="G54">
            <v>1.03</v>
          </cell>
          <cell r="H54">
            <v>51738.522250000002</v>
          </cell>
        </row>
        <row r="55">
          <cell r="A55" t="str">
            <v>M. O.</v>
          </cell>
          <cell r="B55" t="str">
            <v>MOB013</v>
          </cell>
          <cell r="C55" t="str">
            <v>Cuadrilla C 1 Of + 7 Ay (jornal + prestaciones)</v>
          </cell>
          <cell r="D55" t="str">
            <v>Día</v>
          </cell>
          <cell r="E55">
            <v>1</v>
          </cell>
          <cell r="F55">
            <v>786641</v>
          </cell>
          <cell r="G55">
            <v>0.1499999250000375</v>
          </cell>
          <cell r="H55">
            <v>117996.0910019545</v>
          </cell>
        </row>
        <row r="56">
          <cell r="A56" t="str">
            <v>EQUIPO</v>
          </cell>
          <cell r="B56" t="str">
            <v>EQU003</v>
          </cell>
          <cell r="C56" t="str">
            <v>Concretadora gasolina de 1 o 1 1/2 sacos</v>
          </cell>
          <cell r="D56" t="str">
            <v>Día</v>
          </cell>
          <cell r="E56">
            <v>1</v>
          </cell>
          <cell r="F56">
            <v>37800</v>
          </cell>
          <cell r="G56">
            <v>0.1</v>
          </cell>
          <cell r="H56">
            <v>3780</v>
          </cell>
        </row>
        <row r="57">
          <cell r="B57" t="str">
            <v>EQU002</v>
          </cell>
          <cell r="C57" t="str">
            <v>Herramienta menor (% mano obra)</v>
          </cell>
          <cell r="D57" t="str">
            <v>%MO</v>
          </cell>
          <cell r="E57">
            <v>0.1</v>
          </cell>
          <cell r="F57">
            <v>117996.0910019545</v>
          </cell>
          <cell r="G57">
            <v>0</v>
          </cell>
          <cell r="H57">
            <v>11799.60910019545</v>
          </cell>
        </row>
        <row r="58">
          <cell r="A58" t="str">
            <v>G-01-07</v>
          </cell>
          <cell r="C58" t="str">
            <v xml:space="preserve">Concreto de 20,7 Mpa (3000 PSI) impermeabilizado (Producción) </v>
          </cell>
          <cell r="D58" t="str">
            <v>M3</v>
          </cell>
          <cell r="F58">
            <v>514104.36249999999</v>
          </cell>
        </row>
        <row r="59">
          <cell r="A59" t="str">
            <v>MAT</v>
          </cell>
          <cell r="B59" t="str">
            <v>MAT,187</v>
          </cell>
          <cell r="C59" t="str">
            <v>Impermeabilizante para concreto</v>
          </cell>
          <cell r="D59" t="str">
            <v>Kg</v>
          </cell>
          <cell r="E59">
            <v>1.75</v>
          </cell>
          <cell r="F59">
            <v>22945</v>
          </cell>
          <cell r="G59">
            <v>1.03</v>
          </cell>
          <cell r="H59">
            <v>41358.362500000003</v>
          </cell>
        </row>
        <row r="60">
          <cell r="A60" t="str">
            <v>ÍTEMS</v>
          </cell>
          <cell r="B60" t="str">
            <v>G-01-04</v>
          </cell>
          <cell r="C60" t="str">
            <v xml:space="preserve">Concreto de 20,7 Mpa (Producción) </v>
          </cell>
          <cell r="D60" t="str">
            <v>M3</v>
          </cell>
          <cell r="E60">
            <v>1</v>
          </cell>
          <cell r="F60">
            <v>472746</v>
          </cell>
          <cell r="G60">
            <v>0</v>
          </cell>
          <cell r="H60">
            <v>472746</v>
          </cell>
        </row>
        <row r="61">
          <cell r="A61" t="str">
            <v>G-01-08</v>
          </cell>
          <cell r="C61" t="str">
            <v xml:space="preserve">Concreto de 20,7 Mpa (3000 PSI) acelerado (Producción) </v>
          </cell>
          <cell r="D61" t="str">
            <v>M3</v>
          </cell>
          <cell r="F61">
            <v>619455</v>
          </cell>
        </row>
        <row r="62">
          <cell r="A62" t="str">
            <v>MAT</v>
          </cell>
          <cell r="B62" t="str">
            <v>MAT,009</v>
          </cell>
          <cell r="C62" t="str">
            <v>Acelerante para concreto tipo Sikaset</v>
          </cell>
          <cell r="D62" t="str">
            <v>Kg</v>
          </cell>
          <cell r="E62">
            <v>7</v>
          </cell>
          <cell r="F62">
            <v>20348</v>
          </cell>
          <cell r="G62">
            <v>1.03</v>
          </cell>
          <cell r="H62">
            <v>146709.08000000002</v>
          </cell>
        </row>
        <row r="63">
          <cell r="A63" t="str">
            <v>ÍTEMS</v>
          </cell>
          <cell r="B63" t="str">
            <v>G-01-04</v>
          </cell>
          <cell r="C63" t="str">
            <v xml:space="preserve">Concreto de 20,7 Mpa (Producción) </v>
          </cell>
          <cell r="D63" t="str">
            <v>M3</v>
          </cell>
          <cell r="E63">
            <v>1</v>
          </cell>
          <cell r="F63">
            <v>472746</v>
          </cell>
          <cell r="G63">
            <v>0</v>
          </cell>
          <cell r="H63">
            <v>472746</v>
          </cell>
        </row>
        <row r="64">
          <cell r="A64" t="str">
            <v>G-01-09</v>
          </cell>
          <cell r="C64" t="str">
            <v xml:space="preserve">Concreto de 27,6 Mpa (4000 PSI) impermeabilizado (Producción) </v>
          </cell>
          <cell r="D64" t="str">
            <v>M3</v>
          </cell>
          <cell r="F64">
            <v>592408</v>
          </cell>
        </row>
        <row r="65">
          <cell r="A65" t="str">
            <v>MAT</v>
          </cell>
          <cell r="B65" t="str">
            <v>MAT,187</v>
          </cell>
          <cell r="C65" t="str">
            <v>Impermeabilizante para concreto</v>
          </cell>
          <cell r="D65" t="str">
            <v>Kg</v>
          </cell>
          <cell r="E65">
            <v>1.75</v>
          </cell>
          <cell r="F65">
            <v>22945</v>
          </cell>
          <cell r="G65">
            <v>1.03</v>
          </cell>
          <cell r="H65">
            <v>41358.362500000003</v>
          </cell>
        </row>
        <row r="66">
          <cell r="A66" t="str">
            <v>ÍTEMS</v>
          </cell>
          <cell r="B66" t="str">
            <v>G-01-06</v>
          </cell>
          <cell r="C66" t="str">
            <v xml:space="preserve">Concreto de 27,6 Mpa (Producción) </v>
          </cell>
          <cell r="D66" t="str">
            <v>M3</v>
          </cell>
          <cell r="E66">
            <v>1</v>
          </cell>
          <cell r="F66">
            <v>551050</v>
          </cell>
          <cell r="G66">
            <v>0</v>
          </cell>
          <cell r="H66">
            <v>551050</v>
          </cell>
        </row>
        <row r="67">
          <cell r="A67" t="str">
            <v>G-01-10</v>
          </cell>
          <cell r="C67" t="str">
            <v xml:space="preserve">Concreto de 27,6 Mpa (4000 PSI) acelerado (Producción) </v>
          </cell>
          <cell r="D67" t="str">
            <v>M3</v>
          </cell>
          <cell r="F67">
            <v>718718</v>
          </cell>
        </row>
        <row r="68">
          <cell r="A68" t="str">
            <v>MAT</v>
          </cell>
          <cell r="B68" t="str">
            <v>MAT,009</v>
          </cell>
          <cell r="C68" t="str">
            <v>Acelerante para concreto tipo Sikaset</v>
          </cell>
          <cell r="D68" t="str">
            <v>Kg</v>
          </cell>
          <cell r="E68">
            <v>8</v>
          </cell>
          <cell r="F68">
            <v>20348</v>
          </cell>
          <cell r="G68">
            <v>1.03</v>
          </cell>
          <cell r="H68">
            <v>167667.52000000002</v>
          </cell>
        </row>
        <row r="69">
          <cell r="A69" t="str">
            <v>ÍTEMS</v>
          </cell>
          <cell r="B69" t="str">
            <v>G-01-06</v>
          </cell>
          <cell r="C69" t="str">
            <v xml:space="preserve">Concreto de 27,6 Mpa (Producción) </v>
          </cell>
          <cell r="D69" t="str">
            <v>M3</v>
          </cell>
          <cell r="E69">
            <v>1</v>
          </cell>
          <cell r="F69">
            <v>551050</v>
          </cell>
          <cell r="G69">
            <v>0</v>
          </cell>
          <cell r="H69">
            <v>551050</v>
          </cell>
        </row>
        <row r="70">
          <cell r="A70" t="str">
            <v>G-01-11</v>
          </cell>
          <cell r="C70" t="str">
            <v xml:space="preserve">Concreto ciclópeo (Producción) </v>
          </cell>
          <cell r="D70" t="str">
            <v>M3</v>
          </cell>
          <cell r="F70">
            <v>469200</v>
          </cell>
        </row>
        <row r="71">
          <cell r="A71" t="str">
            <v>MAT</v>
          </cell>
          <cell r="B71" t="str">
            <v>MAT,296</v>
          </cell>
          <cell r="C71" t="str">
            <v>Piedra media songa</v>
          </cell>
          <cell r="D71" t="str">
            <v>M3</v>
          </cell>
          <cell r="E71">
            <v>0.4</v>
          </cell>
          <cell r="F71">
            <v>72845</v>
          </cell>
          <cell r="G71">
            <v>1.03</v>
          </cell>
          <cell r="H71">
            <v>30012.140000000003</v>
          </cell>
        </row>
        <row r="72">
          <cell r="A72" t="str">
            <v>ÍTEMS</v>
          </cell>
          <cell r="B72" t="str">
            <v>G-01-04</v>
          </cell>
          <cell r="C72" t="str">
            <v xml:space="preserve">Concreto de 20,7  Mpa (Producción) </v>
          </cell>
          <cell r="D72" t="str">
            <v>M3</v>
          </cell>
          <cell r="E72">
            <v>0.6</v>
          </cell>
          <cell r="F72">
            <v>472746</v>
          </cell>
          <cell r="G72">
            <v>0</v>
          </cell>
          <cell r="H72">
            <v>283647.59999999998</v>
          </cell>
        </row>
        <row r="73">
          <cell r="A73" t="str">
            <v>M. O.</v>
          </cell>
          <cell r="B73" t="str">
            <v>MOB005</v>
          </cell>
          <cell r="C73" t="str">
            <v>Cuadrilla A 1 Of + 4 Ay (jornal + prestaciones)</v>
          </cell>
          <cell r="D73" t="str">
            <v>Día</v>
          </cell>
          <cell r="E73">
            <v>1</v>
          </cell>
          <cell r="F73">
            <v>518468</v>
          </cell>
          <cell r="G73">
            <v>0.3</v>
          </cell>
          <cell r="H73">
            <v>155540.4</v>
          </cell>
        </row>
        <row r="74">
          <cell r="A74" t="str">
            <v>G-01-12</v>
          </cell>
          <cell r="C74" t="str">
            <v>Concreto fluido 13,8 Mpa (2000 PSI) tamaño máximo 1/2"</v>
          </cell>
          <cell r="D74" t="str">
            <v>M3</v>
          </cell>
          <cell r="F74">
            <v>529541</v>
          </cell>
        </row>
        <row r="75">
          <cell r="A75" t="str">
            <v>MAT</v>
          </cell>
          <cell r="B75" t="str">
            <v>MAT,145</v>
          </cell>
          <cell r="C75" t="str">
            <v>Fluidificante para concretos</v>
          </cell>
          <cell r="D75" t="str">
            <v>Kg</v>
          </cell>
          <cell r="E75">
            <v>3.5</v>
          </cell>
          <cell r="F75">
            <v>20276</v>
          </cell>
          <cell r="G75">
            <v>1.03</v>
          </cell>
          <cell r="H75">
            <v>73094.98</v>
          </cell>
        </row>
        <row r="76">
          <cell r="A76" t="str">
            <v>ÍTEMS</v>
          </cell>
          <cell r="B76" t="str">
            <v>G-01-02</v>
          </cell>
          <cell r="C76" t="str">
            <v xml:space="preserve">Concreto de 13,8 Mpa (Producción) </v>
          </cell>
          <cell r="D76" t="str">
            <v>M3</v>
          </cell>
          <cell r="E76">
            <v>1</v>
          </cell>
          <cell r="F76">
            <v>413733</v>
          </cell>
          <cell r="G76">
            <v>1.05</v>
          </cell>
          <cell r="H76">
            <v>434419.65</v>
          </cell>
        </row>
        <row r="77">
          <cell r="A77" t="str">
            <v>M. O.</v>
          </cell>
          <cell r="B77" t="str">
            <v>MOB015</v>
          </cell>
          <cell r="C77" t="str">
            <v>Cuadrilla E 1 Of + 1 Ay (jornal + prestaciones)</v>
          </cell>
          <cell r="D77" t="str">
            <v>Día</v>
          </cell>
          <cell r="E77">
            <v>1</v>
          </cell>
          <cell r="F77">
            <v>250295</v>
          </cell>
          <cell r="G77">
            <v>0.08</v>
          </cell>
          <cell r="H77">
            <v>20023.600000000002</v>
          </cell>
        </row>
        <row r="78">
          <cell r="A78" t="str">
            <v>EQUIPO</v>
          </cell>
          <cell r="B78" t="str">
            <v>EQU002</v>
          </cell>
          <cell r="C78" t="str">
            <v>Herramienta menor (% mano obra)</v>
          </cell>
          <cell r="D78" t="str">
            <v>%MO</v>
          </cell>
          <cell r="E78">
            <v>0.1</v>
          </cell>
          <cell r="F78">
            <v>20023.600000000002</v>
          </cell>
          <cell r="G78">
            <v>0</v>
          </cell>
          <cell r="H78">
            <v>2002.3600000000004</v>
          </cell>
        </row>
        <row r="79">
          <cell r="A79" t="str">
            <v>G-01-13</v>
          </cell>
          <cell r="C79" t="str">
            <v xml:space="preserve">Concreto fluido 17,2 Mpa (2500 PSI) (Producción) </v>
          </cell>
          <cell r="D79" t="str">
            <v>M3</v>
          </cell>
          <cell r="F79">
            <v>540184</v>
          </cell>
        </row>
        <row r="80">
          <cell r="A80" t="str">
            <v>MAT</v>
          </cell>
          <cell r="B80" t="str">
            <v>MAT,145</v>
          </cell>
          <cell r="C80" t="str">
            <v>Fluidificante para concretos</v>
          </cell>
          <cell r="D80" t="str">
            <v>Kg</v>
          </cell>
          <cell r="E80">
            <v>1.75</v>
          </cell>
          <cell r="F80">
            <v>20276</v>
          </cell>
          <cell r="G80">
            <v>1.03</v>
          </cell>
          <cell r="H80">
            <v>36547.49</v>
          </cell>
        </row>
        <row r="81">
          <cell r="A81" t="str">
            <v>ÍTEMS</v>
          </cell>
          <cell r="B81" t="str">
            <v>G-01-03</v>
          </cell>
          <cell r="C81" t="str">
            <v xml:space="preserve">Concreto de 17,2 Mpa (Producción) </v>
          </cell>
          <cell r="D81" t="str">
            <v>M3</v>
          </cell>
          <cell r="E81">
            <v>1</v>
          </cell>
          <cell r="F81">
            <v>448188</v>
          </cell>
          <cell r="G81">
            <v>1.05</v>
          </cell>
          <cell r="H81">
            <v>470597.4</v>
          </cell>
        </row>
        <row r="82">
          <cell r="A82" t="str">
            <v>M. O.</v>
          </cell>
          <cell r="B82" t="str">
            <v>MOB015</v>
          </cell>
          <cell r="C82" t="str">
            <v>Cuadrilla E 1 Of + 1 Ay (jornal + prestaciones)</v>
          </cell>
          <cell r="D82" t="str">
            <v>Día</v>
          </cell>
          <cell r="E82">
            <v>1</v>
          </cell>
          <cell r="F82">
            <v>250295</v>
          </cell>
          <cell r="G82">
            <v>0.12000048000192001</v>
          </cell>
          <cell r="H82">
            <v>30035.520142080568</v>
          </cell>
        </row>
        <row r="83">
          <cell r="A83" t="str">
            <v>EQUIPO</v>
          </cell>
          <cell r="B83" t="str">
            <v>EQU002</v>
          </cell>
          <cell r="C83" t="str">
            <v>Herramienta menor (% mano obra)</v>
          </cell>
          <cell r="D83" t="str">
            <v>%MO</v>
          </cell>
          <cell r="E83">
            <v>0.1</v>
          </cell>
          <cell r="F83">
            <v>30035.520142080568</v>
          </cell>
          <cell r="G83">
            <v>0</v>
          </cell>
          <cell r="H83">
            <v>3003.5520142080568</v>
          </cell>
        </row>
        <row r="84">
          <cell r="A84" t="str">
            <v>G-01-14</v>
          </cell>
          <cell r="C84" t="str">
            <v xml:space="preserve">Mortero 1:2 (Producción) </v>
          </cell>
          <cell r="D84" t="str">
            <v>M3</v>
          </cell>
          <cell r="F84">
            <v>624406</v>
          </cell>
        </row>
        <row r="85">
          <cell r="A85" t="str">
            <v>MAT</v>
          </cell>
          <cell r="B85" t="str">
            <v>MAT,027</v>
          </cell>
          <cell r="C85" t="str">
            <v>Agua</v>
          </cell>
          <cell r="D85" t="str">
            <v>Lt</v>
          </cell>
          <cell r="E85">
            <v>250</v>
          </cell>
          <cell r="F85">
            <v>19</v>
          </cell>
          <cell r="G85">
            <v>1.03</v>
          </cell>
          <cell r="H85">
            <v>4892.5</v>
          </cell>
        </row>
        <row r="86">
          <cell r="B86" t="str">
            <v>MAT,040</v>
          </cell>
          <cell r="C86" t="str">
            <v>Arena</v>
          </cell>
          <cell r="D86" t="str">
            <v>M3</v>
          </cell>
          <cell r="E86">
            <v>0.97</v>
          </cell>
          <cell r="F86">
            <v>71990</v>
          </cell>
          <cell r="G86">
            <v>1.03</v>
          </cell>
          <cell r="H86">
            <v>71925.208999999988</v>
          </cell>
        </row>
        <row r="87">
          <cell r="B87" t="str">
            <v>MAT,068</v>
          </cell>
          <cell r="C87" t="str">
            <v>Cemento gris saco por 50 kilos</v>
          </cell>
          <cell r="D87" t="str">
            <v>Sc</v>
          </cell>
          <cell r="E87">
            <v>12.5</v>
          </cell>
          <cell r="F87">
            <v>31900</v>
          </cell>
          <cell r="G87">
            <v>1.03</v>
          </cell>
          <cell r="H87">
            <v>410712.5</v>
          </cell>
        </row>
        <row r="88">
          <cell r="A88" t="str">
            <v>M. O.</v>
          </cell>
          <cell r="B88" t="str">
            <v>MOB005</v>
          </cell>
          <cell r="C88" t="str">
            <v>Cuadrilla A 1 Of + 4 Ay (jornal + prestaciones)</v>
          </cell>
          <cell r="D88" t="str">
            <v>Día</v>
          </cell>
          <cell r="E88">
            <v>1</v>
          </cell>
          <cell r="F88">
            <v>518468</v>
          </cell>
          <cell r="G88">
            <v>0.23999980800015361</v>
          </cell>
          <cell r="H88">
            <v>124432.22045422364</v>
          </cell>
        </row>
        <row r="89">
          <cell r="A89" t="str">
            <v>EQUIPO</v>
          </cell>
          <cell r="B89" t="str">
            <v>EQU002</v>
          </cell>
          <cell r="C89" t="str">
            <v>Herramienta menor (% mano obra)</v>
          </cell>
          <cell r="D89" t="str">
            <v>%MO</v>
          </cell>
          <cell r="E89">
            <v>0.1</v>
          </cell>
          <cell r="F89">
            <v>124432.22045422364</v>
          </cell>
          <cell r="G89">
            <v>0</v>
          </cell>
          <cell r="H89">
            <v>12443.222045422364</v>
          </cell>
        </row>
        <row r="90">
          <cell r="A90" t="str">
            <v>G-01-15</v>
          </cell>
          <cell r="C90" t="str">
            <v xml:space="preserve">Mortero 1:3 (Producción) </v>
          </cell>
          <cell r="D90" t="str">
            <v>M3</v>
          </cell>
          <cell r="F90">
            <v>517717</v>
          </cell>
        </row>
        <row r="91">
          <cell r="A91" t="str">
            <v>MAT</v>
          </cell>
          <cell r="B91" t="str">
            <v>MAT,027</v>
          </cell>
          <cell r="C91" t="str">
            <v>Agua</v>
          </cell>
          <cell r="D91" t="str">
            <v>Lt</v>
          </cell>
          <cell r="E91">
            <v>220</v>
          </cell>
          <cell r="F91">
            <v>19</v>
          </cell>
          <cell r="G91">
            <v>1.03</v>
          </cell>
          <cell r="H91">
            <v>4305.3999999999996</v>
          </cell>
        </row>
        <row r="92">
          <cell r="B92" t="str">
            <v>MAT,040</v>
          </cell>
          <cell r="C92" t="str">
            <v>Arena</v>
          </cell>
          <cell r="D92" t="str">
            <v>M3</v>
          </cell>
          <cell r="E92">
            <v>1.0900000000000001</v>
          </cell>
          <cell r="F92">
            <v>71990</v>
          </cell>
          <cell r="G92">
            <v>1.03</v>
          </cell>
          <cell r="H92">
            <v>80823.17300000001</v>
          </cell>
        </row>
        <row r="93">
          <cell r="B93" t="str">
            <v>MAT,068</v>
          </cell>
          <cell r="C93" t="str">
            <v>Cemento gris saco por 50 kilos</v>
          </cell>
          <cell r="D93" t="str">
            <v>Sc</v>
          </cell>
          <cell r="E93">
            <v>9</v>
          </cell>
          <cell r="F93">
            <v>31900</v>
          </cell>
          <cell r="G93">
            <v>1.03</v>
          </cell>
          <cell r="H93">
            <v>295713</v>
          </cell>
        </row>
        <row r="94">
          <cell r="A94" t="str">
            <v>M. O.</v>
          </cell>
          <cell r="B94" t="str">
            <v>MOB005</v>
          </cell>
          <cell r="C94" t="str">
            <v>Cuadrilla A 1 Of + 4 Ay (jornal + prestaciones)</v>
          </cell>
          <cell r="D94" t="str">
            <v>Día</v>
          </cell>
          <cell r="E94">
            <v>1</v>
          </cell>
          <cell r="F94">
            <v>518468</v>
          </cell>
          <cell r="G94">
            <v>0.23999980800015361</v>
          </cell>
          <cell r="H94">
            <v>124432.22045422364</v>
          </cell>
        </row>
        <row r="95">
          <cell r="A95" t="str">
            <v>EQUIPO</v>
          </cell>
          <cell r="B95" t="str">
            <v>EQU002</v>
          </cell>
          <cell r="C95" t="str">
            <v>Herramienta menor (% mano obra)</v>
          </cell>
          <cell r="D95" t="str">
            <v>%MO</v>
          </cell>
          <cell r="E95">
            <v>0.1</v>
          </cell>
          <cell r="F95">
            <v>124432.22045422364</v>
          </cell>
          <cell r="G95">
            <v>0</v>
          </cell>
          <cell r="H95">
            <v>12443.222045422364</v>
          </cell>
        </row>
        <row r="96">
          <cell r="A96" t="str">
            <v>G-01-16</v>
          </cell>
          <cell r="C96" t="str">
            <v xml:space="preserve">Mortero 1:4 (Producción) </v>
          </cell>
          <cell r="D96" t="str">
            <v>M3</v>
          </cell>
          <cell r="F96">
            <v>465016</v>
          </cell>
        </row>
        <row r="97">
          <cell r="A97" t="str">
            <v>MAT</v>
          </cell>
          <cell r="B97" t="str">
            <v>MAT,027</v>
          </cell>
          <cell r="C97" t="str">
            <v>Agua</v>
          </cell>
          <cell r="D97" t="str">
            <v>Lt</v>
          </cell>
          <cell r="E97">
            <v>200</v>
          </cell>
          <cell r="F97">
            <v>19</v>
          </cell>
          <cell r="G97">
            <v>1.03</v>
          </cell>
          <cell r="H97">
            <v>3914</v>
          </cell>
        </row>
        <row r="98">
          <cell r="B98" t="str">
            <v>MAT,040</v>
          </cell>
          <cell r="C98" t="str">
            <v>Arena</v>
          </cell>
          <cell r="D98" t="str">
            <v>M3</v>
          </cell>
          <cell r="E98">
            <v>1.1599999999999999</v>
          </cell>
          <cell r="F98">
            <v>71990</v>
          </cell>
          <cell r="G98">
            <v>1.03</v>
          </cell>
          <cell r="H98">
            <v>86013.651999999987</v>
          </cell>
        </row>
        <row r="99">
          <cell r="B99" t="str">
            <v>MAT,068</v>
          </cell>
          <cell r="C99" t="str">
            <v>Cemento gris saco por 50 kilos</v>
          </cell>
          <cell r="D99" t="str">
            <v>Sc</v>
          </cell>
          <cell r="E99">
            <v>7.25</v>
          </cell>
          <cell r="F99">
            <v>31900</v>
          </cell>
          <cell r="G99">
            <v>1.03</v>
          </cell>
          <cell r="H99">
            <v>238213.25</v>
          </cell>
        </row>
        <row r="100">
          <cell r="A100" t="str">
            <v>M. O.</v>
          </cell>
          <cell r="B100" t="str">
            <v>MOB005</v>
          </cell>
          <cell r="C100" t="str">
            <v>Cuadrilla A 1 Of + 4 Ay (jornal + prestaciones)</v>
          </cell>
          <cell r="D100" t="str">
            <v>Día</v>
          </cell>
          <cell r="E100">
            <v>1</v>
          </cell>
          <cell r="F100">
            <v>518468</v>
          </cell>
          <cell r="G100">
            <v>0.23999980800015361</v>
          </cell>
          <cell r="H100">
            <v>124432.22045422364</v>
          </cell>
        </row>
        <row r="101">
          <cell r="A101" t="str">
            <v>EQUIPO</v>
          </cell>
          <cell r="B101" t="str">
            <v>EQU002</v>
          </cell>
          <cell r="C101" t="str">
            <v>Herramienta menor (% mano obra)</v>
          </cell>
          <cell r="D101" t="str">
            <v>%MO</v>
          </cell>
          <cell r="E101">
            <v>0.1</v>
          </cell>
          <cell r="F101">
            <v>124432.22045422364</v>
          </cell>
          <cell r="G101">
            <v>0</v>
          </cell>
          <cell r="H101">
            <v>12443.222045422364</v>
          </cell>
        </row>
        <row r="102">
          <cell r="A102" t="str">
            <v>G-01-17</v>
          </cell>
          <cell r="C102" t="str">
            <v xml:space="preserve">Mortero 1:5 (Producción) </v>
          </cell>
          <cell r="D102" t="str">
            <v>M3</v>
          </cell>
          <cell r="F102">
            <v>426520</v>
          </cell>
        </row>
        <row r="103">
          <cell r="A103" t="str">
            <v>MAT</v>
          </cell>
          <cell r="B103" t="str">
            <v>MAT,027</v>
          </cell>
          <cell r="C103" t="str">
            <v>Agua</v>
          </cell>
          <cell r="D103" t="str">
            <v>Lt</v>
          </cell>
          <cell r="E103">
            <v>180</v>
          </cell>
          <cell r="F103">
            <v>19</v>
          </cell>
          <cell r="G103">
            <v>1.03</v>
          </cell>
          <cell r="H103">
            <v>3522.6</v>
          </cell>
        </row>
        <row r="104">
          <cell r="B104" t="str">
            <v>MAT,040</v>
          </cell>
          <cell r="C104" t="str">
            <v>Arena</v>
          </cell>
          <cell r="D104" t="str">
            <v>M3</v>
          </cell>
          <cell r="E104">
            <v>1.2</v>
          </cell>
          <cell r="F104">
            <v>71990</v>
          </cell>
          <cell r="G104">
            <v>1.03</v>
          </cell>
          <cell r="H104">
            <v>88979.64</v>
          </cell>
        </row>
        <row r="105">
          <cell r="B105" t="str">
            <v>MAT,068</v>
          </cell>
          <cell r="C105" t="str">
            <v>Cemento gris saco por 50 kilos</v>
          </cell>
          <cell r="D105" t="str">
            <v>Sc</v>
          </cell>
          <cell r="E105">
            <v>6</v>
          </cell>
          <cell r="F105">
            <v>31900</v>
          </cell>
          <cell r="G105">
            <v>1.03</v>
          </cell>
          <cell r="H105">
            <v>197142</v>
          </cell>
        </row>
        <row r="106">
          <cell r="A106" t="str">
            <v>M. O.</v>
          </cell>
          <cell r="B106" t="str">
            <v>MOB005</v>
          </cell>
          <cell r="C106" t="str">
            <v>Cuadrilla A 1 Of + 4 Ay (jornal + prestaciones)</v>
          </cell>
          <cell r="D106" t="str">
            <v>Día</v>
          </cell>
          <cell r="E106">
            <v>1</v>
          </cell>
          <cell r="F106">
            <v>518468</v>
          </cell>
          <cell r="G106">
            <v>0.23999980800015361</v>
          </cell>
          <cell r="H106">
            <v>124432.22045422364</v>
          </cell>
        </row>
        <row r="107">
          <cell r="A107" t="str">
            <v>EQUIPO</v>
          </cell>
          <cell r="B107" t="str">
            <v>EQU002</v>
          </cell>
          <cell r="C107" t="str">
            <v>Herramienta menor (% mano obra)</v>
          </cell>
          <cell r="D107" t="str">
            <v>%MO</v>
          </cell>
          <cell r="E107">
            <v>0.1</v>
          </cell>
          <cell r="F107">
            <v>124432.22045422364</v>
          </cell>
          <cell r="G107">
            <v>0</v>
          </cell>
          <cell r="H107">
            <v>12443.222045422364</v>
          </cell>
        </row>
        <row r="108">
          <cell r="A108" t="str">
            <v>G-01-18</v>
          </cell>
          <cell r="C108" t="str">
            <v xml:space="preserve">Mortero 1:3 impermeabilizado (Producción) </v>
          </cell>
          <cell r="D108" t="str">
            <v>M3</v>
          </cell>
          <cell r="F108">
            <v>835794</v>
          </cell>
        </row>
        <row r="109">
          <cell r="A109" t="str">
            <v>MAT</v>
          </cell>
          <cell r="B109" t="str">
            <v>MAT,188</v>
          </cell>
          <cell r="C109" t="str">
            <v>Impermeabilizante integral para morteros, con polímeros sintéticos</v>
          </cell>
          <cell r="D109" t="str">
            <v>Kg</v>
          </cell>
          <cell r="E109">
            <v>13.5</v>
          </cell>
          <cell r="F109">
            <v>22875</v>
          </cell>
          <cell r="G109">
            <v>1.03</v>
          </cell>
          <cell r="H109">
            <v>318076.875</v>
          </cell>
        </row>
        <row r="110">
          <cell r="A110" t="str">
            <v>ÍTEMS</v>
          </cell>
          <cell r="B110" t="str">
            <v>G-01-15</v>
          </cell>
          <cell r="C110" t="str">
            <v xml:space="preserve">Mortero 1:3 (Producción) </v>
          </cell>
          <cell r="D110" t="str">
            <v>M3</v>
          </cell>
          <cell r="E110">
            <v>1</v>
          </cell>
          <cell r="F110">
            <v>517717</v>
          </cell>
          <cell r="G110">
            <v>0</v>
          </cell>
          <cell r="H110">
            <v>517717</v>
          </cell>
        </row>
        <row r="111">
          <cell r="A111" t="str">
            <v>G - 02  ACEROS</v>
          </cell>
        </row>
        <row r="112">
          <cell r="A112" t="str">
            <v>ÍTEM</v>
          </cell>
          <cell r="B112" t="str">
            <v>CÓDIGO</v>
          </cell>
          <cell r="C112" t="str">
            <v>DESCRIPCIÓN</v>
          </cell>
          <cell r="D112" t="str">
            <v>UN</v>
          </cell>
          <cell r="E112" t="str">
            <v>CANT</v>
          </cell>
          <cell r="F112" t="str">
            <v>VR. UN.</v>
          </cell>
          <cell r="G112" t="str">
            <v>RENDIMIENTO, USOS, DESPEDICIOS</v>
          </cell>
          <cell r="H112" t="str">
            <v>VR. PARCIAL</v>
          </cell>
        </row>
        <row r="113">
          <cell r="A113" t="str">
            <v>G-02-01</v>
          </cell>
          <cell r="C113" t="str">
            <v>Acero Fy = 37.000 PSI d ≤ 1/4"</v>
          </cell>
          <cell r="D113" t="str">
            <v>Kg</v>
          </cell>
          <cell r="F113">
            <v>6894</v>
          </cell>
        </row>
        <row r="114">
          <cell r="A114" t="str">
            <v>MAT</v>
          </cell>
          <cell r="B114" t="str">
            <v>MAT,010</v>
          </cell>
          <cell r="C114" t="str">
            <v>Acero Fy = 37.000 PSI (2.601 kg/cm2) d ≤ ¼"</v>
          </cell>
          <cell r="D114" t="str">
            <v>Kg</v>
          </cell>
          <cell r="E114">
            <v>1</v>
          </cell>
          <cell r="F114">
            <v>4613</v>
          </cell>
          <cell r="G114">
            <v>1.03</v>
          </cell>
          <cell r="H114">
            <v>4751</v>
          </cell>
        </row>
        <row r="115">
          <cell r="B115" t="str">
            <v>MAT,030</v>
          </cell>
          <cell r="C115" t="str">
            <v xml:space="preserve">Alambre negro C 18 </v>
          </cell>
          <cell r="D115" t="str">
            <v>Kg</v>
          </cell>
          <cell r="E115">
            <v>0.05</v>
          </cell>
          <cell r="F115">
            <v>10990</v>
          </cell>
          <cell r="G115">
            <v>1.03</v>
          </cell>
          <cell r="H115">
            <v>566</v>
          </cell>
        </row>
        <row r="116">
          <cell r="A116" t="str">
            <v>M. O.</v>
          </cell>
          <cell r="B116" t="str">
            <v>MOB015</v>
          </cell>
          <cell r="C116" t="str">
            <v>Cuadrilla E 1 Of + 1 Ay (jornal + prestaciones)</v>
          </cell>
          <cell r="D116" t="str">
            <v>Día</v>
          </cell>
          <cell r="E116">
            <v>1</v>
          </cell>
          <cell r="F116">
            <v>250295</v>
          </cell>
          <cell r="G116">
            <v>5.99999880000024E-3</v>
          </cell>
          <cell r="H116">
            <v>1502</v>
          </cell>
        </row>
        <row r="117">
          <cell r="A117" t="str">
            <v>EQUIPO</v>
          </cell>
          <cell r="B117" t="str">
            <v>EQU002</v>
          </cell>
          <cell r="C117" t="str">
            <v>Herramienta menor (% mano obra)</v>
          </cell>
          <cell r="D117" t="str">
            <v>%MO</v>
          </cell>
          <cell r="E117">
            <v>0.05</v>
          </cell>
          <cell r="F117">
            <v>1502</v>
          </cell>
          <cell r="G117">
            <v>0</v>
          </cell>
          <cell r="H117">
            <v>75.100000000000009</v>
          </cell>
        </row>
        <row r="118">
          <cell r="A118" t="str">
            <v>G-02-02</v>
          </cell>
          <cell r="C118" t="str">
            <v>Acero Fy = 60.000 PSI d &gt; 1/4"</v>
          </cell>
          <cell r="D118" t="str">
            <v>Kg</v>
          </cell>
          <cell r="F118">
            <v>7456</v>
          </cell>
        </row>
        <row r="119">
          <cell r="A119" t="str">
            <v>MAT</v>
          </cell>
          <cell r="B119" t="str">
            <v>MAT,011</v>
          </cell>
          <cell r="C119" t="str">
            <v>Acero Fy = 60.000 PSI (40218 kg/cm2) d &gt; ¼"</v>
          </cell>
          <cell r="D119" t="str">
            <v>Kg</v>
          </cell>
          <cell r="E119">
            <v>1</v>
          </cell>
          <cell r="F119">
            <v>4589</v>
          </cell>
          <cell r="G119">
            <v>1.03</v>
          </cell>
          <cell r="H119">
            <v>4727</v>
          </cell>
        </row>
        <row r="120">
          <cell r="B120" t="str">
            <v>MAT,030</v>
          </cell>
          <cell r="C120" t="str">
            <v xml:space="preserve">Alambre negro C 18 </v>
          </cell>
          <cell r="D120" t="str">
            <v>Kg</v>
          </cell>
          <cell r="E120">
            <v>0.06</v>
          </cell>
          <cell r="F120">
            <v>10990</v>
          </cell>
          <cell r="G120">
            <v>1.03</v>
          </cell>
          <cell r="H120">
            <v>679</v>
          </cell>
        </row>
        <row r="121">
          <cell r="A121" t="str">
            <v>M. O.</v>
          </cell>
          <cell r="B121" t="str">
            <v>MOB015</v>
          </cell>
          <cell r="C121" t="str">
            <v>Cuadrilla E 1 Of + 1 Ay (jornal + prestaciones)</v>
          </cell>
          <cell r="D121" t="str">
            <v>Día</v>
          </cell>
          <cell r="E121">
            <v>1</v>
          </cell>
          <cell r="F121">
            <v>250295</v>
          </cell>
          <cell r="G121">
            <v>7.800007800007799E-3</v>
          </cell>
          <cell r="H121">
            <v>1952</v>
          </cell>
        </row>
        <row r="122">
          <cell r="A122" t="str">
            <v>EQUIPO</v>
          </cell>
          <cell r="B122" t="str">
            <v>EQU002</v>
          </cell>
          <cell r="C122" t="str">
            <v>Herramienta menor (% mano obra)</v>
          </cell>
          <cell r="D122" t="str">
            <v>%MO</v>
          </cell>
          <cell r="E122">
            <v>0.05</v>
          </cell>
          <cell r="F122">
            <v>1952</v>
          </cell>
          <cell r="G122">
            <v>0</v>
          </cell>
          <cell r="H122">
            <v>98</v>
          </cell>
        </row>
        <row r="123">
          <cell r="A123" t="str">
            <v>G-02-03</v>
          </cell>
          <cell r="C123" t="str">
            <v>Malla electrosoldada M-188  Φ 6.00 mm c/0.15 m en ambos sentidos (incluye alambre negro, colocación y traslapo)</v>
          </cell>
          <cell r="D123" t="str">
            <v>Kg</v>
          </cell>
          <cell r="F123">
            <v>8296</v>
          </cell>
        </row>
        <row r="124">
          <cell r="A124" t="str">
            <v>MAT</v>
          </cell>
          <cell r="B124" t="str">
            <v>MAT,030</v>
          </cell>
          <cell r="C124" t="str">
            <v xml:space="preserve">Alambre negro C 18 </v>
          </cell>
          <cell r="D124" t="str">
            <v>Kg</v>
          </cell>
          <cell r="E124">
            <v>0.03</v>
          </cell>
          <cell r="F124">
            <v>7790</v>
          </cell>
          <cell r="G124">
            <v>1.03</v>
          </cell>
          <cell r="H124">
            <v>241</v>
          </cell>
        </row>
        <row r="125">
          <cell r="B125" t="str">
            <v>MAT,521</v>
          </cell>
          <cell r="C125" t="str">
            <v>Malla electrosoldada M-188 Φ 6.00 mm c/0.15 m (peso 42,20 Kg/m2) (2,35 x 6 m)</v>
          </cell>
          <cell r="D125" t="str">
            <v>Kg</v>
          </cell>
          <cell r="E125">
            <v>1</v>
          </cell>
          <cell r="F125">
            <v>6547.8199052132695</v>
          </cell>
          <cell r="G125">
            <v>1.03</v>
          </cell>
          <cell r="H125">
            <v>6744</v>
          </cell>
        </row>
        <row r="126">
          <cell r="A126" t="str">
            <v>M. O.</v>
          </cell>
          <cell r="B126" t="str">
            <v>MOB015</v>
          </cell>
          <cell r="C126" t="str">
            <v>Cuadrilla E 1 Of + 1 Ay (jornal + prestaciones)</v>
          </cell>
          <cell r="D126" t="str">
            <v>Día</v>
          </cell>
          <cell r="E126">
            <v>1</v>
          </cell>
          <cell r="F126">
            <v>250295</v>
          </cell>
          <cell r="G126">
            <v>4.7619047619047623E-3</v>
          </cell>
          <cell r="H126">
            <v>1192</v>
          </cell>
        </row>
        <row r="127">
          <cell r="A127" t="str">
            <v>EQUIPO</v>
          </cell>
          <cell r="B127" t="str">
            <v>EQU002</v>
          </cell>
          <cell r="C127" t="str">
            <v>Herramienta menor (% mano obra)</v>
          </cell>
          <cell r="D127" t="str">
            <v>%MO</v>
          </cell>
          <cell r="E127">
            <v>0.1</v>
          </cell>
          <cell r="F127">
            <v>1192</v>
          </cell>
          <cell r="G127">
            <v>0</v>
          </cell>
          <cell r="H127">
            <v>119</v>
          </cell>
        </row>
        <row r="128">
          <cell r="A128" t="str">
            <v>G - 03 TRANSPORTE</v>
          </cell>
        </row>
        <row r="129">
          <cell r="A129" t="str">
            <v>G-03-01</v>
          </cell>
          <cell r="C129" t="str">
            <v>Transporte material (corte, sub-base, base, afirmado, pétreos, arenas, etc.)</v>
          </cell>
          <cell r="D129" t="str">
            <v>M3-Km</v>
          </cell>
          <cell r="F129">
            <v>1833</v>
          </cell>
        </row>
        <row r="130">
          <cell r="A130" t="str">
            <v>EQUIPO</v>
          </cell>
          <cell r="B130" t="str">
            <v>EQU010</v>
          </cell>
          <cell r="C130" t="str">
            <v>Volqueta 7 m3</v>
          </cell>
          <cell r="D130" t="str">
            <v>Hr</v>
          </cell>
          <cell r="E130">
            <v>1</v>
          </cell>
          <cell r="F130">
            <v>166600</v>
          </cell>
          <cell r="G130">
            <v>1.0999999999999999E-2</v>
          </cell>
          <cell r="H130">
            <v>1833</v>
          </cell>
        </row>
        <row r="131">
          <cell r="A131" t="str">
            <v>G-03-02</v>
          </cell>
          <cell r="C131" t="str">
            <v>Transporte maquinaría pesada</v>
          </cell>
          <cell r="D131" t="str">
            <v>Km</v>
          </cell>
          <cell r="F131">
            <v>2675</v>
          </cell>
        </row>
        <row r="132">
          <cell r="A132" t="str">
            <v>EQUIPO</v>
          </cell>
          <cell r="B132" t="str">
            <v>EQU030</v>
          </cell>
          <cell r="C132" t="str">
            <v xml:space="preserve">Cama baja </v>
          </cell>
          <cell r="D132" t="str">
            <v>Serv x 10 Km</v>
          </cell>
          <cell r="E132">
            <v>1</v>
          </cell>
          <cell r="F132">
            <v>26747</v>
          </cell>
          <cell r="G132">
            <v>0.1</v>
          </cell>
          <cell r="H132">
            <v>2675</v>
          </cell>
        </row>
        <row r="133">
          <cell r="A133" t="str">
            <v>G-03-03</v>
          </cell>
          <cell r="C133" t="str">
            <v>Transporte materiales en mula (carga = 100 Kg/Km)</v>
          </cell>
          <cell r="D133" t="str">
            <v>Carga-Km</v>
          </cell>
          <cell r="F133">
            <v>4385</v>
          </cell>
        </row>
        <row r="134">
          <cell r="A134" t="str">
            <v>EQUIPO</v>
          </cell>
          <cell r="B134" t="str">
            <v>EQU037</v>
          </cell>
          <cell r="C134" t="str">
            <v>Transporte de materiales en mula (100 Kg/Km)</v>
          </cell>
          <cell r="D134" t="str">
            <v>Cg</v>
          </cell>
          <cell r="E134">
            <v>1</v>
          </cell>
          <cell r="F134">
            <v>4385</v>
          </cell>
          <cell r="G134">
            <v>0</v>
          </cell>
          <cell r="H134">
            <v>4385</v>
          </cell>
        </row>
        <row r="135">
          <cell r="A135" t="str">
            <v>G-03-04</v>
          </cell>
          <cell r="C135" t="str">
            <v>Transporte material a hombro</v>
          </cell>
          <cell r="D135" t="str">
            <v>Carga-Km</v>
          </cell>
          <cell r="F135">
            <v>21634</v>
          </cell>
        </row>
        <row r="136">
          <cell r="A136" t="str">
            <v>EQUIPO</v>
          </cell>
          <cell r="B136" t="str">
            <v>MOB003</v>
          </cell>
          <cell r="C136" t="str">
            <v>Ayudante (jornal + prestaciones)</v>
          </cell>
          <cell r="D136" t="str">
            <v>Día</v>
          </cell>
          <cell r="E136">
            <v>1</v>
          </cell>
          <cell r="F136">
            <v>89391</v>
          </cell>
          <cell r="G136">
            <v>0.24201355275895453</v>
          </cell>
          <cell r="H136">
            <v>21634</v>
          </cell>
        </row>
        <row r="137">
          <cell r="A137" t="str">
            <v>G-03-05</v>
          </cell>
          <cell r="C137" t="str">
            <v>Disposición en botadero</v>
          </cell>
          <cell r="D137" t="str">
            <v>M3</v>
          </cell>
          <cell r="F137">
            <v>6000</v>
          </cell>
        </row>
        <row r="138">
          <cell r="A138" t="str">
            <v>MAT</v>
          </cell>
          <cell r="B138" t="str">
            <v>MAT,702</v>
          </cell>
          <cell r="C138" t="str">
            <v>Pago tarifa disposición final</v>
          </cell>
          <cell r="D138" t="str">
            <v>M3</v>
          </cell>
          <cell r="E138">
            <v>1</v>
          </cell>
          <cell r="F138">
            <v>6000</v>
          </cell>
          <cell r="G138">
            <v>1</v>
          </cell>
          <cell r="H138">
            <v>6000</v>
          </cell>
        </row>
        <row r="139">
          <cell r="A139" t="str">
            <v>G-03-06</v>
          </cell>
          <cell r="C139" t="str">
            <v>Transporte materiales a obra (no incluye descargue)</v>
          </cell>
          <cell r="D139" t="str">
            <v>Tn-Km</v>
          </cell>
          <cell r="F139">
            <v>7500</v>
          </cell>
        </row>
        <row r="140">
          <cell r="A140" t="str">
            <v>EQUIPO</v>
          </cell>
          <cell r="B140" t="str">
            <v>EQU066</v>
          </cell>
          <cell r="C140" t="str">
            <v>Camión doble troque</v>
          </cell>
          <cell r="D140" t="str">
            <v>Tn</v>
          </cell>
          <cell r="E140">
            <v>1</v>
          </cell>
          <cell r="F140">
            <v>60000</v>
          </cell>
          <cell r="G140">
            <v>0.125</v>
          </cell>
          <cell r="H140">
            <v>7500</v>
          </cell>
        </row>
        <row r="141">
          <cell r="A141" t="str">
            <v>1 - CONSTRUCCIÓN, MANTENIMIENTO Y ADECUACIÓN DE EDIFICACIONES DE INFRAESTRUCTURA SOCIAL Y COMUNITARIA</v>
          </cell>
        </row>
        <row r="142">
          <cell r="A142" t="str">
            <v>1 - 01 PRELIMINARES Y OBRAS FINALES</v>
          </cell>
        </row>
        <row r="143">
          <cell r="A143" t="str">
            <v>ÍTEM</v>
          </cell>
          <cell r="B143" t="str">
            <v>CÓDIGO</v>
          </cell>
          <cell r="C143" t="str">
            <v>DESCRIPCIÓN</v>
          </cell>
          <cell r="D143" t="str">
            <v>UN</v>
          </cell>
          <cell r="E143" t="str">
            <v>CANT</v>
          </cell>
          <cell r="F143" t="str">
            <v>VR. UN.</v>
          </cell>
          <cell r="G143" t="str">
            <v>RENDIMIENTO, USOS, DESPEDICIOS</v>
          </cell>
          <cell r="H143" t="str">
            <v>VR. PARCIAL</v>
          </cell>
        </row>
        <row r="144">
          <cell r="A144" t="str">
            <v>1-01-01</v>
          </cell>
          <cell r="C144" t="str">
            <v>Valla de identificación de obra área menor a 4 m2, colocada en guaduas, incluye mantenimiento durante la construcción</v>
          </cell>
          <cell r="D144" t="str">
            <v>M2</v>
          </cell>
          <cell r="F144">
            <v>135089</v>
          </cell>
        </row>
        <row r="145">
          <cell r="A145" t="str">
            <v>MAT</v>
          </cell>
          <cell r="B145" t="str">
            <v>MAT,176</v>
          </cell>
          <cell r="C145" t="str">
            <v>Guadua basa longitud promedio = 5 m</v>
          </cell>
          <cell r="D145" t="str">
            <v>M</v>
          </cell>
          <cell r="E145">
            <v>5</v>
          </cell>
          <cell r="F145">
            <v>5250</v>
          </cell>
          <cell r="G145">
            <v>1.05</v>
          </cell>
          <cell r="H145">
            <v>27562.5</v>
          </cell>
        </row>
        <row r="146">
          <cell r="B146" t="str">
            <v>MAT,482</v>
          </cell>
          <cell r="C146" t="str">
            <v>Valla en tela vinílica con malla de poliéster (banner)</v>
          </cell>
          <cell r="D146" t="str">
            <v>M2</v>
          </cell>
          <cell r="E146">
            <v>1</v>
          </cell>
          <cell r="F146">
            <v>60000</v>
          </cell>
          <cell r="G146">
            <v>0</v>
          </cell>
          <cell r="H146">
            <v>60000</v>
          </cell>
        </row>
        <row r="147">
          <cell r="A147" t="str">
            <v>M. O.</v>
          </cell>
          <cell r="B147" t="str">
            <v>MOB005</v>
          </cell>
          <cell r="C147" t="str">
            <v>Cuadrilla A 1 Of + 4 Ay (jornal + prestaciones)</v>
          </cell>
          <cell r="D147" t="str">
            <v>Día</v>
          </cell>
          <cell r="E147">
            <v>1</v>
          </cell>
          <cell r="F147">
            <v>518468</v>
          </cell>
          <cell r="G147">
            <v>8.3333333333333329E-2</v>
          </cell>
          <cell r="H147">
            <v>43205.666666666664</v>
          </cell>
        </row>
        <row r="148">
          <cell r="A148" t="str">
            <v>EQUIPO</v>
          </cell>
          <cell r="B148" t="str">
            <v>EQU002</v>
          </cell>
          <cell r="C148" t="str">
            <v>Herramienta menor (% mano obra)</v>
          </cell>
          <cell r="D148" t="str">
            <v>%MO</v>
          </cell>
          <cell r="E148">
            <v>0.1</v>
          </cell>
          <cell r="F148">
            <v>43205.666666666664</v>
          </cell>
          <cell r="G148">
            <v>0</v>
          </cell>
          <cell r="H148">
            <v>4320.5666666666666</v>
          </cell>
        </row>
        <row r="149">
          <cell r="A149" t="str">
            <v>1-01-02</v>
          </cell>
          <cell r="C149" t="str">
            <v>Valla de identificación de obra área mayor a 4 m2, colocada en cerchas metálica, incluye mantenimiento durante la construcción</v>
          </cell>
          <cell r="D149" t="str">
            <v>M2</v>
          </cell>
          <cell r="F149">
            <v>234809</v>
          </cell>
        </row>
        <row r="150">
          <cell r="A150" t="str">
            <v>MAT</v>
          </cell>
          <cell r="B150" t="str">
            <v>MAT,807</v>
          </cell>
          <cell r="C150" t="str">
            <v>Estructura metálica (poste), incluye anticorrosivo y pintura</v>
          </cell>
          <cell r="D150" t="str">
            <v>M</v>
          </cell>
          <cell r="E150">
            <v>1.5</v>
          </cell>
          <cell r="F150">
            <v>64800</v>
          </cell>
          <cell r="G150">
            <v>0</v>
          </cell>
          <cell r="H150">
            <v>97200</v>
          </cell>
        </row>
        <row r="151">
          <cell r="B151" t="str">
            <v>MAT,482</v>
          </cell>
          <cell r="C151" t="str">
            <v>Valla en tela vinílica con malla de poliéster (banner)</v>
          </cell>
          <cell r="D151" t="str">
            <v>M2</v>
          </cell>
          <cell r="E151">
            <v>1</v>
          </cell>
          <cell r="F151">
            <v>60000</v>
          </cell>
          <cell r="G151">
            <v>0</v>
          </cell>
          <cell r="H151">
            <v>60000</v>
          </cell>
        </row>
        <row r="152">
          <cell r="A152" t="str">
            <v>ÍTEMS</v>
          </cell>
          <cell r="B152" t="str">
            <v>G-01-01</v>
          </cell>
          <cell r="C152" t="str">
            <v xml:space="preserve">Concreto de 10,3 Mpa (Producción) </v>
          </cell>
          <cell r="D152" t="str">
            <v>M3</v>
          </cell>
          <cell r="E152">
            <v>0.05</v>
          </cell>
          <cell r="F152">
            <v>368135</v>
          </cell>
          <cell r="G152">
            <v>1.05</v>
          </cell>
          <cell r="H152">
            <v>19327.087500000001</v>
          </cell>
        </row>
        <row r="153">
          <cell r="A153" t="str">
            <v>M. O.</v>
          </cell>
          <cell r="B153" t="str">
            <v>MOB005</v>
          </cell>
          <cell r="C153" t="str">
            <v>Cuadrilla A 1 Of + 4 Ay (jornal + prestaciones)</v>
          </cell>
          <cell r="D153" t="str">
            <v>Día</v>
          </cell>
          <cell r="E153">
            <v>1</v>
          </cell>
          <cell r="F153">
            <v>518468</v>
          </cell>
          <cell r="G153">
            <v>0.1</v>
          </cell>
          <cell r="H153">
            <v>51846.8</v>
          </cell>
        </row>
        <row r="154">
          <cell r="A154" t="str">
            <v>EQUIPO</v>
          </cell>
          <cell r="B154" t="str">
            <v>EQU048</v>
          </cell>
          <cell r="C154" t="str">
            <v>Andamio certificado tubular</v>
          </cell>
          <cell r="D154" t="str">
            <v>Día</v>
          </cell>
          <cell r="E154">
            <v>6</v>
          </cell>
          <cell r="F154">
            <v>2500</v>
          </cell>
          <cell r="G154">
            <v>8.3333333333333329E-2</v>
          </cell>
          <cell r="H154">
            <v>1250</v>
          </cell>
        </row>
        <row r="155">
          <cell r="B155" t="str">
            <v>EQU002</v>
          </cell>
          <cell r="C155" t="str">
            <v>Herramienta menor (% mano obra)</v>
          </cell>
          <cell r="D155" t="str">
            <v>%MO</v>
          </cell>
          <cell r="E155">
            <v>0.1</v>
          </cell>
          <cell r="F155">
            <v>51846.8</v>
          </cell>
          <cell r="G155">
            <v>0</v>
          </cell>
          <cell r="H155">
            <v>5184.68</v>
          </cell>
        </row>
        <row r="156">
          <cell r="A156" t="str">
            <v>1-01-03</v>
          </cell>
          <cell r="C156" t="str">
            <v>Campamento, incluye teja de zinc, piso en concreto de 17,2 Mpa</v>
          </cell>
          <cell r="D156" t="str">
            <v>M2</v>
          </cell>
          <cell r="F156">
            <v>209393</v>
          </cell>
        </row>
        <row r="157">
          <cell r="A157" t="str">
            <v>MATERIALES</v>
          </cell>
          <cell r="B157" t="str">
            <v>MAT,030</v>
          </cell>
          <cell r="C157" t="str">
            <v>Alambre negro C 18</v>
          </cell>
          <cell r="D157" t="str">
            <v>Kg</v>
          </cell>
          <cell r="E157">
            <v>0.3</v>
          </cell>
          <cell r="F157">
            <v>7790</v>
          </cell>
          <cell r="G157">
            <v>0</v>
          </cell>
          <cell r="H157">
            <v>2337</v>
          </cell>
        </row>
        <row r="158">
          <cell r="B158" t="str">
            <v>MAT,048</v>
          </cell>
          <cell r="C158" t="str">
            <v>Bisagra de hierro para puerta</v>
          </cell>
          <cell r="D158" t="str">
            <v>Un</v>
          </cell>
          <cell r="E158">
            <v>0.5</v>
          </cell>
          <cell r="F158">
            <v>23450</v>
          </cell>
          <cell r="G158">
            <v>0</v>
          </cell>
          <cell r="H158">
            <v>11725</v>
          </cell>
        </row>
        <row r="159">
          <cell r="B159" t="str">
            <v>MAT,176</v>
          </cell>
          <cell r="C159" t="str">
            <v>Guadua basa longitud promedio = 5 m</v>
          </cell>
          <cell r="D159" t="str">
            <v>Un</v>
          </cell>
          <cell r="E159">
            <v>0.7</v>
          </cell>
          <cell r="F159">
            <v>5250</v>
          </cell>
          <cell r="G159">
            <v>0</v>
          </cell>
          <cell r="H159">
            <v>3674.9999999999995</v>
          </cell>
        </row>
        <row r="160">
          <cell r="B160" t="str">
            <v>MAT,643</v>
          </cell>
          <cell r="C160" t="str">
            <v>Material de peña (recebo) en cantera</v>
          </cell>
          <cell r="D160" t="str">
            <v>M3</v>
          </cell>
          <cell r="E160">
            <v>0.1</v>
          </cell>
          <cell r="F160">
            <v>37368</v>
          </cell>
          <cell r="G160">
            <v>1.3</v>
          </cell>
          <cell r="H160">
            <v>4857.84</v>
          </cell>
        </row>
        <row r="161">
          <cell r="B161" t="str">
            <v>MAT,333</v>
          </cell>
          <cell r="C161" t="str">
            <v>Puntilla (promedio)</v>
          </cell>
          <cell r="D161" t="str">
            <v>Lb</v>
          </cell>
          <cell r="E161">
            <v>0.3</v>
          </cell>
          <cell r="F161">
            <v>5650</v>
          </cell>
          <cell r="G161">
            <v>0</v>
          </cell>
          <cell r="H161">
            <v>1695</v>
          </cell>
        </row>
        <row r="162">
          <cell r="B162" t="str">
            <v>MAT,368</v>
          </cell>
          <cell r="C162" t="str">
            <v>Tabla para formaleta de 1" x 10" x 2,9 m</v>
          </cell>
          <cell r="D162" t="str">
            <v>M</v>
          </cell>
          <cell r="E162">
            <v>8</v>
          </cell>
          <cell r="F162">
            <v>10591</v>
          </cell>
          <cell r="G162">
            <v>0</v>
          </cell>
          <cell r="H162">
            <v>84728</v>
          </cell>
        </row>
        <row r="163">
          <cell r="B163" t="str">
            <v>MAT,166</v>
          </cell>
          <cell r="C163" t="str">
            <v>Teja zinc ondulada ± 2,13 x 0,80 m C 24</v>
          </cell>
          <cell r="D163" t="str">
            <v>M2</v>
          </cell>
          <cell r="E163">
            <v>1.56</v>
          </cell>
          <cell r="F163">
            <v>13767</v>
          </cell>
          <cell r="G163">
            <v>1.05</v>
          </cell>
          <cell r="H163">
            <v>22550.346000000001</v>
          </cell>
        </row>
        <row r="164">
          <cell r="A164" t="str">
            <v>M. O.</v>
          </cell>
          <cell r="B164" t="str">
            <v>MOB014</v>
          </cell>
          <cell r="C164" t="str">
            <v>Cuadrilla D 2 Of + 4 Ay (jornal + prestaciones)</v>
          </cell>
          <cell r="D164" t="str">
            <v>Día</v>
          </cell>
          <cell r="E164">
            <v>1</v>
          </cell>
          <cell r="F164">
            <v>679372</v>
          </cell>
          <cell r="G164">
            <v>0.1</v>
          </cell>
          <cell r="H164">
            <v>67937.2</v>
          </cell>
        </row>
        <row r="165">
          <cell r="A165" t="str">
            <v>EQUIPO</v>
          </cell>
          <cell r="B165" t="str">
            <v>EQU002</v>
          </cell>
          <cell r="C165" t="str">
            <v>Herramienta menor (% mano obra)</v>
          </cell>
          <cell r="D165" t="str">
            <v>%MO</v>
          </cell>
          <cell r="E165">
            <v>0.1</v>
          </cell>
          <cell r="F165">
            <v>67937.2</v>
          </cell>
          <cell r="G165">
            <v>0</v>
          </cell>
          <cell r="H165">
            <v>6793.72</v>
          </cell>
        </row>
        <row r="166">
          <cell r="B166" t="str">
            <v>EQU012</v>
          </cell>
          <cell r="C166" t="str">
            <v>Vibrocompactador manual</v>
          </cell>
          <cell r="D166" t="str">
            <v>Día</v>
          </cell>
          <cell r="E166">
            <v>1</v>
          </cell>
          <cell r="F166">
            <v>61880</v>
          </cell>
          <cell r="G166">
            <v>0.05</v>
          </cell>
          <cell r="H166">
            <v>3094</v>
          </cell>
        </row>
        <row r="167">
          <cell r="A167" t="str">
            <v>1-01-04</v>
          </cell>
          <cell r="C167" t="str">
            <v>Campamento arrendado mínimo de 18 m2</v>
          </cell>
          <cell r="D167" t="str">
            <v>M2-Mes</v>
          </cell>
          <cell r="F167">
            <v>924232</v>
          </cell>
        </row>
        <row r="168">
          <cell r="A168" t="str">
            <v>MAT</v>
          </cell>
          <cell r="B168" t="str">
            <v>MAT,705</v>
          </cell>
          <cell r="C168" t="str">
            <v>Arriendo local para campamento, incluye administración, servicios públicos y comunicaciones</v>
          </cell>
          <cell r="D168" t="str">
            <v>M2-Mes</v>
          </cell>
          <cell r="E168">
            <v>18</v>
          </cell>
          <cell r="F168">
            <v>51105</v>
          </cell>
          <cell r="G168">
            <v>0</v>
          </cell>
          <cell r="H168">
            <v>919890</v>
          </cell>
        </row>
        <row r="169">
          <cell r="A169" t="str">
            <v>M. O.</v>
          </cell>
          <cell r="B169" t="str">
            <v>MOB003</v>
          </cell>
          <cell r="C169" t="str">
            <v>Ayudante (jornal + prestaciones)</v>
          </cell>
          <cell r="D169" t="str">
            <v>Día</v>
          </cell>
          <cell r="E169">
            <v>1</v>
          </cell>
          <cell r="F169">
            <v>89391</v>
          </cell>
          <cell r="G169">
            <v>4.7619047619047616E-2</v>
          </cell>
          <cell r="H169">
            <v>4256.7142857142853</v>
          </cell>
        </row>
        <row r="170">
          <cell r="A170" t="str">
            <v>EQUIPO</v>
          </cell>
          <cell r="B170" t="str">
            <v>EQU002</v>
          </cell>
          <cell r="C170" t="str">
            <v>Herramienta menor (% mano obra)</v>
          </cell>
          <cell r="D170" t="str">
            <v>%MO</v>
          </cell>
          <cell r="E170">
            <v>0.02</v>
          </cell>
          <cell r="F170">
            <v>4256.7142857142853</v>
          </cell>
          <cell r="G170">
            <v>0</v>
          </cell>
          <cell r="H170">
            <v>85.13428571428571</v>
          </cell>
        </row>
        <row r="171">
          <cell r="A171" t="str">
            <v>1-01-05</v>
          </cell>
          <cell r="C171" t="str">
            <v>Localización y replanteo</v>
          </cell>
          <cell r="D171" t="str">
            <v>M2</v>
          </cell>
          <cell r="F171">
            <v>1495</v>
          </cell>
        </row>
        <row r="172">
          <cell r="A172" t="str">
            <v>MATERIALES</v>
          </cell>
          <cell r="B172" t="str">
            <v>MAT,116</v>
          </cell>
          <cell r="C172" t="str">
            <v>Cuartón de sajo 2" x 4" x 2,9 m</v>
          </cell>
          <cell r="D172" t="str">
            <v>M</v>
          </cell>
          <cell r="E172">
            <v>0.1</v>
          </cell>
          <cell r="F172">
            <v>5285</v>
          </cell>
          <cell r="G172">
            <v>0.33333333333333331</v>
          </cell>
          <cell r="H172">
            <v>176.16666666666666</v>
          </cell>
        </row>
        <row r="173">
          <cell r="B173" t="str">
            <v>MAT,176</v>
          </cell>
          <cell r="C173" t="str">
            <v>Guadua basa longitud promedio = 5 m</v>
          </cell>
          <cell r="D173" t="str">
            <v>Un</v>
          </cell>
          <cell r="E173">
            <v>0.02</v>
          </cell>
          <cell r="F173">
            <v>5250</v>
          </cell>
          <cell r="G173">
            <v>0.33333333333333331</v>
          </cell>
          <cell r="H173">
            <v>35</v>
          </cell>
        </row>
        <row r="174">
          <cell r="B174" t="str">
            <v>MAT,222</v>
          </cell>
          <cell r="C174" t="str">
            <v>Listón sajo de 5 x 3 cm x 2,5 m (varilla)</v>
          </cell>
          <cell r="D174" t="str">
            <v>M</v>
          </cell>
          <cell r="E174">
            <v>0.1</v>
          </cell>
          <cell r="F174">
            <v>4704</v>
          </cell>
          <cell r="G174">
            <v>0.33333333333333331</v>
          </cell>
          <cell r="H174">
            <v>156.80000000000001</v>
          </cell>
        </row>
        <row r="175">
          <cell r="B175" t="str">
            <v>MAT,298</v>
          </cell>
          <cell r="C175" t="str">
            <v>Pintura esmalte para exteriores</v>
          </cell>
          <cell r="D175" t="str">
            <v>Gl</v>
          </cell>
          <cell r="E175">
            <v>2E-3</v>
          </cell>
          <cell r="F175">
            <v>118900</v>
          </cell>
          <cell r="G175">
            <v>1.03</v>
          </cell>
          <cell r="H175">
            <v>244.934</v>
          </cell>
        </row>
        <row r="176">
          <cell r="B176" t="str">
            <v>MAT,334</v>
          </cell>
          <cell r="C176" t="str">
            <v>Puntilla de 3"</v>
          </cell>
          <cell r="D176" t="str">
            <v>Lb</v>
          </cell>
          <cell r="E176">
            <v>0.02</v>
          </cell>
          <cell r="F176">
            <v>5100</v>
          </cell>
          <cell r="G176">
            <v>0</v>
          </cell>
          <cell r="H176">
            <v>102</v>
          </cell>
        </row>
        <row r="177">
          <cell r="A177" t="str">
            <v>M. O.</v>
          </cell>
          <cell r="B177" t="str">
            <v>MOB010</v>
          </cell>
          <cell r="C177" t="str">
            <v>Comisión topografía (topógrafo + cadenero 1 + 2 cadeneros 2)</v>
          </cell>
          <cell r="D177" t="str">
            <v>Día</v>
          </cell>
          <cell r="E177">
            <v>1</v>
          </cell>
          <cell r="F177">
            <v>599083</v>
          </cell>
          <cell r="G177">
            <v>1.2000000480000019E-3</v>
          </cell>
          <cell r="H177">
            <v>718.89962875598508</v>
          </cell>
        </row>
        <row r="178">
          <cell r="A178" t="str">
            <v>EQUIPO</v>
          </cell>
          <cell r="B178" t="str">
            <v>EQU011</v>
          </cell>
          <cell r="C178" t="str">
            <v>Equipo completo de topografía</v>
          </cell>
          <cell r="D178" t="str">
            <v>Día</v>
          </cell>
          <cell r="E178">
            <v>1</v>
          </cell>
          <cell r="F178">
            <v>109900</v>
          </cell>
          <cell r="G178">
            <v>5.5555555555555556E-4</v>
          </cell>
          <cell r="H178">
            <v>61.055555555555557</v>
          </cell>
        </row>
        <row r="179">
          <cell r="A179" t="str">
            <v>1-01-06</v>
          </cell>
          <cell r="C179" t="str">
            <v>Limpieza y nivelación</v>
          </cell>
          <cell r="D179" t="str">
            <v>M2</v>
          </cell>
          <cell r="F179">
            <v>7777</v>
          </cell>
        </row>
        <row r="180">
          <cell r="A180" t="str">
            <v>M. O.</v>
          </cell>
          <cell r="B180" t="str">
            <v>MOB005</v>
          </cell>
          <cell r="C180" t="str">
            <v>Cuadrilla A 1 Of + 4 Ay (jornal + prestaciones)</v>
          </cell>
          <cell r="D180" t="str">
            <v>Día</v>
          </cell>
          <cell r="E180">
            <v>1</v>
          </cell>
          <cell r="F180">
            <v>518468</v>
          </cell>
          <cell r="G180">
            <v>1.2500000000000001E-2</v>
          </cell>
          <cell r="H180">
            <v>6480.85</v>
          </cell>
        </row>
        <row r="181">
          <cell r="B181" t="str">
            <v>MOB011</v>
          </cell>
          <cell r="C181" t="str">
            <v>Acarreo horizontal</v>
          </cell>
          <cell r="D181" t="str">
            <v>%MO</v>
          </cell>
          <cell r="E181">
            <v>0.1</v>
          </cell>
          <cell r="F181">
            <v>6480.85</v>
          </cell>
          <cell r="G181">
            <v>0</v>
          </cell>
          <cell r="H181">
            <v>648.08500000000004</v>
          </cell>
        </row>
        <row r="182">
          <cell r="A182" t="str">
            <v>EQUIPO</v>
          </cell>
          <cell r="B182" t="str">
            <v>EQU002</v>
          </cell>
          <cell r="C182" t="str">
            <v>Herramienta menor (% mano obra)</v>
          </cell>
          <cell r="D182" t="str">
            <v>%MO</v>
          </cell>
          <cell r="E182">
            <v>0.1</v>
          </cell>
          <cell r="F182">
            <v>6480.85</v>
          </cell>
          <cell r="G182">
            <v>0</v>
          </cell>
          <cell r="H182">
            <v>648.08500000000004</v>
          </cell>
        </row>
        <row r="183">
          <cell r="A183" t="str">
            <v>1-01-07</v>
          </cell>
          <cell r="C183" t="str">
            <v>Descapote y nivelación manual</v>
          </cell>
          <cell r="D183" t="str">
            <v>M2</v>
          </cell>
          <cell r="F183">
            <v>11406</v>
          </cell>
        </row>
        <row r="184">
          <cell r="A184" t="str">
            <v>M. O.</v>
          </cell>
          <cell r="B184" t="str">
            <v>MOB005</v>
          </cell>
          <cell r="C184" t="str">
            <v>Cuadrilla A 1 Of + 4 Ay (jornal + prestaciones)</v>
          </cell>
          <cell r="D184" t="str">
            <v>Día</v>
          </cell>
          <cell r="E184">
            <v>1</v>
          </cell>
          <cell r="F184">
            <v>518468</v>
          </cell>
          <cell r="G184">
            <v>0.02</v>
          </cell>
          <cell r="H184">
            <v>10369.36</v>
          </cell>
        </row>
        <row r="185">
          <cell r="A185" t="str">
            <v>EQUIPO</v>
          </cell>
          <cell r="B185" t="str">
            <v>EQU002</v>
          </cell>
          <cell r="C185" t="str">
            <v>Herramienta menor (% mano obra)</v>
          </cell>
          <cell r="D185" t="str">
            <v>%MO</v>
          </cell>
          <cell r="E185">
            <v>0.1</v>
          </cell>
          <cell r="F185">
            <v>10369.36</v>
          </cell>
          <cell r="G185">
            <v>0</v>
          </cell>
          <cell r="H185">
            <v>1036.9360000000001</v>
          </cell>
        </row>
        <row r="186">
          <cell r="A186" t="str">
            <v>1-01-08</v>
          </cell>
          <cell r="C186" t="str">
            <v>Descapote y limpieza con máquina incluye retiro</v>
          </cell>
          <cell r="D186" t="str">
            <v>M2</v>
          </cell>
          <cell r="F186">
            <v>19951</v>
          </cell>
        </row>
        <row r="187">
          <cell r="A187" t="str">
            <v>M. O.</v>
          </cell>
          <cell r="B187" t="str">
            <v>MOB018</v>
          </cell>
          <cell r="C187" t="str">
            <v>Cuadrilla H 4 Ay (jornal + prestaciones)</v>
          </cell>
          <cell r="D187" t="str">
            <v>Día</v>
          </cell>
          <cell r="E187">
            <v>1</v>
          </cell>
          <cell r="F187">
            <v>357564</v>
          </cell>
          <cell r="G187">
            <v>5.0000000000000001E-3</v>
          </cell>
          <cell r="H187">
            <v>1787.82</v>
          </cell>
        </row>
        <row r="188">
          <cell r="A188" t="str">
            <v>EQUIPO</v>
          </cell>
          <cell r="B188" t="str">
            <v>EQU004</v>
          </cell>
          <cell r="C188" t="str">
            <v>Buldócer D65-8</v>
          </cell>
          <cell r="D188" t="str">
            <v>Hr</v>
          </cell>
          <cell r="E188">
            <v>1</v>
          </cell>
          <cell r="F188">
            <v>238000</v>
          </cell>
          <cell r="G188">
            <v>2.8571428571428571E-2</v>
          </cell>
          <cell r="H188">
            <v>6800</v>
          </cell>
        </row>
        <row r="189">
          <cell r="B189" t="str">
            <v>EQU009</v>
          </cell>
          <cell r="C189" t="str">
            <v>Cargador 930 1,5 yd3</v>
          </cell>
          <cell r="D189" t="str">
            <v>Hr</v>
          </cell>
          <cell r="E189">
            <v>1</v>
          </cell>
          <cell r="F189">
            <v>113000</v>
          </cell>
          <cell r="G189">
            <v>0.04</v>
          </cell>
          <cell r="H189">
            <v>4520</v>
          </cell>
        </row>
        <row r="190">
          <cell r="B190" t="str">
            <v>EQU002</v>
          </cell>
          <cell r="C190" t="str">
            <v>Herramienta menor (% mano obra)</v>
          </cell>
          <cell r="D190" t="str">
            <v>%MO</v>
          </cell>
          <cell r="E190">
            <v>0.1</v>
          </cell>
          <cell r="F190">
            <v>1787.82</v>
          </cell>
          <cell r="G190">
            <v>0</v>
          </cell>
          <cell r="H190">
            <v>178.78200000000001</v>
          </cell>
        </row>
        <row r="191">
          <cell r="B191" t="str">
            <v>EQU010</v>
          </cell>
          <cell r="C191" t="str">
            <v>Volqueta 7 m3</v>
          </cell>
          <cell r="D191" t="str">
            <v>Hr</v>
          </cell>
          <cell r="E191">
            <v>1</v>
          </cell>
          <cell r="F191">
            <v>166600</v>
          </cell>
          <cell r="G191">
            <v>0.04</v>
          </cell>
          <cell r="H191">
            <v>6664</v>
          </cell>
        </row>
        <row r="192">
          <cell r="A192" t="str">
            <v>1-01-09</v>
          </cell>
          <cell r="C192" t="str">
            <v>Descapote y limpieza manual</v>
          </cell>
          <cell r="D192" t="str">
            <v>M2</v>
          </cell>
          <cell r="F192">
            <v>7151</v>
          </cell>
        </row>
        <row r="193">
          <cell r="A193" t="str">
            <v>M. O.</v>
          </cell>
          <cell r="B193" t="str">
            <v>MOB003</v>
          </cell>
          <cell r="C193" t="str">
            <v>Ayudante (jornal + prestaciones)</v>
          </cell>
          <cell r="D193" t="str">
            <v>Día</v>
          </cell>
          <cell r="E193">
            <v>1</v>
          </cell>
          <cell r="F193">
            <v>89391</v>
          </cell>
          <cell r="G193">
            <v>6.6666666666666666E-2</v>
          </cell>
          <cell r="H193">
            <v>5959.4</v>
          </cell>
        </row>
        <row r="194">
          <cell r="B194" t="str">
            <v>MOB011</v>
          </cell>
          <cell r="C194" t="str">
            <v>Acarreo horizontal</v>
          </cell>
          <cell r="D194" t="str">
            <v>%MO</v>
          </cell>
          <cell r="E194">
            <v>0.1</v>
          </cell>
          <cell r="F194">
            <v>5959.4</v>
          </cell>
          <cell r="G194">
            <v>0</v>
          </cell>
          <cell r="H194">
            <v>595.93999999999994</v>
          </cell>
        </row>
        <row r="195">
          <cell r="A195" t="str">
            <v>EQUIPO</v>
          </cell>
          <cell r="B195" t="str">
            <v>EQU002</v>
          </cell>
          <cell r="C195" t="str">
            <v>Herramienta menor (% mano obra)</v>
          </cell>
          <cell r="D195" t="str">
            <v>%MO</v>
          </cell>
          <cell r="E195">
            <v>0.1</v>
          </cell>
          <cell r="F195">
            <v>5959.4</v>
          </cell>
          <cell r="G195">
            <v>0</v>
          </cell>
          <cell r="H195">
            <v>595.93999999999994</v>
          </cell>
        </row>
        <row r="196">
          <cell r="A196" t="str">
            <v>1-01-10</v>
          </cell>
          <cell r="C196" t="str">
            <v>Nivelación terreno con material del sitio</v>
          </cell>
          <cell r="D196" t="str">
            <v>M2</v>
          </cell>
          <cell r="F196">
            <v>6222</v>
          </cell>
        </row>
        <row r="197">
          <cell r="A197" t="str">
            <v>M. O.</v>
          </cell>
          <cell r="B197" t="str">
            <v>MOB005</v>
          </cell>
          <cell r="C197" t="str">
            <v>Cuadrilla A 1 Of + 4 Ay (jornal + prestaciones)</v>
          </cell>
          <cell r="D197" t="str">
            <v>Día</v>
          </cell>
          <cell r="E197">
            <v>1</v>
          </cell>
          <cell r="F197">
            <v>518468</v>
          </cell>
          <cell r="G197">
            <v>0.01</v>
          </cell>
          <cell r="H197">
            <v>5184.68</v>
          </cell>
        </row>
        <row r="198">
          <cell r="B198" t="str">
            <v>MOB011</v>
          </cell>
          <cell r="C198" t="str">
            <v>Acarreo horizontal</v>
          </cell>
          <cell r="D198" t="str">
            <v>%MO</v>
          </cell>
          <cell r="E198">
            <v>0.1</v>
          </cell>
          <cell r="F198">
            <v>5184.68</v>
          </cell>
          <cell r="G198">
            <v>0</v>
          </cell>
          <cell r="H198">
            <v>518.46800000000007</v>
          </cell>
        </row>
        <row r="199">
          <cell r="A199" t="str">
            <v>EQUIPO</v>
          </cell>
          <cell r="B199" t="str">
            <v>EQU002</v>
          </cell>
          <cell r="C199" t="str">
            <v>Herramienta menor (% mano obra)</v>
          </cell>
          <cell r="D199" t="str">
            <v>%MO</v>
          </cell>
          <cell r="E199">
            <v>0.1</v>
          </cell>
          <cell r="F199">
            <v>5184.68</v>
          </cell>
          <cell r="G199">
            <v>0</v>
          </cell>
          <cell r="H199">
            <v>518.46800000000007</v>
          </cell>
        </row>
        <row r="200">
          <cell r="A200" t="str">
            <v>1-01-11</v>
          </cell>
          <cell r="C200" t="str">
            <v>Cargue mecánico de material</v>
          </cell>
          <cell r="D200" t="str">
            <v>M3</v>
          </cell>
          <cell r="F200">
            <v>3123</v>
          </cell>
        </row>
        <row r="201">
          <cell r="A201" t="str">
            <v>M. O.</v>
          </cell>
          <cell r="B201" t="str">
            <v>MOB003</v>
          </cell>
          <cell r="C201" t="str">
            <v>Ayudante (jornal + prestaciones)</v>
          </cell>
          <cell r="D201" t="str">
            <v>Día</v>
          </cell>
          <cell r="E201">
            <v>1</v>
          </cell>
          <cell r="F201">
            <v>89391</v>
          </cell>
          <cell r="G201">
            <v>3.3333333333333335E-3</v>
          </cell>
          <cell r="H201">
            <v>297.97000000000003</v>
          </cell>
        </row>
        <row r="202">
          <cell r="A202" t="str">
            <v>EQUIPO</v>
          </cell>
          <cell r="B202" t="str">
            <v>EQU009</v>
          </cell>
          <cell r="C202" t="str">
            <v xml:space="preserve">Cargador 930 1,5 yd3 </v>
          </cell>
          <cell r="D202" t="str">
            <v>Hr</v>
          </cell>
          <cell r="E202">
            <v>1</v>
          </cell>
          <cell r="F202">
            <v>113000</v>
          </cell>
          <cell r="G202">
            <v>2.5000000000000001E-2</v>
          </cell>
          <cell r="H202">
            <v>2825</v>
          </cell>
        </row>
        <row r="203">
          <cell r="A203" t="str">
            <v>1-01-12</v>
          </cell>
          <cell r="C203" t="str">
            <v>Cargue de material manual</v>
          </cell>
          <cell r="D203" t="str">
            <v>M3</v>
          </cell>
          <cell r="F203">
            <v>35756</v>
          </cell>
        </row>
        <row r="204">
          <cell r="A204" t="str">
            <v>M. O.</v>
          </cell>
          <cell r="B204" t="str">
            <v>MOB018</v>
          </cell>
          <cell r="C204" t="str">
            <v>Cuadrilla H 4 Ay (jornal + prestaciones)</v>
          </cell>
          <cell r="D204" t="str">
            <v>Día</v>
          </cell>
          <cell r="E204">
            <v>1</v>
          </cell>
          <cell r="F204">
            <v>357564</v>
          </cell>
          <cell r="G204">
            <v>9.0909090909090912E-2</v>
          </cell>
          <cell r="H204">
            <v>32505.818181818184</v>
          </cell>
        </row>
        <row r="205">
          <cell r="A205" t="str">
            <v>EQUIPO</v>
          </cell>
          <cell r="B205" t="str">
            <v>EQU002</v>
          </cell>
          <cell r="C205" t="str">
            <v>Herramienta menor (% mano obra)</v>
          </cell>
          <cell r="D205" t="str">
            <v>%MO</v>
          </cell>
          <cell r="E205">
            <v>0.1</v>
          </cell>
          <cell r="F205">
            <v>32505.818181818184</v>
          </cell>
          <cell r="G205">
            <v>0</v>
          </cell>
          <cell r="H205">
            <v>3250.5818181818186</v>
          </cell>
        </row>
        <row r="206">
          <cell r="A206" t="str">
            <v>1-01-13</v>
          </cell>
          <cell r="C206" t="str">
            <v xml:space="preserve">Cargue manual material sobrante </v>
          </cell>
          <cell r="D206" t="str">
            <v>M3</v>
          </cell>
          <cell r="F206">
            <v>32051</v>
          </cell>
        </row>
        <row r="207">
          <cell r="A207" t="str">
            <v>ÍTEMS</v>
          </cell>
          <cell r="B207" t="str">
            <v>G-03-05</v>
          </cell>
          <cell r="C207" t="str">
            <v>Disposición en botadero</v>
          </cell>
          <cell r="D207" t="str">
            <v>M3</v>
          </cell>
          <cell r="E207">
            <v>1</v>
          </cell>
          <cell r="F207">
            <v>6000</v>
          </cell>
          <cell r="G207">
            <v>1</v>
          </cell>
          <cell r="H207">
            <v>6000</v>
          </cell>
        </row>
        <row r="208">
          <cell r="A208" t="str">
            <v>M. O.</v>
          </cell>
          <cell r="B208" t="str">
            <v>MOB018</v>
          </cell>
          <cell r="C208" t="str">
            <v>Cuadrilla H 4 Ay (jornal + prestaciones)</v>
          </cell>
          <cell r="D208" t="str">
            <v>Día</v>
          </cell>
          <cell r="E208">
            <v>1</v>
          </cell>
          <cell r="F208">
            <v>357564</v>
          </cell>
          <cell r="G208">
            <v>7.1428571428571425E-2</v>
          </cell>
          <cell r="H208">
            <v>25540.285714285714</v>
          </cell>
        </row>
        <row r="209">
          <cell r="A209" t="str">
            <v>EQUIPO</v>
          </cell>
          <cell r="B209" t="str">
            <v>EQU002</v>
          </cell>
          <cell r="C209" t="str">
            <v>Herramienta menor (% mano obra)</v>
          </cell>
          <cell r="D209" t="str">
            <v>%MO</v>
          </cell>
          <cell r="E209">
            <v>0.02</v>
          </cell>
          <cell r="F209">
            <v>25540.285714285714</v>
          </cell>
          <cell r="G209">
            <v>0</v>
          </cell>
          <cell r="H209">
            <v>510.80571428571426</v>
          </cell>
        </row>
        <row r="210">
          <cell r="A210" t="str">
            <v>1-01-14</v>
          </cell>
          <cell r="C210" t="str">
            <v>Retiro de material con cargue mecánico</v>
          </cell>
          <cell r="D210" t="str">
            <v>M3</v>
          </cell>
          <cell r="F210">
            <v>9123</v>
          </cell>
        </row>
        <row r="211">
          <cell r="A211" t="str">
            <v>ÍTEMS</v>
          </cell>
          <cell r="B211" t="str">
            <v>1-01-11</v>
          </cell>
          <cell r="C211" t="str">
            <v>Cargue mecánico de material</v>
          </cell>
          <cell r="D211" t="str">
            <v>M3</v>
          </cell>
          <cell r="E211">
            <v>1</v>
          </cell>
          <cell r="F211">
            <v>3123</v>
          </cell>
          <cell r="G211">
            <v>0</v>
          </cell>
          <cell r="H211">
            <v>3123</v>
          </cell>
        </row>
        <row r="212">
          <cell r="B212" t="str">
            <v>G-03-05</v>
          </cell>
          <cell r="C212" t="str">
            <v>Disposición en botadero</v>
          </cell>
          <cell r="D212" t="str">
            <v>M3</v>
          </cell>
          <cell r="E212">
            <v>1</v>
          </cell>
          <cell r="F212">
            <v>6000</v>
          </cell>
          <cell r="G212">
            <v>1</v>
          </cell>
          <cell r="H212">
            <v>6000</v>
          </cell>
        </row>
        <row r="213">
          <cell r="A213" t="str">
            <v>1-01-15</v>
          </cell>
          <cell r="C213" t="str">
            <v xml:space="preserve">Cargue mecánico material sobrante </v>
          </cell>
          <cell r="D213" t="str">
            <v>M3</v>
          </cell>
          <cell r="F213">
            <v>9123</v>
          </cell>
        </row>
        <row r="214">
          <cell r="A214" t="str">
            <v>M. O.</v>
          </cell>
          <cell r="B214" t="str">
            <v>MOB003</v>
          </cell>
          <cell r="C214" t="str">
            <v>Ayudante (jornal + prestaciones)</v>
          </cell>
          <cell r="D214" t="str">
            <v>Día</v>
          </cell>
          <cell r="E214">
            <v>1</v>
          </cell>
          <cell r="F214">
            <v>89391</v>
          </cell>
          <cell r="G214">
            <v>3.3333333333333335E-3</v>
          </cell>
          <cell r="H214">
            <v>297.97000000000003</v>
          </cell>
        </row>
        <row r="215">
          <cell r="A215" t="str">
            <v>ÍTEMS</v>
          </cell>
          <cell r="B215" t="str">
            <v>G-03-05</v>
          </cell>
          <cell r="C215" t="str">
            <v>Disposición en botadero</v>
          </cell>
          <cell r="D215" t="str">
            <v>M3</v>
          </cell>
          <cell r="E215">
            <v>1</v>
          </cell>
          <cell r="F215">
            <v>6000</v>
          </cell>
          <cell r="G215">
            <v>1</v>
          </cell>
          <cell r="H215">
            <v>6000</v>
          </cell>
        </row>
        <row r="216">
          <cell r="A216" t="str">
            <v>EQUIPO</v>
          </cell>
          <cell r="B216" t="str">
            <v>EQU009</v>
          </cell>
          <cell r="C216" t="str">
            <v xml:space="preserve">Cargador 930 1,5 yd3 </v>
          </cell>
          <cell r="D216" t="str">
            <v>Hr</v>
          </cell>
          <cell r="E216">
            <v>1</v>
          </cell>
          <cell r="F216">
            <v>113000</v>
          </cell>
          <cell r="G216">
            <v>2.5000000000000001E-2</v>
          </cell>
          <cell r="H216">
            <v>2825</v>
          </cell>
        </row>
        <row r="217">
          <cell r="A217" t="str">
            <v>1-01-16</v>
          </cell>
          <cell r="C217" t="str">
            <v>Alquiler andamio certificado tubular certificado, incluye manipulación y teleras</v>
          </cell>
          <cell r="D217" t="str">
            <v>Día</v>
          </cell>
          <cell r="F217">
            <v>3989</v>
          </cell>
        </row>
        <row r="218">
          <cell r="A218" t="str">
            <v>M. O.</v>
          </cell>
          <cell r="B218" t="str">
            <v>MOB003</v>
          </cell>
          <cell r="C218" t="str">
            <v>Ayudante (jornal + prestaciones)</v>
          </cell>
          <cell r="D218" t="str">
            <v>Día</v>
          </cell>
          <cell r="E218">
            <v>1</v>
          </cell>
          <cell r="F218">
            <v>89391</v>
          </cell>
          <cell r="G218">
            <v>0.01</v>
          </cell>
          <cell r="H218">
            <v>893.91</v>
          </cell>
        </row>
        <row r="219">
          <cell r="A219" t="str">
            <v>EQUIPO</v>
          </cell>
          <cell r="B219" t="str">
            <v>EQU048</v>
          </cell>
          <cell r="C219" t="str">
            <v>Andamio certificado tubular</v>
          </cell>
          <cell r="D219" t="str">
            <v>Día</v>
          </cell>
          <cell r="E219">
            <v>1</v>
          </cell>
          <cell r="F219">
            <v>2500</v>
          </cell>
          <cell r="G219">
            <v>0</v>
          </cell>
          <cell r="H219">
            <v>2500</v>
          </cell>
        </row>
        <row r="220">
          <cell r="B220" t="str">
            <v>EQU054</v>
          </cell>
          <cell r="C220" t="str">
            <v>Telera de 3,5 x 24 cm x 2,9 m de sajo</v>
          </cell>
          <cell r="D220" t="str">
            <v>Día</v>
          </cell>
          <cell r="E220">
            <v>1</v>
          </cell>
          <cell r="F220">
            <v>595</v>
          </cell>
          <cell r="G220">
            <v>0</v>
          </cell>
          <cell r="H220">
            <v>595</v>
          </cell>
        </row>
        <row r="221">
          <cell r="A221" t="str">
            <v>1-01-17</v>
          </cell>
          <cell r="C221" t="str">
            <v>Tela para protección de edificios</v>
          </cell>
          <cell r="D221" t="str">
            <v>M2</v>
          </cell>
          <cell r="F221">
            <v>1943</v>
          </cell>
        </row>
        <row r="222">
          <cell r="A222" t="str">
            <v>MAT</v>
          </cell>
          <cell r="B222" t="str">
            <v>MAT,395</v>
          </cell>
          <cell r="C222" t="str">
            <v>Tela para protección de edificios</v>
          </cell>
          <cell r="D222" t="str">
            <v>M2</v>
          </cell>
          <cell r="E222">
            <v>1</v>
          </cell>
          <cell r="F222">
            <v>1724</v>
          </cell>
          <cell r="G222">
            <v>0</v>
          </cell>
          <cell r="H222">
            <v>1724</v>
          </cell>
        </row>
        <row r="223">
          <cell r="A223" t="str">
            <v>M. O.</v>
          </cell>
          <cell r="B223" t="str">
            <v>MOB003</v>
          </cell>
          <cell r="C223" t="str">
            <v>Ayudante (jornal + prestaciones)</v>
          </cell>
          <cell r="D223" t="str">
            <v>Día</v>
          </cell>
          <cell r="E223">
            <v>1</v>
          </cell>
          <cell r="F223">
            <v>89391</v>
          </cell>
          <cell r="G223">
            <v>2.2222222222222222E-3</v>
          </cell>
          <cell r="H223">
            <v>198.64666666666668</v>
          </cell>
        </row>
        <row r="224">
          <cell r="A224" t="str">
            <v>EQUIPO</v>
          </cell>
          <cell r="B224" t="str">
            <v>EQU006</v>
          </cell>
          <cell r="C224" t="str">
            <v>Andamio certificado (% mano obra)</v>
          </cell>
          <cell r="D224" t="str">
            <v>%MO</v>
          </cell>
          <cell r="E224">
            <v>0.1</v>
          </cell>
          <cell r="F224">
            <v>198.64666666666668</v>
          </cell>
          <cell r="G224">
            <v>0</v>
          </cell>
          <cell r="H224">
            <v>19.864666666666668</v>
          </cell>
        </row>
        <row r="225">
          <cell r="A225" t="str">
            <v>1-01-18</v>
          </cell>
          <cell r="C225" t="str">
            <v>Limpieza de superficies de moho</v>
          </cell>
          <cell r="D225" t="str">
            <v>M2</v>
          </cell>
          <cell r="F225">
            <v>2904</v>
          </cell>
        </row>
        <row r="226">
          <cell r="A226" t="str">
            <v>MAT</v>
          </cell>
          <cell r="B226" t="str">
            <v>MAT,027</v>
          </cell>
          <cell r="C226" t="str">
            <v xml:space="preserve">Agua </v>
          </cell>
          <cell r="D226" t="str">
            <v>Lt</v>
          </cell>
          <cell r="E226">
            <v>5</v>
          </cell>
          <cell r="F226">
            <v>19</v>
          </cell>
          <cell r="G226">
            <v>0</v>
          </cell>
          <cell r="H226">
            <v>95</v>
          </cell>
        </row>
        <row r="227">
          <cell r="A227" t="str">
            <v>M. O.</v>
          </cell>
          <cell r="B227" t="str">
            <v>MOB003</v>
          </cell>
          <cell r="C227" t="str">
            <v>Ayudante (jornal + prestaciones)</v>
          </cell>
          <cell r="D227" t="str">
            <v>Día</v>
          </cell>
          <cell r="E227">
            <v>1</v>
          </cell>
          <cell r="F227">
            <v>89391</v>
          </cell>
          <cell r="G227">
            <v>2.8571428571428571E-2</v>
          </cell>
          <cell r="H227">
            <v>2554.0285714285715</v>
          </cell>
        </row>
        <row r="228">
          <cell r="A228" t="str">
            <v>EQUIPO</v>
          </cell>
          <cell r="B228" t="str">
            <v>EQU002</v>
          </cell>
          <cell r="C228" t="str">
            <v>Herramienta menor (% mano obra)</v>
          </cell>
          <cell r="D228" t="str">
            <v>%MO</v>
          </cell>
          <cell r="E228">
            <v>0.1</v>
          </cell>
          <cell r="F228">
            <v>2554.0285714285715</v>
          </cell>
          <cell r="G228">
            <v>0</v>
          </cell>
          <cell r="H228">
            <v>255.40285714285716</v>
          </cell>
        </row>
        <row r="229">
          <cell r="A229" t="str">
            <v>1-01-19</v>
          </cell>
          <cell r="C229" t="str">
            <v>Lavado de paredes</v>
          </cell>
          <cell r="D229" t="str">
            <v>M2</v>
          </cell>
          <cell r="F229">
            <v>2280</v>
          </cell>
        </row>
        <row r="230">
          <cell r="A230" t="str">
            <v>MAT</v>
          </cell>
          <cell r="B230" t="str">
            <v>MAT,027</v>
          </cell>
          <cell r="C230" t="str">
            <v>Agua</v>
          </cell>
          <cell r="D230" t="str">
            <v>Lt</v>
          </cell>
          <cell r="E230">
            <v>5</v>
          </cell>
          <cell r="F230">
            <v>19</v>
          </cell>
          <cell r="G230">
            <v>0</v>
          </cell>
          <cell r="H230">
            <v>95</v>
          </cell>
        </row>
        <row r="231">
          <cell r="A231" t="str">
            <v>M. O.</v>
          </cell>
          <cell r="B231" t="str">
            <v>MOB003</v>
          </cell>
          <cell r="C231" t="str">
            <v>Ayudante (jornal + prestaciones)</v>
          </cell>
          <cell r="D231" t="str">
            <v>Día</v>
          </cell>
          <cell r="E231">
            <v>1</v>
          </cell>
          <cell r="F231">
            <v>89391</v>
          </cell>
          <cell r="G231">
            <v>2.2222222222222223E-2</v>
          </cell>
          <cell r="H231">
            <v>1986.4666666666667</v>
          </cell>
        </row>
        <row r="232">
          <cell r="A232" t="str">
            <v>EQUIPO</v>
          </cell>
          <cell r="B232" t="str">
            <v>EQU002</v>
          </cell>
          <cell r="C232" t="str">
            <v>Herramienta menor (% mano obra)</v>
          </cell>
          <cell r="D232" t="str">
            <v>%MO</v>
          </cell>
          <cell r="E232">
            <v>0.1</v>
          </cell>
          <cell r="F232">
            <v>1986.4666666666667</v>
          </cell>
          <cell r="G232">
            <v>0</v>
          </cell>
          <cell r="H232">
            <v>198.64666666666668</v>
          </cell>
        </row>
        <row r="233">
          <cell r="A233" t="str">
            <v>1-01-20</v>
          </cell>
          <cell r="C233" t="str">
            <v>Cerramiento con cinta de señalización, incluye señalizador tubular, dos cintas</v>
          </cell>
          <cell r="D233" t="str">
            <v>M</v>
          </cell>
          <cell r="F233">
            <v>1938</v>
          </cell>
        </row>
        <row r="234">
          <cell r="A234" t="str">
            <v>MAT</v>
          </cell>
          <cell r="B234" t="str">
            <v>MAT,095</v>
          </cell>
          <cell r="C234" t="str">
            <v>Cinta de señalización</v>
          </cell>
          <cell r="D234" t="str">
            <v>M</v>
          </cell>
          <cell r="E234">
            <v>2</v>
          </cell>
          <cell r="F234">
            <v>68</v>
          </cell>
          <cell r="G234">
            <v>0.5</v>
          </cell>
          <cell r="H234">
            <v>68</v>
          </cell>
        </row>
        <row r="235">
          <cell r="B235" t="str">
            <v>MAT,351</v>
          </cell>
          <cell r="C235" t="str">
            <v>Señalizador tubular de 1 m (2 líneas de cinta)</v>
          </cell>
          <cell r="D235" t="str">
            <v>Un</v>
          </cell>
          <cell r="E235">
            <v>1</v>
          </cell>
          <cell r="F235">
            <v>44400</v>
          </cell>
          <cell r="G235">
            <v>0.04</v>
          </cell>
          <cell r="H235">
            <v>1776</v>
          </cell>
        </row>
        <row r="236">
          <cell r="A236" t="str">
            <v>M. O.</v>
          </cell>
          <cell r="B236" t="str">
            <v>MOB003</v>
          </cell>
          <cell r="C236" t="str">
            <v>Ayudante (jornal + prestaciones)</v>
          </cell>
          <cell r="D236" t="str">
            <v>Día</v>
          </cell>
          <cell r="E236">
            <v>1</v>
          </cell>
          <cell r="F236">
            <v>89391</v>
          </cell>
          <cell r="G236">
            <v>1.0526315789473684E-3</v>
          </cell>
          <cell r="H236">
            <v>94.095789473684206</v>
          </cell>
        </row>
        <row r="237">
          <cell r="A237" t="str">
            <v>1-01-21</v>
          </cell>
          <cell r="C237" t="str">
            <v>Cerramiento provisional con señalizador y tela de cerramiento</v>
          </cell>
          <cell r="D237" t="str">
            <v>M</v>
          </cell>
          <cell r="F237">
            <v>8691</v>
          </cell>
        </row>
        <row r="238">
          <cell r="A238" t="str">
            <v>MAT</v>
          </cell>
          <cell r="B238" t="str">
            <v>MAT,351</v>
          </cell>
          <cell r="C238" t="str">
            <v>Señalizador tubular de 1 m (2 líneas de cinta)</v>
          </cell>
          <cell r="D238" t="str">
            <v>Un</v>
          </cell>
          <cell r="E238">
            <v>0.62</v>
          </cell>
          <cell r="F238">
            <v>44400</v>
          </cell>
          <cell r="G238">
            <v>0.16666666666666666</v>
          </cell>
          <cell r="H238">
            <v>4588</v>
          </cell>
        </row>
        <row r="239">
          <cell r="B239" t="str">
            <v>MAT,394</v>
          </cell>
          <cell r="C239" t="str">
            <v>Tela de cerramiento a = 2,10 m (rollo por 100 m)</v>
          </cell>
          <cell r="D239" t="str">
            <v>M2</v>
          </cell>
          <cell r="E239">
            <v>2</v>
          </cell>
          <cell r="F239">
            <v>1418</v>
          </cell>
          <cell r="G239">
            <v>1.1000000000000001</v>
          </cell>
          <cell r="H239">
            <v>3119.6000000000004</v>
          </cell>
        </row>
        <row r="240">
          <cell r="A240" t="str">
            <v>M. O.</v>
          </cell>
          <cell r="B240" t="str">
            <v>MOB003</v>
          </cell>
          <cell r="C240" t="str">
            <v>Ayudante (jornal + prestaciones)</v>
          </cell>
          <cell r="D240" t="str">
            <v>Día</v>
          </cell>
          <cell r="E240">
            <v>1</v>
          </cell>
          <cell r="F240">
            <v>89391</v>
          </cell>
          <cell r="G240">
            <v>0.01</v>
          </cell>
          <cell r="H240">
            <v>893.91</v>
          </cell>
        </row>
        <row r="241">
          <cell r="A241" t="str">
            <v>EQUIPO</v>
          </cell>
          <cell r="B241" t="str">
            <v>EQU002</v>
          </cell>
          <cell r="C241" t="str">
            <v>Herramienta menor (% mano obra)</v>
          </cell>
          <cell r="D241" t="str">
            <v>%MO</v>
          </cell>
          <cell r="E241">
            <v>0.1</v>
          </cell>
          <cell r="F241">
            <v>893.91</v>
          </cell>
          <cell r="G241">
            <v>0</v>
          </cell>
          <cell r="H241">
            <v>89.391000000000005</v>
          </cell>
        </row>
        <row r="242">
          <cell r="A242" t="str">
            <v>1-01-22</v>
          </cell>
          <cell r="C242" t="str">
            <v>Cerramiento provisional con guadua y tela de cerramiento h = 2 m</v>
          </cell>
          <cell r="D242" t="str">
            <v>M</v>
          </cell>
          <cell r="F242">
            <v>7538</v>
          </cell>
        </row>
        <row r="243">
          <cell r="A243" t="str">
            <v>MAT</v>
          </cell>
          <cell r="B243" t="str">
            <v>MAT,177</v>
          </cell>
          <cell r="C243" t="str">
            <v>Guadua sobre basa longitud promedio = 5 m</v>
          </cell>
          <cell r="D243" t="str">
            <v>Un</v>
          </cell>
          <cell r="E243">
            <v>0.33</v>
          </cell>
          <cell r="F243">
            <v>2833.3333333333335</v>
          </cell>
          <cell r="G243">
            <v>0.2</v>
          </cell>
          <cell r="H243">
            <v>187.00000000000003</v>
          </cell>
        </row>
        <row r="244">
          <cell r="B244" t="str">
            <v>MAT,333</v>
          </cell>
          <cell r="C244" t="str">
            <v>Puntilla (promedio)</v>
          </cell>
          <cell r="D244" t="str">
            <v>Lb</v>
          </cell>
          <cell r="E244">
            <v>0.05</v>
          </cell>
          <cell r="F244">
            <v>5650</v>
          </cell>
          <cell r="G244">
            <v>1.03</v>
          </cell>
          <cell r="H244">
            <v>290.97500000000002</v>
          </cell>
        </row>
        <row r="245">
          <cell r="B245" t="str">
            <v>MAT,394</v>
          </cell>
          <cell r="C245" t="str">
            <v>Tela de cerramiento a = 2,10 m (rollo por 100 m)</v>
          </cell>
          <cell r="D245" t="str">
            <v>M2</v>
          </cell>
          <cell r="E245">
            <v>2.1</v>
          </cell>
          <cell r="F245">
            <v>1418</v>
          </cell>
          <cell r="G245">
            <v>1.05</v>
          </cell>
          <cell r="H245">
            <v>3126.6900000000005</v>
          </cell>
        </row>
        <row r="246">
          <cell r="A246" t="str">
            <v>M. O.</v>
          </cell>
          <cell r="B246" t="str">
            <v>MOB003</v>
          </cell>
          <cell r="C246" t="str">
            <v>Ayudante (jornal + prestaciones)</v>
          </cell>
          <cell r="D246" t="str">
            <v>Día</v>
          </cell>
          <cell r="E246">
            <v>1</v>
          </cell>
          <cell r="F246">
            <v>89391</v>
          </cell>
          <cell r="G246">
            <v>0.04</v>
          </cell>
          <cell r="H246">
            <v>3575.64</v>
          </cell>
        </row>
        <row r="247">
          <cell r="A247" t="str">
            <v>EQUIPO</v>
          </cell>
          <cell r="B247" t="str">
            <v>EQU002</v>
          </cell>
          <cell r="C247" t="str">
            <v>Herramienta menor (% mano obra)</v>
          </cell>
          <cell r="D247" t="str">
            <v>%MO</v>
          </cell>
          <cell r="E247">
            <v>0.1</v>
          </cell>
          <cell r="F247">
            <v>3575.64</v>
          </cell>
          <cell r="G247">
            <v>0</v>
          </cell>
          <cell r="H247">
            <v>357.56400000000002</v>
          </cell>
        </row>
        <row r="248">
          <cell r="A248" t="str">
            <v>1-01-23</v>
          </cell>
          <cell r="C248" t="str">
            <v>Cerramiento en guadua y zinc</v>
          </cell>
          <cell r="D248" t="str">
            <v>M</v>
          </cell>
          <cell r="F248">
            <v>61805</v>
          </cell>
        </row>
        <row r="249">
          <cell r="A249" t="str">
            <v>MAT</v>
          </cell>
          <cell r="B249" t="str">
            <v>MAT,164</v>
          </cell>
          <cell r="C249" t="str">
            <v>Grapa plástica para cerramiento</v>
          </cell>
          <cell r="D249" t="str">
            <v>Kg</v>
          </cell>
          <cell r="E249">
            <v>3.0000000000000001E-3</v>
          </cell>
          <cell r="F249">
            <v>10900</v>
          </cell>
          <cell r="G249">
            <v>0</v>
          </cell>
          <cell r="H249">
            <v>32.700000000000003</v>
          </cell>
        </row>
        <row r="250">
          <cell r="B250" t="str">
            <v>MAT,176</v>
          </cell>
          <cell r="C250" t="str">
            <v>Guadua basa longitud promedio = 5 m</v>
          </cell>
          <cell r="D250" t="str">
            <v>Un</v>
          </cell>
          <cell r="E250">
            <v>0.5</v>
          </cell>
          <cell r="F250">
            <v>5250</v>
          </cell>
          <cell r="G250">
            <v>1.03</v>
          </cell>
          <cell r="H250">
            <v>2703.75</v>
          </cell>
        </row>
        <row r="251">
          <cell r="B251" t="str">
            <v>MAT,333</v>
          </cell>
          <cell r="C251" t="str">
            <v>Puntilla (promedio)</v>
          </cell>
          <cell r="D251" t="str">
            <v>Lb</v>
          </cell>
          <cell r="E251">
            <v>0.16700000000000001</v>
          </cell>
          <cell r="F251">
            <v>5650</v>
          </cell>
          <cell r="G251">
            <v>0</v>
          </cell>
          <cell r="H251">
            <v>943.55000000000007</v>
          </cell>
        </row>
        <row r="252">
          <cell r="B252" t="str">
            <v>MAT,166</v>
          </cell>
          <cell r="C252" t="str">
            <v>Teja zinc ondulada ± 2,13 x 0,80 m C 24</v>
          </cell>
          <cell r="D252" t="str">
            <v>M2</v>
          </cell>
          <cell r="E252">
            <v>2.4</v>
          </cell>
          <cell r="F252">
            <v>13767</v>
          </cell>
          <cell r="G252">
            <v>1.03</v>
          </cell>
          <cell r="H252">
            <v>34032.023999999998</v>
          </cell>
        </row>
        <row r="253">
          <cell r="B253" t="str">
            <v>MAT,487</v>
          </cell>
          <cell r="C253" t="str">
            <v>Varillón de sajo 3 x 3 cm</v>
          </cell>
          <cell r="D253" t="str">
            <v>M</v>
          </cell>
          <cell r="E253">
            <v>3.1</v>
          </cell>
          <cell r="F253">
            <v>360</v>
          </cell>
          <cell r="G253">
            <v>1.03</v>
          </cell>
          <cell r="H253">
            <v>1149.48</v>
          </cell>
        </row>
        <row r="254">
          <cell r="A254" t="str">
            <v>M. O.</v>
          </cell>
          <cell r="B254" t="str">
            <v>MOB015</v>
          </cell>
          <cell r="C254" t="str">
            <v>Cuadrilla E 1 Of + 1 Ay (jornal + prestaciones)</v>
          </cell>
          <cell r="D254" t="str">
            <v>Día</v>
          </cell>
          <cell r="E254">
            <v>1</v>
          </cell>
          <cell r="F254">
            <v>250295</v>
          </cell>
          <cell r="G254">
            <v>8.3333333333333329E-2</v>
          </cell>
          <cell r="H254">
            <v>20857.916666666664</v>
          </cell>
        </row>
        <row r="255">
          <cell r="A255" t="str">
            <v>EQUIPO</v>
          </cell>
          <cell r="B255" t="str">
            <v>EQU002</v>
          </cell>
          <cell r="C255" t="str">
            <v>Herramienta menor (% mano obra)</v>
          </cell>
          <cell r="D255" t="str">
            <v>%MO</v>
          </cell>
          <cell r="E255">
            <v>0.1</v>
          </cell>
          <cell r="F255">
            <v>20857.916666666664</v>
          </cell>
          <cell r="G255">
            <v>0</v>
          </cell>
          <cell r="H255">
            <v>2085.7916666666665</v>
          </cell>
        </row>
        <row r="256">
          <cell r="A256" t="str">
            <v>1-01-24</v>
          </cell>
          <cell r="C256" t="str">
            <v>Formaleta placa (básico)</v>
          </cell>
          <cell r="D256" t="str">
            <v>M2</v>
          </cell>
          <cell r="F256">
            <v>56368</v>
          </cell>
        </row>
        <row r="257">
          <cell r="A257" t="str">
            <v>MAT</v>
          </cell>
          <cell r="B257" t="str">
            <v>MAT,116</v>
          </cell>
          <cell r="C257" t="str">
            <v>Cuartón de sajo 2" x 4" x 2,9 m</v>
          </cell>
          <cell r="D257" t="str">
            <v>M</v>
          </cell>
          <cell r="E257">
            <v>1</v>
          </cell>
          <cell r="F257">
            <v>5285</v>
          </cell>
          <cell r="G257">
            <v>1.03</v>
          </cell>
          <cell r="H257">
            <v>5443.55</v>
          </cell>
        </row>
        <row r="258">
          <cell r="B258" t="str">
            <v>MAT,333</v>
          </cell>
          <cell r="C258" t="str">
            <v>Puntilla (Promedio)</v>
          </cell>
          <cell r="D258" t="str">
            <v>Lb</v>
          </cell>
          <cell r="E258">
            <v>0.25</v>
          </cell>
          <cell r="F258">
            <v>5650</v>
          </cell>
          <cell r="G258">
            <v>0</v>
          </cell>
          <cell r="H258">
            <v>1412.5</v>
          </cell>
        </row>
        <row r="259">
          <cell r="B259" t="str">
            <v>MAT,368</v>
          </cell>
          <cell r="C259" t="str">
            <v>Tabla para formaleta de 1" x 10" x 2,9 m</v>
          </cell>
          <cell r="D259" t="str">
            <v>M</v>
          </cell>
          <cell r="E259">
            <v>4</v>
          </cell>
          <cell r="F259">
            <v>10591</v>
          </cell>
          <cell r="G259">
            <v>1.03</v>
          </cell>
          <cell r="H259">
            <v>43634.92</v>
          </cell>
        </row>
        <row r="260">
          <cell r="B260" t="str">
            <v>MAT,487</v>
          </cell>
          <cell r="C260" t="str">
            <v>Varillón de sajo 3 x 3 cm</v>
          </cell>
          <cell r="D260" t="str">
            <v>M</v>
          </cell>
          <cell r="E260">
            <v>1</v>
          </cell>
          <cell r="F260">
            <v>360</v>
          </cell>
          <cell r="G260">
            <v>1.03</v>
          </cell>
          <cell r="H260">
            <v>370.8</v>
          </cell>
        </row>
        <row r="261">
          <cell r="A261" t="str">
            <v>M. O.</v>
          </cell>
          <cell r="B261" t="str">
            <v>MOB015</v>
          </cell>
          <cell r="C261" t="str">
            <v>Cuadrilla E 1 Of + 1 Ay (jornal + prestaciones)</v>
          </cell>
          <cell r="D261" t="str">
            <v>Día</v>
          </cell>
          <cell r="E261">
            <v>1</v>
          </cell>
          <cell r="F261">
            <v>250295</v>
          </cell>
          <cell r="G261">
            <v>0.02</v>
          </cell>
          <cell r="H261">
            <v>5005.9000000000005</v>
          </cell>
        </row>
        <row r="262">
          <cell r="A262" t="str">
            <v>EQUIPO</v>
          </cell>
          <cell r="B262" t="str">
            <v>EQU002</v>
          </cell>
          <cell r="C262" t="str">
            <v>Herramienta menor (% mano obra)</v>
          </cell>
          <cell r="D262" t="str">
            <v>%MO</v>
          </cell>
          <cell r="E262">
            <v>0.1</v>
          </cell>
          <cell r="F262">
            <v>5005.9000000000005</v>
          </cell>
          <cell r="G262">
            <v>0</v>
          </cell>
          <cell r="H262">
            <v>500.59000000000009</v>
          </cell>
        </row>
        <row r="263">
          <cell r="A263" t="str">
            <v>1-01-25</v>
          </cell>
          <cell r="C263" t="str">
            <v>Alzaprimada provisional en madera</v>
          </cell>
          <cell r="D263" t="str">
            <v>M2</v>
          </cell>
          <cell r="F263">
            <v>60018</v>
          </cell>
        </row>
        <row r="264">
          <cell r="A264" t="str">
            <v>MAT</v>
          </cell>
          <cell r="B264" t="str">
            <v>MAT,116</v>
          </cell>
          <cell r="C264" t="str">
            <v>Cuartón de sajo 2" x 4" x 2,9 m</v>
          </cell>
          <cell r="D264" t="str">
            <v>M</v>
          </cell>
          <cell r="E264">
            <v>2</v>
          </cell>
          <cell r="F264">
            <v>5285</v>
          </cell>
          <cell r="G264">
            <v>0</v>
          </cell>
          <cell r="H264">
            <v>10570</v>
          </cell>
        </row>
        <row r="265">
          <cell r="B265" t="str">
            <v>MAT,177</v>
          </cell>
          <cell r="C265" t="str">
            <v>Guadua sobre basa longitud promedio = 5 m</v>
          </cell>
          <cell r="D265" t="str">
            <v>Un</v>
          </cell>
          <cell r="E265">
            <v>3</v>
          </cell>
          <cell r="F265">
            <v>2833.3333333333335</v>
          </cell>
          <cell r="G265">
            <v>1</v>
          </cell>
          <cell r="H265">
            <v>8500</v>
          </cell>
        </row>
        <row r="266">
          <cell r="B266" t="str">
            <v>MAT,333</v>
          </cell>
          <cell r="C266" t="str">
            <v>Puntilla (Promedio)</v>
          </cell>
          <cell r="D266" t="str">
            <v>Lb</v>
          </cell>
          <cell r="E266">
            <v>0.5</v>
          </cell>
          <cell r="F266">
            <v>5650</v>
          </cell>
          <cell r="G266">
            <v>0</v>
          </cell>
          <cell r="H266">
            <v>2825</v>
          </cell>
        </row>
        <row r="267">
          <cell r="B267" t="str">
            <v>MAT,368</v>
          </cell>
          <cell r="C267" t="str">
            <v>Tabla para formaleta de 1" x 10" x 2,9 m</v>
          </cell>
          <cell r="D267" t="str">
            <v>M</v>
          </cell>
          <cell r="E267">
            <v>1</v>
          </cell>
          <cell r="F267">
            <v>10591</v>
          </cell>
          <cell r="G267">
            <v>0</v>
          </cell>
          <cell r="H267">
            <v>10591</v>
          </cell>
        </row>
        <row r="268">
          <cell r="A268" t="str">
            <v>M. O.</v>
          </cell>
          <cell r="B268" t="str">
            <v>MOB015</v>
          </cell>
          <cell r="C268" t="str">
            <v>Cuadrilla E 1 Of + 1 Ay (jornal + prestaciones)</v>
          </cell>
          <cell r="D268" t="str">
            <v>Día</v>
          </cell>
          <cell r="E268">
            <v>1</v>
          </cell>
          <cell r="F268">
            <v>250295</v>
          </cell>
          <cell r="G268">
            <v>0.1</v>
          </cell>
          <cell r="H268">
            <v>25029.5</v>
          </cell>
        </row>
        <row r="269">
          <cell r="A269" t="str">
            <v>EQUIPO</v>
          </cell>
          <cell r="B269" t="str">
            <v>EQU002</v>
          </cell>
          <cell r="C269" t="str">
            <v>Herramienta menor (% mano obra)</v>
          </cell>
          <cell r="D269" t="str">
            <v>%MO</v>
          </cell>
          <cell r="E269">
            <v>0.1</v>
          </cell>
          <cell r="F269">
            <v>25029.5</v>
          </cell>
          <cell r="G269">
            <v>0</v>
          </cell>
          <cell r="H269">
            <v>2502.9500000000003</v>
          </cell>
        </row>
        <row r="270">
          <cell r="A270" t="str">
            <v>1-01-26</v>
          </cell>
          <cell r="C270" t="str">
            <v>Mantenimiento de postes y cerramiento en alambre de púas</v>
          </cell>
          <cell r="D270" t="str">
            <v>M</v>
          </cell>
          <cell r="F270">
            <v>13197</v>
          </cell>
        </row>
        <row r="271">
          <cell r="A271" t="str">
            <v>MAT</v>
          </cell>
          <cell r="B271" t="str">
            <v>MAT,028</v>
          </cell>
          <cell r="C271" t="str">
            <v>Alambre de púas C 14</v>
          </cell>
          <cell r="D271" t="str">
            <v>M</v>
          </cell>
          <cell r="E271">
            <v>0.3</v>
          </cell>
          <cell r="F271">
            <v>584</v>
          </cell>
          <cell r="G271">
            <v>0</v>
          </cell>
          <cell r="H271">
            <v>175.2</v>
          </cell>
        </row>
        <row r="272">
          <cell r="B272" t="str">
            <v>MAT,164</v>
          </cell>
          <cell r="C272" t="str">
            <v>Grapa plástica para cerramiento</v>
          </cell>
          <cell r="D272" t="str">
            <v>Kg</v>
          </cell>
          <cell r="E272">
            <v>3.0000000000000001E-3</v>
          </cell>
          <cell r="F272">
            <v>10900</v>
          </cell>
          <cell r="G272">
            <v>1.03</v>
          </cell>
          <cell r="H272">
            <v>33.680999999999997</v>
          </cell>
        </row>
        <row r="273">
          <cell r="B273" t="str">
            <v>MAT,323</v>
          </cell>
          <cell r="C273" t="str">
            <v>Poste de madera para cerramiento ± l = 2,50 m Ø ± 9 cm, inmunizado</v>
          </cell>
          <cell r="D273" t="str">
            <v>Un</v>
          </cell>
          <cell r="E273">
            <v>0.1</v>
          </cell>
          <cell r="F273">
            <v>48900</v>
          </cell>
          <cell r="G273">
            <v>0</v>
          </cell>
          <cell r="H273">
            <v>4890</v>
          </cell>
        </row>
        <row r="274">
          <cell r="A274" t="str">
            <v>M. O.</v>
          </cell>
          <cell r="B274" t="str">
            <v>MOB015</v>
          </cell>
          <cell r="C274" t="str">
            <v>Cuadrilla E 1 Of + 1 Ay (jornal + prestaciones)</v>
          </cell>
          <cell r="D274" t="str">
            <v>Día</v>
          </cell>
          <cell r="E274">
            <v>1</v>
          </cell>
          <cell r="F274">
            <v>250295</v>
          </cell>
          <cell r="G274">
            <v>2.9411764705882353E-2</v>
          </cell>
          <cell r="H274">
            <v>7361.6176470588234</v>
          </cell>
        </row>
        <row r="275">
          <cell r="A275" t="str">
            <v>EQUIPO</v>
          </cell>
          <cell r="B275" t="str">
            <v>EQU002</v>
          </cell>
          <cell r="C275" t="str">
            <v>Herramienta menor (% mano obra)</v>
          </cell>
          <cell r="D275" t="str">
            <v>%MO</v>
          </cell>
          <cell r="E275">
            <v>0.1</v>
          </cell>
          <cell r="F275">
            <v>7361.6176470588234</v>
          </cell>
          <cell r="G275">
            <v>0</v>
          </cell>
          <cell r="H275">
            <v>736.16176470588243</v>
          </cell>
        </row>
        <row r="276">
          <cell r="A276" t="str">
            <v>1-01-27</v>
          </cell>
          <cell r="C276" t="str">
            <v>Descargue manual de materiales</v>
          </cell>
          <cell r="D276" t="str">
            <v>Tn</v>
          </cell>
          <cell r="F276">
            <v>4693</v>
          </cell>
        </row>
        <row r="277">
          <cell r="A277" t="str">
            <v>M. O.</v>
          </cell>
          <cell r="B277" t="str">
            <v>MOB003</v>
          </cell>
          <cell r="C277" t="str">
            <v>Ayudante (jornal + prestaciones)</v>
          </cell>
          <cell r="D277" t="str">
            <v>Día</v>
          </cell>
          <cell r="E277">
            <v>1</v>
          </cell>
          <cell r="F277">
            <v>89391</v>
          </cell>
          <cell r="G277">
            <v>0.05</v>
          </cell>
          <cell r="H277">
            <v>4469.55</v>
          </cell>
        </row>
        <row r="278">
          <cell r="A278" t="str">
            <v>EQUIPO</v>
          </cell>
          <cell r="B278" t="str">
            <v>EQU002</v>
          </cell>
          <cell r="C278" t="str">
            <v>Herramienta menor (% mano obra)</v>
          </cell>
          <cell r="D278" t="str">
            <v>%MO</v>
          </cell>
          <cell r="E278">
            <v>0.05</v>
          </cell>
          <cell r="F278">
            <v>4469.55</v>
          </cell>
          <cell r="G278">
            <v>0</v>
          </cell>
          <cell r="H278">
            <v>223.47750000000002</v>
          </cell>
        </row>
        <row r="279">
          <cell r="A279" t="str">
            <v>1-01-28</v>
          </cell>
          <cell r="C279" t="str">
            <v>Aseo de obra de construcción (aulas, oficinas, hospitales, etc.)</v>
          </cell>
          <cell r="D279" t="str">
            <v>M2</v>
          </cell>
          <cell r="F279">
            <v>9582</v>
          </cell>
        </row>
        <row r="280">
          <cell r="A280" t="str">
            <v>MAT</v>
          </cell>
          <cell r="B280" t="str">
            <v>MAT,027</v>
          </cell>
          <cell r="C280" t="str">
            <v xml:space="preserve">Agua </v>
          </cell>
          <cell r="D280" t="str">
            <v>Lt</v>
          </cell>
          <cell r="E280">
            <v>10</v>
          </cell>
          <cell r="F280">
            <v>19</v>
          </cell>
          <cell r="G280">
            <v>1.03</v>
          </cell>
          <cell r="H280">
            <v>195.7</v>
          </cell>
        </row>
        <row r="281">
          <cell r="B281" t="str">
            <v>MAT,800</v>
          </cell>
          <cell r="C281" t="str">
            <v>Detergentes</v>
          </cell>
          <cell r="D281" t="str">
            <v>Kg</v>
          </cell>
          <cell r="E281">
            <v>0.1</v>
          </cell>
          <cell r="F281">
            <v>10283.333333333334</v>
          </cell>
          <cell r="G281">
            <v>1.03</v>
          </cell>
          <cell r="H281">
            <v>1059.1833333333334</v>
          </cell>
        </row>
        <row r="282">
          <cell r="B282" t="str">
            <v>MAT,782</v>
          </cell>
          <cell r="C282" t="str">
            <v>Limpiador final de obra</v>
          </cell>
          <cell r="D282" t="str">
            <v>Ml</v>
          </cell>
          <cell r="E282">
            <v>74</v>
          </cell>
          <cell r="F282">
            <v>44</v>
          </cell>
          <cell r="G282">
            <v>1.03</v>
          </cell>
          <cell r="H282">
            <v>3353.68</v>
          </cell>
        </row>
        <row r="283">
          <cell r="B283" t="str">
            <v>MAT,801</v>
          </cell>
          <cell r="C283" t="str">
            <v>Limpiavidrios</v>
          </cell>
          <cell r="D283" t="str">
            <v>Lt</v>
          </cell>
          <cell r="E283">
            <v>0.05</v>
          </cell>
          <cell r="F283">
            <v>5500</v>
          </cell>
          <cell r="G283">
            <v>1.02</v>
          </cell>
          <cell r="H283">
            <v>280.5</v>
          </cell>
        </row>
        <row r="284">
          <cell r="A284" t="str">
            <v>M. O.</v>
          </cell>
          <cell r="B284" t="str">
            <v>MOB003</v>
          </cell>
          <cell r="C284" t="str">
            <v>Ayudante (jornal + prestaciones)</v>
          </cell>
          <cell r="D284" t="str">
            <v>Día</v>
          </cell>
          <cell r="E284">
            <v>1</v>
          </cell>
          <cell r="F284">
            <v>89391</v>
          </cell>
          <cell r="G284">
            <v>0.05</v>
          </cell>
          <cell r="H284">
            <v>4469.55</v>
          </cell>
        </row>
        <row r="285">
          <cell r="A285" t="str">
            <v>EQUIPO</v>
          </cell>
          <cell r="B285" t="str">
            <v>EQU002</v>
          </cell>
          <cell r="C285" t="str">
            <v>Herramienta menor (% mano obra)</v>
          </cell>
          <cell r="D285" t="str">
            <v>%MO</v>
          </cell>
          <cell r="E285">
            <v>0.05</v>
          </cell>
          <cell r="F285">
            <v>4469.55</v>
          </cell>
          <cell r="G285">
            <v>0</v>
          </cell>
          <cell r="H285">
            <v>223.47750000000002</v>
          </cell>
        </row>
        <row r="286">
          <cell r="A286" t="str">
            <v>1-01-29</v>
          </cell>
          <cell r="C286" t="str">
            <v>Aseo de obra de infraestructura (parques, canchas, juegos infantiles, obras exteriores, etc.)</v>
          </cell>
          <cell r="D286" t="str">
            <v>M2</v>
          </cell>
          <cell r="F286">
            <v>2663</v>
          </cell>
        </row>
        <row r="287">
          <cell r="A287" t="str">
            <v>MAT</v>
          </cell>
          <cell r="B287" t="str">
            <v>MAT,027</v>
          </cell>
          <cell r="C287" t="str">
            <v xml:space="preserve">Agua </v>
          </cell>
          <cell r="D287" t="str">
            <v>Lt</v>
          </cell>
          <cell r="E287">
            <v>10</v>
          </cell>
          <cell r="F287">
            <v>19</v>
          </cell>
          <cell r="G287">
            <v>1.03</v>
          </cell>
          <cell r="H287">
            <v>195.7</v>
          </cell>
        </row>
        <row r="288">
          <cell r="B288" t="str">
            <v>MAT,800</v>
          </cell>
          <cell r="C288" t="str">
            <v>Detergentes</v>
          </cell>
          <cell r="D288" t="str">
            <v>Kg</v>
          </cell>
          <cell r="E288">
            <v>0.1</v>
          </cell>
          <cell r="F288">
            <v>10283.333333333334</v>
          </cell>
          <cell r="G288">
            <v>1.03</v>
          </cell>
          <cell r="H288">
            <v>1059.1833333333334</v>
          </cell>
        </row>
        <row r="289">
          <cell r="A289" t="str">
            <v>M. O.</v>
          </cell>
          <cell r="B289" t="str">
            <v>MOB003</v>
          </cell>
          <cell r="C289" t="str">
            <v>Ayudante (jornal + prestaciones)</v>
          </cell>
          <cell r="D289" t="str">
            <v>Día</v>
          </cell>
          <cell r="E289">
            <v>1</v>
          </cell>
          <cell r="F289">
            <v>89391</v>
          </cell>
          <cell r="G289">
            <v>1.4999999250000038E-2</v>
          </cell>
          <cell r="H289">
            <v>1340.8649329567534</v>
          </cell>
        </row>
        <row r="290">
          <cell r="A290" t="str">
            <v>EQUIPO</v>
          </cell>
          <cell r="B290" t="str">
            <v>EQU002</v>
          </cell>
          <cell r="C290" t="str">
            <v>Herramienta menor (% mano obra)</v>
          </cell>
          <cell r="D290" t="str">
            <v>%MO</v>
          </cell>
          <cell r="E290">
            <v>0.05</v>
          </cell>
          <cell r="F290">
            <v>1340.8649329567534</v>
          </cell>
          <cell r="G290">
            <v>0</v>
          </cell>
          <cell r="H290">
            <v>67.043246647837677</v>
          </cell>
        </row>
        <row r="291">
          <cell r="A291" t="str">
            <v>1 - 02 CORTES, DEMOLICIONES Y DESMONTES</v>
          </cell>
        </row>
        <row r="292">
          <cell r="A292" t="str">
            <v>ÍTEM</v>
          </cell>
          <cell r="B292" t="str">
            <v>CÓDIGO</v>
          </cell>
          <cell r="C292" t="str">
            <v>DESCRIPCIÓN</v>
          </cell>
          <cell r="D292" t="str">
            <v>UN</v>
          </cell>
          <cell r="E292" t="str">
            <v>CANT</v>
          </cell>
          <cell r="F292" t="str">
            <v>VR. UN.</v>
          </cell>
          <cell r="G292" t="str">
            <v>RENDIMIENTO, USOS, DESPEDICIOS</v>
          </cell>
          <cell r="H292" t="str">
            <v>VR. PARCIAL</v>
          </cell>
        </row>
        <row r="293">
          <cell r="A293" t="str">
            <v>1-02-01</v>
          </cell>
          <cell r="C293" t="str">
            <v>Corte de baldosa existente</v>
          </cell>
          <cell r="D293" t="str">
            <v>M</v>
          </cell>
          <cell r="F293">
            <v>4111</v>
          </cell>
        </row>
        <row r="294">
          <cell r="A294" t="str">
            <v>M. O.</v>
          </cell>
          <cell r="B294" t="str">
            <v>MOB002</v>
          </cell>
          <cell r="C294" t="str">
            <v>Oficial (jornal + prestaciones)</v>
          </cell>
          <cell r="D294" t="str">
            <v>Día</v>
          </cell>
          <cell r="E294">
            <v>1</v>
          </cell>
          <cell r="F294">
            <v>160904</v>
          </cell>
          <cell r="G294">
            <v>0.02</v>
          </cell>
          <cell r="H294">
            <v>3218.08</v>
          </cell>
        </row>
        <row r="295">
          <cell r="A295" t="str">
            <v>EQUIPO</v>
          </cell>
          <cell r="B295" t="str">
            <v>EQU035</v>
          </cell>
          <cell r="C295" t="str">
            <v>Cortadora de ladrillo sin disco</v>
          </cell>
          <cell r="D295" t="str">
            <v>Día</v>
          </cell>
          <cell r="E295">
            <v>1</v>
          </cell>
          <cell r="F295">
            <v>35700</v>
          </cell>
          <cell r="G295">
            <v>2.5000000000000001E-2</v>
          </cell>
          <cell r="H295">
            <v>892.5</v>
          </cell>
        </row>
        <row r="296">
          <cell r="A296" t="str">
            <v>1-02-02</v>
          </cell>
          <cell r="C296" t="str">
            <v>Corte con disco muro ambos lados</v>
          </cell>
          <cell r="D296" t="str">
            <v>M</v>
          </cell>
          <cell r="F296">
            <v>11439</v>
          </cell>
        </row>
        <row r="297">
          <cell r="A297" t="str">
            <v>M. O.</v>
          </cell>
          <cell r="B297" t="str">
            <v>MOB002</v>
          </cell>
          <cell r="C297" t="str">
            <v>Oficial (jornal + prestaciones)</v>
          </cell>
          <cell r="D297" t="str">
            <v>Día</v>
          </cell>
          <cell r="E297">
            <v>1</v>
          </cell>
          <cell r="F297">
            <v>160904</v>
          </cell>
          <cell r="G297">
            <v>0.05</v>
          </cell>
          <cell r="H297">
            <v>8045.2000000000007</v>
          </cell>
        </row>
        <row r="298">
          <cell r="A298" t="str">
            <v>EQUIPO</v>
          </cell>
          <cell r="B298" t="str">
            <v>EQU006</v>
          </cell>
          <cell r="C298" t="str">
            <v>Andamio certificado (% mano obra)</v>
          </cell>
          <cell r="D298" t="str">
            <v>%MO</v>
          </cell>
          <cell r="E298">
            <v>0.1</v>
          </cell>
          <cell r="F298">
            <v>8045.2000000000007</v>
          </cell>
          <cell r="G298">
            <v>0</v>
          </cell>
          <cell r="H298">
            <v>804.5200000000001</v>
          </cell>
        </row>
        <row r="299">
          <cell r="B299" t="str">
            <v>EQU035</v>
          </cell>
          <cell r="C299" t="str">
            <v>Cortadora de ladrillo sin disco</v>
          </cell>
          <cell r="D299" t="str">
            <v>Día</v>
          </cell>
          <cell r="E299">
            <v>1</v>
          </cell>
          <cell r="F299">
            <v>35700</v>
          </cell>
          <cell r="G299">
            <v>0.05</v>
          </cell>
          <cell r="H299">
            <v>1785</v>
          </cell>
        </row>
        <row r="300">
          <cell r="B300" t="str">
            <v>EQU002</v>
          </cell>
          <cell r="C300" t="str">
            <v>Herramienta menor (% mano obra)</v>
          </cell>
          <cell r="D300" t="str">
            <v>%MO</v>
          </cell>
          <cell r="E300">
            <v>0.1</v>
          </cell>
          <cell r="F300">
            <v>8045.2000000000007</v>
          </cell>
          <cell r="G300">
            <v>0</v>
          </cell>
          <cell r="H300">
            <v>804.5200000000001</v>
          </cell>
        </row>
        <row r="301">
          <cell r="A301" t="str">
            <v>1-02-03</v>
          </cell>
          <cell r="C301" t="str">
            <v>Corte de piso en concreto con cortadora autopropulsada</v>
          </cell>
          <cell r="D301" t="str">
            <v>M</v>
          </cell>
          <cell r="F301">
            <v>6226</v>
          </cell>
        </row>
        <row r="302">
          <cell r="A302" t="str">
            <v>MAT</v>
          </cell>
          <cell r="B302" t="str">
            <v>MAT,027</v>
          </cell>
          <cell r="C302" t="str">
            <v xml:space="preserve">Agua </v>
          </cell>
          <cell r="D302" t="str">
            <v>Lt</v>
          </cell>
          <cell r="E302">
            <v>1</v>
          </cell>
          <cell r="F302">
            <v>19</v>
          </cell>
          <cell r="G302">
            <v>1</v>
          </cell>
          <cell r="H302">
            <v>19</v>
          </cell>
        </row>
        <row r="303">
          <cell r="B303" t="str">
            <v>MAT,153</v>
          </cell>
          <cell r="C303" t="str">
            <v>Gasolina</v>
          </cell>
          <cell r="D303" t="str">
            <v>Gl</v>
          </cell>
          <cell r="E303">
            <v>1</v>
          </cell>
          <cell r="F303">
            <v>16036</v>
          </cell>
          <cell r="G303">
            <v>1.4285714285714285E-2</v>
          </cell>
          <cell r="H303">
            <v>229.08571428571429</v>
          </cell>
        </row>
        <row r="304">
          <cell r="A304" t="str">
            <v>M. O.</v>
          </cell>
          <cell r="B304" t="str">
            <v>MOB004</v>
          </cell>
          <cell r="C304" t="str">
            <v>Ayudante práctico (jornal + prestaciones)</v>
          </cell>
          <cell r="D304" t="str">
            <v>Día</v>
          </cell>
          <cell r="E304">
            <v>1</v>
          </cell>
          <cell r="F304">
            <v>125147</v>
          </cell>
          <cell r="G304">
            <v>1.8181818181818181E-2</v>
          </cell>
          <cell r="H304">
            <v>2275.4</v>
          </cell>
        </row>
        <row r="305">
          <cell r="A305" t="str">
            <v>EQUIPO</v>
          </cell>
          <cell r="B305" t="str">
            <v>EQU031</v>
          </cell>
          <cell r="C305" t="str">
            <v>Cortadora de concreto sin disco</v>
          </cell>
          <cell r="D305" t="str">
            <v>Día</v>
          </cell>
          <cell r="E305">
            <v>1</v>
          </cell>
          <cell r="F305">
            <v>166600</v>
          </cell>
          <cell r="G305">
            <v>2.2222222222222223E-2</v>
          </cell>
          <cell r="H305">
            <v>3702.2222222222222</v>
          </cell>
        </row>
        <row r="306">
          <cell r="A306" t="str">
            <v>1-02-04</v>
          </cell>
          <cell r="C306" t="str">
            <v>Demolición manual de concreto</v>
          </cell>
          <cell r="D306" t="str">
            <v>M3</v>
          </cell>
          <cell r="F306">
            <v>262915</v>
          </cell>
        </row>
        <row r="307">
          <cell r="A307" t="str">
            <v>M. O.</v>
          </cell>
          <cell r="B307" t="str">
            <v>MOB018</v>
          </cell>
          <cell r="C307" t="str">
            <v>Cuadrilla H 4 Ay (jornal + prestaciones)</v>
          </cell>
          <cell r="D307" t="str">
            <v>Día</v>
          </cell>
          <cell r="E307">
            <v>1</v>
          </cell>
          <cell r="F307">
            <v>357564</v>
          </cell>
          <cell r="G307">
            <v>0.58823529411764708</v>
          </cell>
          <cell r="H307">
            <v>210331.76470588235</v>
          </cell>
        </row>
        <row r="308">
          <cell r="B308" t="str">
            <v>MOB011</v>
          </cell>
          <cell r="C308" t="str">
            <v>Acarreo horizontal</v>
          </cell>
          <cell r="D308" t="str">
            <v>%MO</v>
          </cell>
          <cell r="E308">
            <v>0.1</v>
          </cell>
          <cell r="F308">
            <v>210331.76470588235</v>
          </cell>
          <cell r="G308">
            <v>0</v>
          </cell>
          <cell r="H308">
            <v>21033.176470588238</v>
          </cell>
        </row>
        <row r="309">
          <cell r="A309" t="str">
            <v>EQUIPO</v>
          </cell>
          <cell r="B309" t="str">
            <v>EQU002</v>
          </cell>
          <cell r="C309" t="str">
            <v>Herramienta menor (% mano obra)</v>
          </cell>
          <cell r="D309" t="str">
            <v>%MO</v>
          </cell>
          <cell r="E309">
            <v>0.15</v>
          </cell>
          <cell r="F309">
            <v>210331.76470588235</v>
          </cell>
          <cell r="G309">
            <v>0</v>
          </cell>
          <cell r="H309">
            <v>31549.76470588235</v>
          </cell>
        </row>
        <row r="310">
          <cell r="A310" t="str">
            <v>1-02-05</v>
          </cell>
          <cell r="C310" t="str">
            <v>Demolición manual de concreto ciclópeo</v>
          </cell>
          <cell r="D310" t="str">
            <v>M3</v>
          </cell>
          <cell r="F310">
            <v>248308</v>
          </cell>
        </row>
        <row r="311">
          <cell r="A311" t="str">
            <v>M. O.</v>
          </cell>
          <cell r="B311" t="str">
            <v>MOB018</v>
          </cell>
          <cell r="C311" t="str">
            <v>Cuadrilla H 4 Ay (jornal + prestaciones)</v>
          </cell>
          <cell r="D311" t="str">
            <v>Día</v>
          </cell>
          <cell r="E311">
            <v>1</v>
          </cell>
          <cell r="F311">
            <v>357564</v>
          </cell>
          <cell r="G311">
            <v>0.55555555555555558</v>
          </cell>
          <cell r="H311">
            <v>198646.66666666669</v>
          </cell>
        </row>
        <row r="312">
          <cell r="B312" t="str">
            <v>MOB011</v>
          </cell>
          <cell r="C312" t="str">
            <v>Acarreo horizontal</v>
          </cell>
          <cell r="D312" t="str">
            <v>%MO</v>
          </cell>
          <cell r="E312">
            <v>0.1</v>
          </cell>
          <cell r="F312">
            <v>198646.66666666669</v>
          </cell>
          <cell r="G312">
            <v>0</v>
          </cell>
          <cell r="H312">
            <v>19864.666666666672</v>
          </cell>
        </row>
        <row r="313">
          <cell r="A313" t="str">
            <v>EQUIPO</v>
          </cell>
          <cell r="B313" t="str">
            <v>EQU002</v>
          </cell>
          <cell r="C313" t="str">
            <v>Herramienta menor (% mano obra)</v>
          </cell>
          <cell r="D313" t="str">
            <v>%MO</v>
          </cell>
          <cell r="E313">
            <v>0.15</v>
          </cell>
          <cell r="F313">
            <v>198646.66666666669</v>
          </cell>
          <cell r="G313">
            <v>0</v>
          </cell>
          <cell r="H313">
            <v>29797</v>
          </cell>
        </row>
        <row r="314">
          <cell r="A314" t="str">
            <v>1-02-06</v>
          </cell>
          <cell r="C314" t="str">
            <v>Demolición manual de sardinel</v>
          </cell>
          <cell r="D314" t="str">
            <v>M</v>
          </cell>
          <cell r="F314">
            <v>7151</v>
          </cell>
        </row>
        <row r="315">
          <cell r="A315" t="str">
            <v>M. O.</v>
          </cell>
          <cell r="B315" t="str">
            <v>MOB018</v>
          </cell>
          <cell r="C315" t="str">
            <v>Cuadrilla H 4 Ay (jornal + prestaciones)</v>
          </cell>
          <cell r="D315" t="str">
            <v>Día</v>
          </cell>
          <cell r="E315">
            <v>1</v>
          </cell>
          <cell r="F315">
            <v>357564</v>
          </cell>
          <cell r="G315">
            <v>1.6666666666666666E-2</v>
          </cell>
          <cell r="H315">
            <v>5959.4</v>
          </cell>
        </row>
        <row r="316">
          <cell r="B316" t="str">
            <v>MOB011</v>
          </cell>
          <cell r="C316" t="str">
            <v>Acarreo horizontal</v>
          </cell>
          <cell r="D316" t="str">
            <v>%MO</v>
          </cell>
          <cell r="E316">
            <v>0.1</v>
          </cell>
          <cell r="F316">
            <v>5959.4</v>
          </cell>
          <cell r="G316">
            <v>0</v>
          </cell>
          <cell r="H316">
            <v>595.93999999999994</v>
          </cell>
        </row>
        <row r="317">
          <cell r="A317" t="str">
            <v>EQUIPO</v>
          </cell>
          <cell r="B317" t="str">
            <v>EQU002</v>
          </cell>
          <cell r="C317" t="str">
            <v>Herramienta menor (% mano obra)</v>
          </cell>
          <cell r="D317" t="str">
            <v>%MO</v>
          </cell>
          <cell r="E317">
            <v>0.1</v>
          </cell>
          <cell r="F317">
            <v>5959.4</v>
          </cell>
          <cell r="G317">
            <v>0</v>
          </cell>
          <cell r="H317">
            <v>595.93999999999994</v>
          </cell>
        </row>
        <row r="318">
          <cell r="A318" t="str">
            <v>1-02-07</v>
          </cell>
          <cell r="C318" t="str">
            <v>Demolición anden</v>
          </cell>
          <cell r="D318" t="str">
            <v>M2</v>
          </cell>
          <cell r="F318">
            <v>17163</v>
          </cell>
        </row>
        <row r="319">
          <cell r="A319" t="str">
            <v>M. O.</v>
          </cell>
          <cell r="B319" t="str">
            <v>MOB018</v>
          </cell>
          <cell r="C319" t="str">
            <v>Cuadrilla H 4 Ay (jornal + prestaciones)</v>
          </cell>
          <cell r="D319" t="str">
            <v>Día</v>
          </cell>
          <cell r="E319">
            <v>1</v>
          </cell>
          <cell r="F319">
            <v>357564</v>
          </cell>
          <cell r="G319">
            <v>0.04</v>
          </cell>
          <cell r="H319">
            <v>14302.56</v>
          </cell>
        </row>
        <row r="320">
          <cell r="B320" t="str">
            <v>MOB011</v>
          </cell>
          <cell r="C320" t="str">
            <v>Acarreo horizontal</v>
          </cell>
          <cell r="D320" t="str">
            <v>%MO</v>
          </cell>
          <cell r="E320">
            <v>0.1</v>
          </cell>
          <cell r="F320">
            <v>14302.56</v>
          </cell>
          <cell r="G320">
            <v>0</v>
          </cell>
          <cell r="H320">
            <v>1430.2560000000001</v>
          </cell>
        </row>
        <row r="321">
          <cell r="A321" t="str">
            <v>EQUIPO</v>
          </cell>
          <cell r="B321" t="str">
            <v>EQU002</v>
          </cell>
          <cell r="C321" t="str">
            <v>Herramienta menor (% mano obra)</v>
          </cell>
          <cell r="D321" t="str">
            <v>%MO</v>
          </cell>
          <cell r="E321">
            <v>0.1</v>
          </cell>
          <cell r="F321">
            <v>14302.56</v>
          </cell>
          <cell r="G321">
            <v>0</v>
          </cell>
          <cell r="H321">
            <v>1430.2560000000001</v>
          </cell>
        </row>
        <row r="322">
          <cell r="A322" t="str">
            <v>1-02-08</v>
          </cell>
          <cell r="C322" t="str">
            <v>Demolición losa sobre terreno</v>
          </cell>
          <cell r="D322" t="str">
            <v>M2</v>
          </cell>
          <cell r="F322">
            <v>14899</v>
          </cell>
        </row>
        <row r="323">
          <cell r="A323" t="str">
            <v>M. O.</v>
          </cell>
          <cell r="B323" t="str">
            <v>MOB018</v>
          </cell>
          <cell r="C323" t="str">
            <v>Cuadrilla H 4 Ay (jornal + prestaciones)</v>
          </cell>
          <cell r="D323" t="str">
            <v>Día</v>
          </cell>
          <cell r="E323">
            <v>1</v>
          </cell>
          <cell r="F323">
            <v>357564</v>
          </cell>
          <cell r="G323">
            <v>3.3333333333333333E-2</v>
          </cell>
          <cell r="H323">
            <v>11918.8</v>
          </cell>
        </row>
        <row r="324">
          <cell r="B324" t="str">
            <v>MOB011</v>
          </cell>
          <cell r="C324" t="str">
            <v>Acarreo horizontal</v>
          </cell>
          <cell r="D324" t="str">
            <v>%MO</v>
          </cell>
          <cell r="E324">
            <v>0.1</v>
          </cell>
          <cell r="F324">
            <v>11918.8</v>
          </cell>
          <cell r="G324">
            <v>0</v>
          </cell>
          <cell r="H324">
            <v>1191.8799999999999</v>
          </cell>
        </row>
        <row r="325">
          <cell r="A325" t="str">
            <v>EQUIPO</v>
          </cell>
          <cell r="B325" t="str">
            <v>EQU002</v>
          </cell>
          <cell r="C325" t="str">
            <v>Herramienta menor (% mano obra)</v>
          </cell>
          <cell r="D325" t="str">
            <v>%MO</v>
          </cell>
          <cell r="E325">
            <v>0.15</v>
          </cell>
          <cell r="F325">
            <v>11918.8</v>
          </cell>
          <cell r="G325">
            <v>0</v>
          </cell>
          <cell r="H325">
            <v>1787.82</v>
          </cell>
        </row>
        <row r="326">
          <cell r="A326" t="str">
            <v>1-02-09</v>
          </cell>
          <cell r="C326" t="str">
            <v>Demolición escaleras sobre terreno</v>
          </cell>
          <cell r="D326" t="str">
            <v>M2</v>
          </cell>
          <cell r="F326">
            <v>17878</v>
          </cell>
        </row>
        <row r="327">
          <cell r="A327" t="str">
            <v>M. O.</v>
          </cell>
          <cell r="B327" t="str">
            <v>MOB003</v>
          </cell>
          <cell r="C327" t="str">
            <v>Ayudante (jornal + prestaciones)</v>
          </cell>
          <cell r="D327" t="str">
            <v>Día</v>
          </cell>
          <cell r="E327">
            <v>1</v>
          </cell>
          <cell r="F327">
            <v>89391</v>
          </cell>
          <cell r="G327">
            <v>0.16666666666666666</v>
          </cell>
          <cell r="H327">
            <v>14898.5</v>
          </cell>
        </row>
        <row r="328">
          <cell r="B328" t="str">
            <v>MOB011</v>
          </cell>
          <cell r="C328" t="str">
            <v>Acarreo horizontal</v>
          </cell>
          <cell r="D328" t="str">
            <v>%MO</v>
          </cell>
          <cell r="E328">
            <v>0.1</v>
          </cell>
          <cell r="F328">
            <v>14898.5</v>
          </cell>
          <cell r="G328">
            <v>0</v>
          </cell>
          <cell r="H328">
            <v>1489.8500000000001</v>
          </cell>
        </row>
        <row r="329">
          <cell r="A329" t="str">
            <v>EQUIPO</v>
          </cell>
          <cell r="B329" t="str">
            <v>EQU002</v>
          </cell>
          <cell r="C329" t="str">
            <v>Herramienta menor (% mano obra)</v>
          </cell>
          <cell r="D329" t="str">
            <v>%MO</v>
          </cell>
          <cell r="E329">
            <v>0.1</v>
          </cell>
          <cell r="F329">
            <v>14898.5</v>
          </cell>
          <cell r="G329">
            <v>0</v>
          </cell>
          <cell r="H329">
            <v>1489.8500000000001</v>
          </cell>
        </row>
        <row r="330">
          <cell r="A330" t="str">
            <v>1-02-10</v>
          </cell>
          <cell r="C330" t="str">
            <v xml:space="preserve">Demolición viga estructural en concreto </v>
          </cell>
          <cell r="D330" t="str">
            <v>M3</v>
          </cell>
          <cell r="F330">
            <v>309889</v>
          </cell>
        </row>
        <row r="331">
          <cell r="A331" t="str">
            <v>M. O.</v>
          </cell>
          <cell r="B331" t="str">
            <v>MOB018</v>
          </cell>
          <cell r="C331" t="str">
            <v>Cuadrilla H 4 Ay (jornal + prestaciones)</v>
          </cell>
          <cell r="D331" t="str">
            <v>Día</v>
          </cell>
          <cell r="E331">
            <v>1</v>
          </cell>
          <cell r="F331">
            <v>357564</v>
          </cell>
          <cell r="G331">
            <v>0.66666666666666663</v>
          </cell>
          <cell r="H331">
            <v>238376</v>
          </cell>
        </row>
        <row r="332">
          <cell r="B332" t="str">
            <v>MOB011</v>
          </cell>
          <cell r="C332" t="str">
            <v>Acarreo horizontal</v>
          </cell>
          <cell r="D332" t="str">
            <v>%MO</v>
          </cell>
          <cell r="E332">
            <v>0.1</v>
          </cell>
          <cell r="F332">
            <v>238376</v>
          </cell>
          <cell r="G332">
            <v>0</v>
          </cell>
          <cell r="H332">
            <v>23837.600000000002</v>
          </cell>
        </row>
        <row r="333">
          <cell r="A333" t="str">
            <v>EQUIPO</v>
          </cell>
          <cell r="B333" t="str">
            <v>EQU006</v>
          </cell>
          <cell r="C333" t="str">
            <v>Andamio certificado (% mano obra)</v>
          </cell>
          <cell r="D333" t="str">
            <v>%MO</v>
          </cell>
          <cell r="E333">
            <v>0.05</v>
          </cell>
          <cell r="F333">
            <v>238376</v>
          </cell>
          <cell r="G333">
            <v>0</v>
          </cell>
          <cell r="H333">
            <v>11918.800000000001</v>
          </cell>
        </row>
        <row r="334">
          <cell r="B334" t="str">
            <v>EQU002</v>
          </cell>
          <cell r="C334" t="str">
            <v>Herramienta menor (% mano obra)</v>
          </cell>
          <cell r="D334" t="str">
            <v>%MO</v>
          </cell>
          <cell r="E334">
            <v>0.15</v>
          </cell>
          <cell r="F334">
            <v>238376</v>
          </cell>
          <cell r="G334">
            <v>0</v>
          </cell>
          <cell r="H334">
            <v>35756.400000000001</v>
          </cell>
        </row>
        <row r="335">
          <cell r="A335" t="str">
            <v>1-02-11</v>
          </cell>
          <cell r="C335" t="str">
            <v>Demolición placa aligerada</v>
          </cell>
          <cell r="D335" t="str">
            <v>M2</v>
          </cell>
          <cell r="F335">
            <v>35756</v>
          </cell>
        </row>
        <row r="336">
          <cell r="A336" t="str">
            <v>M. O.</v>
          </cell>
          <cell r="B336" t="str">
            <v>MOB018</v>
          </cell>
          <cell r="C336" t="str">
            <v>Cuadrilla H 4 Ay (jornal + prestaciones)</v>
          </cell>
          <cell r="D336" t="str">
            <v>Día</v>
          </cell>
          <cell r="E336">
            <v>1</v>
          </cell>
          <cell r="F336">
            <v>357564</v>
          </cell>
          <cell r="G336">
            <v>8.3333333333333329E-2</v>
          </cell>
          <cell r="H336">
            <v>29797</v>
          </cell>
        </row>
        <row r="337">
          <cell r="B337" t="str">
            <v>MOB011</v>
          </cell>
          <cell r="C337" t="str">
            <v>Acarreo horizontal</v>
          </cell>
          <cell r="D337" t="str">
            <v>%MO</v>
          </cell>
          <cell r="E337">
            <v>0.1</v>
          </cell>
          <cell r="F337">
            <v>29797</v>
          </cell>
          <cell r="G337">
            <v>0</v>
          </cell>
          <cell r="H337">
            <v>2979.7000000000003</v>
          </cell>
        </row>
        <row r="338">
          <cell r="A338" t="str">
            <v>EQUIPO</v>
          </cell>
          <cell r="B338" t="str">
            <v>EQU002</v>
          </cell>
          <cell r="C338" t="str">
            <v>Herramienta menor (% mano obra)</v>
          </cell>
          <cell r="D338" t="str">
            <v>%MO</v>
          </cell>
          <cell r="E338">
            <v>0.1</v>
          </cell>
          <cell r="F338">
            <v>29797</v>
          </cell>
          <cell r="G338">
            <v>0</v>
          </cell>
          <cell r="H338">
            <v>2979.7000000000003</v>
          </cell>
        </row>
        <row r="339">
          <cell r="A339" t="str">
            <v>1-02-12</v>
          </cell>
          <cell r="C339" t="str">
            <v>Demolición muro en soga, incluye revoque, enchape, papel de colgadura</v>
          </cell>
          <cell r="D339" t="str">
            <v>M2</v>
          </cell>
          <cell r="F339">
            <v>15494</v>
          </cell>
        </row>
        <row r="340">
          <cell r="A340" t="str">
            <v>M. O.</v>
          </cell>
          <cell r="B340" t="str">
            <v>MOB018</v>
          </cell>
          <cell r="C340" t="str">
            <v>Cuadrilla H 4 Ay (jornal + prestaciones)</v>
          </cell>
          <cell r="D340" t="str">
            <v>Día</v>
          </cell>
          <cell r="E340">
            <v>1</v>
          </cell>
          <cell r="F340">
            <v>357564</v>
          </cell>
          <cell r="G340">
            <v>3.3333333333333333E-2</v>
          </cell>
          <cell r="H340">
            <v>11918.8</v>
          </cell>
        </row>
        <row r="341">
          <cell r="B341" t="str">
            <v>MOB011</v>
          </cell>
          <cell r="C341" t="str">
            <v>Acarreo horizontal</v>
          </cell>
          <cell r="D341" t="str">
            <v>%MO</v>
          </cell>
          <cell r="E341">
            <v>0.1</v>
          </cell>
          <cell r="F341">
            <v>11918.8</v>
          </cell>
          <cell r="G341">
            <v>0</v>
          </cell>
          <cell r="H341">
            <v>1191.8799999999999</v>
          </cell>
        </row>
        <row r="342">
          <cell r="A342" t="str">
            <v>EQUIPO</v>
          </cell>
          <cell r="B342" t="str">
            <v>EQU006</v>
          </cell>
          <cell r="C342" t="str">
            <v>Andamio certificado (% mano obra)</v>
          </cell>
          <cell r="D342" t="str">
            <v>%MO</v>
          </cell>
          <cell r="E342">
            <v>0.1</v>
          </cell>
          <cell r="F342">
            <v>11918.8</v>
          </cell>
          <cell r="G342">
            <v>0</v>
          </cell>
          <cell r="H342">
            <v>1191.8799999999999</v>
          </cell>
        </row>
        <row r="343">
          <cell r="B343" t="str">
            <v>EQU002</v>
          </cell>
          <cell r="C343" t="str">
            <v>Herramienta menor (% mano obra)</v>
          </cell>
          <cell r="D343" t="str">
            <v>%MO</v>
          </cell>
          <cell r="E343">
            <v>0.1</v>
          </cell>
          <cell r="F343">
            <v>11918.8</v>
          </cell>
          <cell r="G343">
            <v>0</v>
          </cell>
          <cell r="H343">
            <v>1191.8799999999999</v>
          </cell>
        </row>
        <row r="344">
          <cell r="A344" t="str">
            <v>1-02-13</v>
          </cell>
          <cell r="C344" t="str">
            <v>Demolición muro en pandereta, incluye revoque, enchape, papel de colgadura</v>
          </cell>
          <cell r="D344" t="str">
            <v>M2</v>
          </cell>
          <cell r="F344">
            <v>11621</v>
          </cell>
        </row>
        <row r="345">
          <cell r="A345" t="str">
            <v>M. O.</v>
          </cell>
          <cell r="B345" t="str">
            <v>MOB018</v>
          </cell>
          <cell r="C345" t="str">
            <v>Cuadrilla H 4 Ay (jornal + prestaciones)</v>
          </cell>
          <cell r="D345" t="str">
            <v>Día</v>
          </cell>
          <cell r="E345">
            <v>1</v>
          </cell>
          <cell r="F345">
            <v>357564</v>
          </cell>
          <cell r="G345">
            <v>2.5000000000000001E-2</v>
          </cell>
          <cell r="H345">
            <v>8939.1</v>
          </cell>
        </row>
        <row r="346">
          <cell r="B346" t="str">
            <v>MOB011</v>
          </cell>
          <cell r="C346" t="str">
            <v>Acarreo horizontal</v>
          </cell>
          <cell r="D346" t="str">
            <v>%MO</v>
          </cell>
          <cell r="E346">
            <v>0.1</v>
          </cell>
          <cell r="F346">
            <v>8939.1</v>
          </cell>
          <cell r="G346">
            <v>0</v>
          </cell>
          <cell r="H346">
            <v>893.91000000000008</v>
          </cell>
        </row>
        <row r="347">
          <cell r="A347" t="str">
            <v>EQUIPO</v>
          </cell>
          <cell r="B347" t="str">
            <v>EQU006</v>
          </cell>
          <cell r="C347" t="str">
            <v>Andamio certificado(% mano obra)</v>
          </cell>
          <cell r="D347" t="str">
            <v>%MO</v>
          </cell>
          <cell r="E347">
            <v>0.1</v>
          </cell>
          <cell r="F347">
            <v>8939.1</v>
          </cell>
          <cell r="G347">
            <v>0</v>
          </cell>
          <cell r="H347">
            <v>893.91000000000008</v>
          </cell>
        </row>
        <row r="348">
          <cell r="B348" t="str">
            <v>EQU002</v>
          </cell>
          <cell r="C348" t="str">
            <v>Herramienta menor (% mano obra)</v>
          </cell>
          <cell r="D348" t="str">
            <v>%MO</v>
          </cell>
          <cell r="E348">
            <v>0.1</v>
          </cell>
          <cell r="F348">
            <v>8939.1</v>
          </cell>
          <cell r="G348">
            <v>0</v>
          </cell>
          <cell r="H348">
            <v>893.91000000000008</v>
          </cell>
        </row>
        <row r="349">
          <cell r="A349" t="str">
            <v>1-02-14</v>
          </cell>
          <cell r="C349" t="str">
            <v>Demolición baldosa</v>
          </cell>
          <cell r="D349" t="str">
            <v>M2</v>
          </cell>
          <cell r="F349">
            <v>5363</v>
          </cell>
        </row>
        <row r="350">
          <cell r="A350" t="str">
            <v>M. O.</v>
          </cell>
          <cell r="B350" t="str">
            <v>MOB003</v>
          </cell>
          <cell r="C350" t="str">
            <v>Ayudante (jornal + prestaciones)</v>
          </cell>
          <cell r="D350" t="str">
            <v>Día</v>
          </cell>
          <cell r="E350">
            <v>1</v>
          </cell>
          <cell r="F350">
            <v>89391</v>
          </cell>
          <cell r="G350">
            <v>0.05</v>
          </cell>
          <cell r="H350">
            <v>4469.55</v>
          </cell>
        </row>
        <row r="351">
          <cell r="B351" t="str">
            <v>MOB011</v>
          </cell>
          <cell r="C351" t="str">
            <v>Acarreo horizontal</v>
          </cell>
          <cell r="D351" t="str">
            <v>%MO</v>
          </cell>
          <cell r="E351">
            <v>0.1</v>
          </cell>
          <cell r="F351">
            <v>4469.55</v>
          </cell>
          <cell r="G351">
            <v>0</v>
          </cell>
          <cell r="H351">
            <v>446.95500000000004</v>
          </cell>
        </row>
        <row r="352">
          <cell r="A352" t="str">
            <v>EQUIPO</v>
          </cell>
          <cell r="B352" t="str">
            <v>EQU002</v>
          </cell>
          <cell r="C352" t="str">
            <v>Herramienta menor (% mano obra)</v>
          </cell>
          <cell r="D352" t="str">
            <v>%MO</v>
          </cell>
          <cell r="E352">
            <v>0.1</v>
          </cell>
          <cell r="F352">
            <v>4469.55</v>
          </cell>
          <cell r="G352">
            <v>0</v>
          </cell>
          <cell r="H352">
            <v>446.95500000000004</v>
          </cell>
        </row>
        <row r="353">
          <cell r="A353" t="str">
            <v>1-02-15</v>
          </cell>
          <cell r="C353" t="str">
            <v>Demolición enchape y/o revoque</v>
          </cell>
          <cell r="D353" t="str">
            <v>M2</v>
          </cell>
          <cell r="F353">
            <v>7747</v>
          </cell>
        </row>
        <row r="354">
          <cell r="A354" t="str">
            <v>M. O.</v>
          </cell>
          <cell r="B354" t="str">
            <v>MOB018</v>
          </cell>
          <cell r="C354" t="str">
            <v>Cuadrilla H 4 Ay (jornal + prestaciones)</v>
          </cell>
          <cell r="D354" t="str">
            <v>Día</v>
          </cell>
          <cell r="E354">
            <v>1</v>
          </cell>
          <cell r="F354">
            <v>357564</v>
          </cell>
          <cell r="G354">
            <v>1.6666666666666666E-2</v>
          </cell>
          <cell r="H354">
            <v>5959.4</v>
          </cell>
        </row>
        <row r="355">
          <cell r="B355" t="str">
            <v>MOB011</v>
          </cell>
          <cell r="C355" t="str">
            <v>Acarreo horizontal</v>
          </cell>
          <cell r="D355" t="str">
            <v>%MO</v>
          </cell>
          <cell r="E355">
            <v>0.1</v>
          </cell>
          <cell r="F355">
            <v>5959.4</v>
          </cell>
          <cell r="G355">
            <v>0</v>
          </cell>
          <cell r="H355">
            <v>595.93999999999994</v>
          </cell>
        </row>
        <row r="356">
          <cell r="A356" t="str">
            <v>EQUIPO</v>
          </cell>
          <cell r="B356" t="str">
            <v>EQU006</v>
          </cell>
          <cell r="C356" t="str">
            <v>Andamio certificado (% mano obra)</v>
          </cell>
          <cell r="D356" t="str">
            <v>%MO</v>
          </cell>
          <cell r="E356">
            <v>0.1</v>
          </cell>
          <cell r="F356">
            <v>5959.4</v>
          </cell>
          <cell r="G356">
            <v>0</v>
          </cell>
          <cell r="H356">
            <v>595.93999999999994</v>
          </cell>
        </row>
        <row r="357">
          <cell r="B357" t="str">
            <v>EQU002</v>
          </cell>
          <cell r="C357" t="str">
            <v>Herramienta menor (% mano obra)</v>
          </cell>
          <cell r="D357" t="str">
            <v>%MO</v>
          </cell>
          <cell r="E357">
            <v>0.1</v>
          </cell>
          <cell r="F357">
            <v>5959.4</v>
          </cell>
          <cell r="G357">
            <v>0</v>
          </cell>
          <cell r="H357">
            <v>595.93999999999994</v>
          </cell>
        </row>
        <row r="358">
          <cell r="A358" t="str">
            <v>1-02-16</v>
          </cell>
          <cell r="C358" t="str">
            <v>Demolición calados en concreto o gres</v>
          </cell>
          <cell r="D358" t="str">
            <v>M2</v>
          </cell>
          <cell r="F358">
            <v>12291</v>
          </cell>
        </row>
        <row r="359">
          <cell r="A359" t="str">
            <v>M. O.</v>
          </cell>
          <cell r="B359" t="str">
            <v>MOB003</v>
          </cell>
          <cell r="C359" t="str">
            <v>Ayudante (jornal + prestaciones)</v>
          </cell>
          <cell r="D359" t="str">
            <v>Día</v>
          </cell>
          <cell r="E359">
            <v>1</v>
          </cell>
          <cell r="F359">
            <v>89391</v>
          </cell>
          <cell r="G359">
            <v>6.25E-2</v>
          </cell>
          <cell r="H359">
            <v>5586.9375</v>
          </cell>
        </row>
        <row r="360">
          <cell r="B360" t="str">
            <v>MOB011</v>
          </cell>
          <cell r="C360" t="str">
            <v>Acarreo horizontal</v>
          </cell>
          <cell r="D360" t="str">
            <v>%MO</v>
          </cell>
          <cell r="E360">
            <v>1</v>
          </cell>
          <cell r="F360">
            <v>5586.9375</v>
          </cell>
          <cell r="G360">
            <v>0</v>
          </cell>
          <cell r="H360">
            <v>5586.9375</v>
          </cell>
        </row>
        <row r="361">
          <cell r="A361" t="str">
            <v>EQUIPO</v>
          </cell>
          <cell r="B361" t="str">
            <v>EQU006</v>
          </cell>
          <cell r="C361" t="str">
            <v>Andamio certificado (% mano obra)</v>
          </cell>
          <cell r="D361" t="str">
            <v>%MO</v>
          </cell>
          <cell r="E361">
            <v>0.1</v>
          </cell>
          <cell r="F361">
            <v>5586.9375</v>
          </cell>
          <cell r="G361">
            <v>0</v>
          </cell>
          <cell r="H361">
            <v>558.69375000000002</v>
          </cell>
        </row>
        <row r="362">
          <cell r="B362" t="str">
            <v>EQU002</v>
          </cell>
          <cell r="C362" t="str">
            <v>Herramienta menor (% mano obra)</v>
          </cell>
          <cell r="D362" t="str">
            <v>%MO</v>
          </cell>
          <cell r="E362">
            <v>0.1</v>
          </cell>
          <cell r="F362">
            <v>5586.9375</v>
          </cell>
          <cell r="G362">
            <v>0</v>
          </cell>
          <cell r="H362">
            <v>558.69375000000002</v>
          </cell>
        </row>
        <row r="363">
          <cell r="A363" t="str">
            <v>1-02-17</v>
          </cell>
          <cell r="C363" t="str">
            <v>Demolición de mesón</v>
          </cell>
          <cell r="D363" t="str">
            <v>M2</v>
          </cell>
          <cell r="F363">
            <v>17878</v>
          </cell>
        </row>
        <row r="364">
          <cell r="A364" t="str">
            <v>M. O.</v>
          </cell>
          <cell r="B364" t="str">
            <v>MOB003</v>
          </cell>
          <cell r="C364" t="str">
            <v>Ayudante (jornal + prestaciones)</v>
          </cell>
          <cell r="D364" t="str">
            <v>Día</v>
          </cell>
          <cell r="E364">
            <v>1</v>
          </cell>
          <cell r="F364">
            <v>89391</v>
          </cell>
          <cell r="G364">
            <v>0.16666666666666666</v>
          </cell>
          <cell r="H364">
            <v>14898.5</v>
          </cell>
        </row>
        <row r="365">
          <cell r="B365" t="str">
            <v>MOB011</v>
          </cell>
          <cell r="C365" t="str">
            <v>Acarreo horizontal</v>
          </cell>
          <cell r="D365" t="str">
            <v>%MO</v>
          </cell>
          <cell r="E365">
            <v>0.1</v>
          </cell>
          <cell r="F365">
            <v>14898.5</v>
          </cell>
          <cell r="G365">
            <v>0</v>
          </cell>
          <cell r="H365">
            <v>1489.8500000000001</v>
          </cell>
        </row>
        <row r="366">
          <cell r="A366" t="str">
            <v>EQUIPO</v>
          </cell>
          <cell r="B366" t="str">
            <v>EQU002</v>
          </cell>
          <cell r="C366" t="str">
            <v>Herramienta menor (% mano obra)</v>
          </cell>
          <cell r="D366" t="str">
            <v>%MO</v>
          </cell>
          <cell r="E366">
            <v>0.1</v>
          </cell>
          <cell r="F366">
            <v>14898.5</v>
          </cell>
          <cell r="G366">
            <v>0</v>
          </cell>
          <cell r="H366">
            <v>1489.8500000000001</v>
          </cell>
        </row>
        <row r="367">
          <cell r="A367" t="str">
            <v>1-02-18</v>
          </cell>
          <cell r="C367" t="str">
            <v>Demolición mecánica de vivienda de 1 a 2 niveles con o sin sobrecimiento, sin recuperación de materiales</v>
          </cell>
          <cell r="D367" t="str">
            <v>M2</v>
          </cell>
          <cell r="F367">
            <v>33718</v>
          </cell>
        </row>
        <row r="368">
          <cell r="A368" t="str">
            <v>M. O.</v>
          </cell>
          <cell r="B368" t="str">
            <v>MOB003</v>
          </cell>
          <cell r="C368" t="str">
            <v>Ayudante (jornal + prestaciones)</v>
          </cell>
          <cell r="D368" t="str">
            <v>Día</v>
          </cell>
          <cell r="E368">
            <v>1</v>
          </cell>
          <cell r="F368">
            <v>89391</v>
          </cell>
          <cell r="G368">
            <v>2.9411764705882353E-2</v>
          </cell>
          <cell r="H368">
            <v>2629.1470588235293</v>
          </cell>
        </row>
        <row r="369">
          <cell r="B369" t="str">
            <v>MOB011</v>
          </cell>
          <cell r="C369" t="str">
            <v>Acarreo horizontal</v>
          </cell>
          <cell r="D369" t="str">
            <v>%MO</v>
          </cell>
          <cell r="E369">
            <v>0.1</v>
          </cell>
          <cell r="F369">
            <v>2629.1470588235293</v>
          </cell>
          <cell r="G369">
            <v>0</v>
          </cell>
          <cell r="H369">
            <v>262.91470588235296</v>
          </cell>
        </row>
        <row r="370">
          <cell r="A370" t="str">
            <v>EQUIPO</v>
          </cell>
          <cell r="B370" t="str">
            <v>EQU002</v>
          </cell>
          <cell r="C370" t="str">
            <v>Herramienta menor (% mano obra)</v>
          </cell>
          <cell r="D370" t="str">
            <v>%MO</v>
          </cell>
          <cell r="E370">
            <v>0.01</v>
          </cell>
          <cell r="F370">
            <v>2629.1470588235293</v>
          </cell>
          <cell r="G370">
            <v>0</v>
          </cell>
          <cell r="H370">
            <v>26.291470588235292</v>
          </cell>
        </row>
        <row r="371">
          <cell r="B371" t="str">
            <v>EQU064</v>
          </cell>
          <cell r="C371" t="str">
            <v>Retroexcavadora A25C</v>
          </cell>
          <cell r="D371" t="str">
            <v>Hr</v>
          </cell>
          <cell r="E371">
            <v>4</v>
          </cell>
          <cell r="F371">
            <v>261800</v>
          </cell>
          <cell r="G371">
            <v>2.9411764705882353E-2</v>
          </cell>
          <cell r="H371">
            <v>30800</v>
          </cell>
        </row>
        <row r="372">
          <cell r="A372" t="str">
            <v>1-02-19</v>
          </cell>
          <cell r="C372" t="str">
            <v>Desmonte de tubería de alcantarillado hasta 12"</v>
          </cell>
          <cell r="D372" t="str">
            <v>M</v>
          </cell>
          <cell r="F372">
            <v>10168</v>
          </cell>
        </row>
        <row r="373">
          <cell r="A373" t="str">
            <v>ÍTEMS</v>
          </cell>
          <cell r="B373" t="str">
            <v>2-01-18</v>
          </cell>
          <cell r="C373" t="str">
            <v>Ver en hoja de vías</v>
          </cell>
          <cell r="D373" t="str">
            <v>M</v>
          </cell>
          <cell r="E373">
            <v>1</v>
          </cell>
          <cell r="F373">
            <v>10168</v>
          </cell>
          <cell r="G373">
            <v>0</v>
          </cell>
          <cell r="H373">
            <v>10168</v>
          </cell>
        </row>
        <row r="374">
          <cell r="A374" t="str">
            <v>1-02-20</v>
          </cell>
          <cell r="C374" t="str">
            <v>Desmonte de tubería de alcantarillado de 14" a 24"</v>
          </cell>
          <cell r="D374" t="str">
            <v>M</v>
          </cell>
          <cell r="F374">
            <v>58402</v>
          </cell>
        </row>
        <row r="375">
          <cell r="A375" t="str">
            <v>M. O.</v>
          </cell>
          <cell r="B375" t="str">
            <v>MOB015</v>
          </cell>
          <cell r="C375" t="str">
            <v>Cuadrilla E 1 Of + 1 Ay (jornal + prestaciones)</v>
          </cell>
          <cell r="D375" t="str">
            <v>Día</v>
          </cell>
          <cell r="E375">
            <v>1</v>
          </cell>
          <cell r="F375">
            <v>250295</v>
          </cell>
          <cell r="G375">
            <v>0.16666666666666666</v>
          </cell>
          <cell r="H375">
            <v>41715.833333333328</v>
          </cell>
        </row>
        <row r="376">
          <cell r="B376" t="str">
            <v>MOB011</v>
          </cell>
          <cell r="C376" t="str">
            <v>Acarreo horizontal</v>
          </cell>
          <cell r="D376" t="str">
            <v>%MO</v>
          </cell>
          <cell r="E376">
            <v>0.1</v>
          </cell>
          <cell r="F376">
            <v>41715.833333333328</v>
          </cell>
          <cell r="G376">
            <v>0</v>
          </cell>
          <cell r="H376">
            <v>4171.583333333333</v>
          </cell>
        </row>
        <row r="377">
          <cell r="A377" t="str">
            <v>EQUIPO</v>
          </cell>
          <cell r="B377" t="str">
            <v>EQU002</v>
          </cell>
          <cell r="C377" t="str">
            <v>Herramienta menor (% mano obra)</v>
          </cell>
          <cell r="D377" t="str">
            <v>%MO</v>
          </cell>
          <cell r="E377">
            <v>0.1</v>
          </cell>
          <cell r="F377">
            <v>41715.833333333328</v>
          </cell>
          <cell r="G377">
            <v>0</v>
          </cell>
          <cell r="H377">
            <v>4171.583333333333</v>
          </cell>
        </row>
        <row r="378">
          <cell r="B378" t="str">
            <v>EQU029</v>
          </cell>
          <cell r="C378" t="str">
            <v>Manejo de tubería</v>
          </cell>
          <cell r="D378" t="str">
            <v>%MO</v>
          </cell>
          <cell r="E378">
            <v>0.2</v>
          </cell>
          <cell r="F378">
            <v>41715.833333333328</v>
          </cell>
          <cell r="G378">
            <v>0</v>
          </cell>
          <cell r="H378">
            <v>8343.1666666666661</v>
          </cell>
        </row>
        <row r="379">
          <cell r="A379" t="str">
            <v>1-02-21</v>
          </cell>
          <cell r="C379" t="str">
            <v>Desmonte de adoquines</v>
          </cell>
          <cell r="D379" t="str">
            <v>M2</v>
          </cell>
          <cell r="F379">
            <v>4112</v>
          </cell>
        </row>
        <row r="380">
          <cell r="A380" t="str">
            <v>M. O.</v>
          </cell>
          <cell r="B380" t="str">
            <v>MOB003</v>
          </cell>
          <cell r="C380" t="str">
            <v>Ayudante (jornal + prestaciones)</v>
          </cell>
          <cell r="D380" t="str">
            <v>Día</v>
          </cell>
          <cell r="E380">
            <v>1</v>
          </cell>
          <cell r="F380">
            <v>89391</v>
          </cell>
          <cell r="G380">
            <v>0.04</v>
          </cell>
          <cell r="H380">
            <v>3575.64</v>
          </cell>
        </row>
        <row r="381">
          <cell r="B381" t="str">
            <v>MOB011</v>
          </cell>
          <cell r="C381" t="str">
            <v>Acarreo horizontal</v>
          </cell>
          <cell r="D381" t="str">
            <v>%MO</v>
          </cell>
          <cell r="E381">
            <v>0.1</v>
          </cell>
          <cell r="F381">
            <v>3575.64</v>
          </cell>
          <cell r="G381">
            <v>0</v>
          </cell>
          <cell r="H381">
            <v>357.56400000000002</v>
          </cell>
        </row>
        <row r="382">
          <cell r="A382" t="str">
            <v>EQUIPO</v>
          </cell>
          <cell r="B382" t="str">
            <v>EQU002</v>
          </cell>
          <cell r="C382" t="str">
            <v>Herramienta menor (% mano obra)</v>
          </cell>
          <cell r="D382" t="str">
            <v>%MO</v>
          </cell>
          <cell r="E382">
            <v>0.05</v>
          </cell>
          <cell r="F382">
            <v>3575.64</v>
          </cell>
          <cell r="G382">
            <v>0</v>
          </cell>
          <cell r="H382">
            <v>178.78200000000001</v>
          </cell>
        </row>
        <row r="383">
          <cell r="A383" t="str">
            <v>1-02-22</v>
          </cell>
          <cell r="C383" t="str">
            <v>Desmonte de cerramiento en poste de madera y alambre de púas</v>
          </cell>
          <cell r="D383" t="str">
            <v>M</v>
          </cell>
          <cell r="F383">
            <v>10369</v>
          </cell>
        </row>
        <row r="384">
          <cell r="A384" t="str">
            <v>M. O.</v>
          </cell>
          <cell r="B384" t="str">
            <v>MOB005</v>
          </cell>
          <cell r="C384" t="str">
            <v>Cuadrilla A 1 Of + 4 Ay (jornal + prestaciones)</v>
          </cell>
          <cell r="D384" t="str">
            <v>Día</v>
          </cell>
          <cell r="E384">
            <v>1</v>
          </cell>
          <cell r="F384">
            <v>518468</v>
          </cell>
          <cell r="G384">
            <v>1.6666666666666666E-2</v>
          </cell>
          <cell r="H384">
            <v>8641.1333333333332</v>
          </cell>
        </row>
        <row r="385">
          <cell r="B385" t="str">
            <v>MOB011</v>
          </cell>
          <cell r="C385" t="str">
            <v>Acarreo horizontal</v>
          </cell>
          <cell r="D385" t="str">
            <v>%MO</v>
          </cell>
          <cell r="E385">
            <v>0.1</v>
          </cell>
          <cell r="F385">
            <v>8641.1333333333332</v>
          </cell>
          <cell r="G385">
            <v>0</v>
          </cell>
          <cell r="H385">
            <v>864.11333333333334</v>
          </cell>
        </row>
        <row r="386">
          <cell r="A386" t="str">
            <v>EQUIPO</v>
          </cell>
          <cell r="B386" t="str">
            <v>EQU006</v>
          </cell>
          <cell r="C386" t="str">
            <v>Andamio certificado (% mano obra)</v>
          </cell>
          <cell r="D386" t="str">
            <v>%MO</v>
          </cell>
          <cell r="E386">
            <v>0.05</v>
          </cell>
          <cell r="F386">
            <v>8641.1333333333332</v>
          </cell>
          <cell r="G386">
            <v>0</v>
          </cell>
          <cell r="H386">
            <v>432.05666666666667</v>
          </cell>
        </row>
        <row r="387">
          <cell r="B387" t="str">
            <v>EQU002</v>
          </cell>
          <cell r="C387" t="str">
            <v>Herramienta menor (% mano obra)</v>
          </cell>
          <cell r="D387" t="str">
            <v>%MO</v>
          </cell>
          <cell r="E387">
            <v>0.05</v>
          </cell>
          <cell r="F387">
            <v>8641.1333333333332</v>
          </cell>
          <cell r="G387">
            <v>0</v>
          </cell>
          <cell r="H387">
            <v>432.05666666666667</v>
          </cell>
        </row>
        <row r="388">
          <cell r="A388" t="str">
            <v>1-02-23</v>
          </cell>
          <cell r="C388" t="str">
            <v>Desmonte de cerramiento de malla y postería  de concreto, no incluye demolición de muro y/o alfajía</v>
          </cell>
          <cell r="D388" t="str">
            <v>M</v>
          </cell>
          <cell r="F388">
            <v>44934</v>
          </cell>
        </row>
        <row r="389">
          <cell r="A389" t="str">
            <v>M. O.</v>
          </cell>
          <cell r="B389" t="str">
            <v>MOB005</v>
          </cell>
          <cell r="C389" t="str">
            <v>Cuadrilla A 1 Of + 4 Ay (jornal + prestaciones)</v>
          </cell>
          <cell r="D389" t="str">
            <v>Día</v>
          </cell>
          <cell r="E389">
            <v>1</v>
          </cell>
          <cell r="F389">
            <v>518468</v>
          </cell>
          <cell r="G389">
            <v>6.6666666666666666E-2</v>
          </cell>
          <cell r="H389">
            <v>34564.533333333333</v>
          </cell>
        </row>
        <row r="390">
          <cell r="B390" t="str">
            <v>MOB011</v>
          </cell>
          <cell r="C390" t="str">
            <v>Acarreo horizontal</v>
          </cell>
          <cell r="D390" t="str">
            <v>%MO</v>
          </cell>
          <cell r="E390">
            <v>0.1</v>
          </cell>
          <cell r="F390">
            <v>34564.533333333333</v>
          </cell>
          <cell r="G390">
            <v>0</v>
          </cell>
          <cell r="H390">
            <v>3456.4533333333334</v>
          </cell>
        </row>
        <row r="391">
          <cell r="A391" t="str">
            <v>EQUIPO</v>
          </cell>
          <cell r="B391" t="str">
            <v>EQU006</v>
          </cell>
          <cell r="C391" t="str">
            <v>Andamio certificado (% mano obra)</v>
          </cell>
          <cell r="D391" t="str">
            <v>%MO</v>
          </cell>
          <cell r="E391">
            <v>0.1</v>
          </cell>
          <cell r="F391">
            <v>34564.533333333333</v>
          </cell>
          <cell r="G391">
            <v>0</v>
          </cell>
          <cell r="H391">
            <v>3456.4533333333334</v>
          </cell>
        </row>
        <row r="392">
          <cell r="B392" t="str">
            <v>EQU002</v>
          </cell>
          <cell r="C392" t="str">
            <v>Herramienta menor (% mano obra)</v>
          </cell>
          <cell r="D392" t="str">
            <v>%MO</v>
          </cell>
          <cell r="E392">
            <v>0.1</v>
          </cell>
          <cell r="F392">
            <v>34564.533333333333</v>
          </cell>
          <cell r="G392">
            <v>0</v>
          </cell>
          <cell r="H392">
            <v>3456.4533333333334</v>
          </cell>
        </row>
        <row r="393">
          <cell r="A393" t="str">
            <v>1-02-24</v>
          </cell>
          <cell r="C393" t="str">
            <v>Desmonte malla eslabonada</v>
          </cell>
          <cell r="D393" t="str">
            <v>M2</v>
          </cell>
          <cell r="F393">
            <v>8303</v>
          </cell>
        </row>
        <row r="394">
          <cell r="A394" t="str">
            <v>M. O.</v>
          </cell>
          <cell r="B394" t="str">
            <v>MOB017</v>
          </cell>
          <cell r="C394" t="str">
            <v>Cuadrilla G 1 Of + 2 Ay (jornal + prestaciones)</v>
          </cell>
          <cell r="D394" t="str">
            <v>Día</v>
          </cell>
          <cell r="E394">
            <v>1</v>
          </cell>
          <cell r="F394">
            <v>339686</v>
          </cell>
          <cell r="G394">
            <v>2.2222222222222223E-2</v>
          </cell>
          <cell r="H394">
            <v>7548.5777777777785</v>
          </cell>
        </row>
        <row r="395">
          <cell r="A395" t="str">
            <v>EQUIPO</v>
          </cell>
          <cell r="B395" t="str">
            <v>EQU002</v>
          </cell>
          <cell r="C395" t="str">
            <v>Herramienta menor (% mano obra)</v>
          </cell>
          <cell r="D395" t="str">
            <v>%MO</v>
          </cell>
          <cell r="E395">
            <v>0.1</v>
          </cell>
          <cell r="F395">
            <v>7548.5777777777785</v>
          </cell>
          <cell r="G395">
            <v>0</v>
          </cell>
          <cell r="H395">
            <v>754.85777777777787</v>
          </cell>
        </row>
        <row r="396">
          <cell r="A396" t="str">
            <v>1-02-25</v>
          </cell>
          <cell r="C396" t="str">
            <v>Desmonte techo de fibrocemento, incluye estructura metálica</v>
          </cell>
          <cell r="D396" t="str">
            <v>M2</v>
          </cell>
          <cell r="F396">
            <v>26960</v>
          </cell>
        </row>
        <row r="397">
          <cell r="A397" t="str">
            <v>M. O.</v>
          </cell>
          <cell r="B397" t="str">
            <v>MOB005</v>
          </cell>
          <cell r="C397" t="str">
            <v>Cuadrilla A 1 Of + 4 Ay (jornal + prestaciones)</v>
          </cell>
          <cell r="D397" t="str">
            <v>Día</v>
          </cell>
          <cell r="E397">
            <v>1</v>
          </cell>
          <cell r="F397">
            <v>518468</v>
          </cell>
          <cell r="G397">
            <v>0.04</v>
          </cell>
          <cell r="H397">
            <v>20738.72</v>
          </cell>
        </row>
        <row r="398">
          <cell r="B398" t="str">
            <v>MOB011</v>
          </cell>
          <cell r="C398" t="str">
            <v>Acarreo horizontal</v>
          </cell>
          <cell r="D398" t="str">
            <v>%MO</v>
          </cell>
          <cell r="E398">
            <v>0.1</v>
          </cell>
          <cell r="F398">
            <v>20738.72</v>
          </cell>
          <cell r="G398">
            <v>0</v>
          </cell>
          <cell r="H398">
            <v>2073.8720000000003</v>
          </cell>
        </row>
        <row r="399">
          <cell r="A399" t="str">
            <v>EQUIPO</v>
          </cell>
          <cell r="B399" t="str">
            <v>EQU006</v>
          </cell>
          <cell r="C399" t="str">
            <v>Andamio certificado (% mano obra)</v>
          </cell>
          <cell r="D399" t="str">
            <v>%MO</v>
          </cell>
          <cell r="E399">
            <v>0.1</v>
          </cell>
          <cell r="F399">
            <v>20738.72</v>
          </cell>
          <cell r="G399">
            <v>0</v>
          </cell>
          <cell r="H399">
            <v>2073.8720000000003</v>
          </cell>
        </row>
        <row r="400">
          <cell r="B400" t="str">
            <v>EQU002</v>
          </cell>
          <cell r="C400" t="str">
            <v>Herramienta menor (% mano obra)</v>
          </cell>
          <cell r="D400" t="str">
            <v>%MO</v>
          </cell>
          <cell r="E400">
            <v>0.1</v>
          </cell>
          <cell r="F400">
            <v>20738.72</v>
          </cell>
          <cell r="G400">
            <v>0</v>
          </cell>
          <cell r="H400">
            <v>2073.8720000000003</v>
          </cell>
        </row>
        <row r="401">
          <cell r="A401" t="str">
            <v>1-02-26</v>
          </cell>
          <cell r="C401" t="str">
            <v>Desmonte techo y estructura de madera</v>
          </cell>
          <cell r="D401" t="str">
            <v>M2</v>
          </cell>
          <cell r="F401">
            <v>16202</v>
          </cell>
        </row>
        <row r="402">
          <cell r="A402" t="str">
            <v>M. O.</v>
          </cell>
          <cell r="B402" t="str">
            <v>MOB005</v>
          </cell>
          <cell r="C402" t="str">
            <v>Cuadrilla A 1 Of + 4 Ay (jornal + prestaciones)</v>
          </cell>
          <cell r="D402" t="str">
            <v>Día</v>
          </cell>
          <cell r="E402">
            <v>1</v>
          </cell>
          <cell r="F402">
            <v>518468</v>
          </cell>
          <cell r="G402">
            <v>2.5000000000000001E-2</v>
          </cell>
          <cell r="H402">
            <v>12961.7</v>
          </cell>
        </row>
        <row r="403">
          <cell r="B403" t="str">
            <v>MOB011</v>
          </cell>
          <cell r="C403" t="str">
            <v>Acarreo horizontal</v>
          </cell>
          <cell r="D403" t="str">
            <v>%MO</v>
          </cell>
          <cell r="E403">
            <v>0.1</v>
          </cell>
          <cell r="F403">
            <v>12961.7</v>
          </cell>
          <cell r="G403">
            <v>0</v>
          </cell>
          <cell r="H403">
            <v>1296.17</v>
          </cell>
        </row>
        <row r="404">
          <cell r="A404" t="str">
            <v>EQUIPO</v>
          </cell>
          <cell r="B404" t="str">
            <v>EQU006</v>
          </cell>
          <cell r="C404" t="str">
            <v>Andamio certificado (% mano obra)</v>
          </cell>
          <cell r="D404" t="str">
            <v>%MO</v>
          </cell>
          <cell r="E404">
            <v>0.1</v>
          </cell>
          <cell r="F404">
            <v>12961.7</v>
          </cell>
          <cell r="G404">
            <v>0</v>
          </cell>
          <cell r="H404">
            <v>1296.17</v>
          </cell>
        </row>
        <row r="405">
          <cell r="B405" t="str">
            <v>EQU002</v>
          </cell>
          <cell r="C405" t="str">
            <v>Herramienta menor (% mano obra)</v>
          </cell>
          <cell r="D405" t="str">
            <v>%MO</v>
          </cell>
          <cell r="E405">
            <v>0.05</v>
          </cell>
          <cell r="F405">
            <v>12961.7</v>
          </cell>
          <cell r="G405">
            <v>0</v>
          </cell>
          <cell r="H405">
            <v>648.08500000000004</v>
          </cell>
        </row>
        <row r="406">
          <cell r="A406" t="str">
            <v>1-02-27</v>
          </cell>
          <cell r="C406" t="str">
            <v>Desmonte de canaleta 43, 90 o súper canaleta</v>
          </cell>
          <cell r="D406" t="str">
            <v>M2</v>
          </cell>
          <cell r="F406">
            <v>14526</v>
          </cell>
        </row>
        <row r="407">
          <cell r="A407" t="str">
            <v>M. O.</v>
          </cell>
          <cell r="B407" t="str">
            <v>MOB003</v>
          </cell>
          <cell r="C407" t="str">
            <v>Ayudante (jornal + prestaciones)</v>
          </cell>
          <cell r="D407" t="str">
            <v>Día</v>
          </cell>
          <cell r="E407">
            <v>1</v>
          </cell>
          <cell r="F407">
            <v>89391</v>
          </cell>
          <cell r="G407">
            <v>0.125</v>
          </cell>
          <cell r="H407">
            <v>11173.875</v>
          </cell>
        </row>
        <row r="408">
          <cell r="B408" t="str">
            <v>MOB011</v>
          </cell>
          <cell r="C408" t="str">
            <v>Acarreo horizontal</v>
          </cell>
          <cell r="D408" t="str">
            <v>%MO</v>
          </cell>
          <cell r="E408">
            <v>0.1</v>
          </cell>
          <cell r="F408">
            <v>11173.875</v>
          </cell>
          <cell r="G408">
            <v>0</v>
          </cell>
          <cell r="H408">
            <v>1117.3875</v>
          </cell>
        </row>
        <row r="409">
          <cell r="A409" t="str">
            <v>EQUIPO</v>
          </cell>
          <cell r="B409" t="str">
            <v>EQU006</v>
          </cell>
          <cell r="C409" t="str">
            <v>Andamio certificado (% mano obra)</v>
          </cell>
          <cell r="D409" t="str">
            <v>%MO</v>
          </cell>
          <cell r="E409">
            <v>0.1</v>
          </cell>
          <cell r="F409">
            <v>11173.875</v>
          </cell>
          <cell r="G409">
            <v>0</v>
          </cell>
          <cell r="H409">
            <v>1117.3875</v>
          </cell>
        </row>
        <row r="410">
          <cell r="B410" t="str">
            <v>EQU002</v>
          </cell>
          <cell r="C410" t="str">
            <v>Herramienta menor (% mano obra)</v>
          </cell>
          <cell r="D410" t="str">
            <v>%MO</v>
          </cell>
          <cell r="E410">
            <v>0.1</v>
          </cell>
          <cell r="F410">
            <v>11173.875</v>
          </cell>
          <cell r="G410">
            <v>0</v>
          </cell>
          <cell r="H410">
            <v>1117.3875</v>
          </cell>
        </row>
        <row r="411">
          <cell r="A411" t="str">
            <v>1-02-28</v>
          </cell>
          <cell r="C411" t="str">
            <v>Desmonte de flanshing</v>
          </cell>
          <cell r="D411" t="str">
            <v>M</v>
          </cell>
          <cell r="F411">
            <v>4648</v>
          </cell>
        </row>
        <row r="412">
          <cell r="A412" t="str">
            <v>M. O.</v>
          </cell>
          <cell r="B412" t="str">
            <v>MOB003</v>
          </cell>
          <cell r="C412" t="str">
            <v>Ayudante (jornal + prestaciones)</v>
          </cell>
          <cell r="D412" t="str">
            <v>Día</v>
          </cell>
          <cell r="E412">
            <v>1</v>
          </cell>
          <cell r="F412">
            <v>89391</v>
          </cell>
          <cell r="G412">
            <v>0.04</v>
          </cell>
          <cell r="H412">
            <v>3575.64</v>
          </cell>
        </row>
        <row r="413">
          <cell r="B413" t="str">
            <v>MOB011</v>
          </cell>
          <cell r="C413" t="str">
            <v>Acarreo horizontal</v>
          </cell>
          <cell r="D413" t="str">
            <v>%MO</v>
          </cell>
          <cell r="E413">
            <v>0.1</v>
          </cell>
          <cell r="F413">
            <v>3575.64</v>
          </cell>
          <cell r="G413">
            <v>0</v>
          </cell>
          <cell r="H413">
            <v>357.56400000000002</v>
          </cell>
        </row>
        <row r="414">
          <cell r="A414" t="str">
            <v>EQUIPO</v>
          </cell>
          <cell r="B414" t="str">
            <v>EQU006</v>
          </cell>
          <cell r="C414" t="str">
            <v>Andamio certificado (% mano obra)</v>
          </cell>
          <cell r="D414" t="str">
            <v>%MO</v>
          </cell>
          <cell r="E414">
            <v>0.1</v>
          </cell>
          <cell r="F414">
            <v>3575.64</v>
          </cell>
          <cell r="G414">
            <v>0</v>
          </cell>
          <cell r="H414">
            <v>357.56400000000002</v>
          </cell>
        </row>
        <row r="415">
          <cell r="B415" t="str">
            <v>EQU002</v>
          </cell>
          <cell r="C415" t="str">
            <v>Herramienta menor (% mano obra)</v>
          </cell>
          <cell r="D415" t="str">
            <v>%MO</v>
          </cell>
          <cell r="E415">
            <v>0.1</v>
          </cell>
          <cell r="F415">
            <v>3575.64</v>
          </cell>
          <cell r="G415">
            <v>0</v>
          </cell>
          <cell r="H415">
            <v>357.56400000000002</v>
          </cell>
        </row>
        <row r="416">
          <cell r="A416" t="str">
            <v>1-02-29</v>
          </cell>
          <cell r="C416" t="str">
            <v>Desmonte canal en lámina o PVC</v>
          </cell>
          <cell r="D416" t="str">
            <v>M</v>
          </cell>
          <cell r="F416">
            <v>5916</v>
          </cell>
        </row>
        <row r="417">
          <cell r="A417" t="str">
            <v>M. O.</v>
          </cell>
          <cell r="B417" t="str">
            <v>MOB015</v>
          </cell>
          <cell r="C417" t="str">
            <v>Cuadrilla E 1 Of + 1 Ay (jornal + prestaciones)</v>
          </cell>
          <cell r="D417" t="str">
            <v>Día</v>
          </cell>
          <cell r="E417">
            <v>1</v>
          </cell>
          <cell r="F417">
            <v>250295</v>
          </cell>
          <cell r="G417">
            <v>1.8181818181818181E-2</v>
          </cell>
          <cell r="H417">
            <v>4550.818181818182</v>
          </cell>
        </row>
        <row r="418">
          <cell r="B418" t="str">
            <v>MOB011</v>
          </cell>
          <cell r="C418" t="str">
            <v>Acarreo horizontal</v>
          </cell>
          <cell r="D418" t="str">
            <v>%MO</v>
          </cell>
          <cell r="E418">
            <v>0.1</v>
          </cell>
          <cell r="F418">
            <v>4550.818181818182</v>
          </cell>
          <cell r="G418">
            <v>0</v>
          </cell>
          <cell r="H418">
            <v>455.08181818181822</v>
          </cell>
        </row>
        <row r="419">
          <cell r="A419" t="str">
            <v>EQUIPO</v>
          </cell>
          <cell r="B419" t="str">
            <v>EQU006</v>
          </cell>
          <cell r="C419" t="str">
            <v>Andamio certificado (% mano obra)</v>
          </cell>
          <cell r="D419" t="str">
            <v>%MO</v>
          </cell>
          <cell r="E419">
            <v>0.1</v>
          </cell>
          <cell r="F419">
            <v>4550.818181818182</v>
          </cell>
          <cell r="G419">
            <v>0</v>
          </cell>
          <cell r="H419">
            <v>455.08181818181822</v>
          </cell>
        </row>
        <row r="420">
          <cell r="B420" t="str">
            <v>EQU002</v>
          </cell>
          <cell r="C420" t="str">
            <v>Herramienta menor (% mano obra)</v>
          </cell>
          <cell r="D420" t="str">
            <v>%MO</v>
          </cell>
          <cell r="E420">
            <v>0.1</v>
          </cell>
          <cell r="F420">
            <v>4550.818181818182</v>
          </cell>
          <cell r="G420">
            <v>0</v>
          </cell>
          <cell r="H420">
            <v>455.08181818181822</v>
          </cell>
        </row>
        <row r="421">
          <cell r="A421" t="str">
            <v>1-02-30</v>
          </cell>
          <cell r="C421" t="str">
            <v>Desmonte cielo falso, incluye estructura metálica</v>
          </cell>
          <cell r="D421" t="str">
            <v>M2</v>
          </cell>
          <cell r="F421">
            <v>5006</v>
          </cell>
        </row>
        <row r="422">
          <cell r="A422" t="str">
            <v>M. O.</v>
          </cell>
          <cell r="B422" t="str">
            <v>MOB015</v>
          </cell>
          <cell r="C422" t="str">
            <v>Cuadrilla E 1 Of + 1 Ay (jornal + prestaciones)</v>
          </cell>
          <cell r="D422" t="str">
            <v>Día</v>
          </cell>
          <cell r="E422">
            <v>1</v>
          </cell>
          <cell r="F422">
            <v>250295</v>
          </cell>
          <cell r="G422">
            <v>1.6666666666666666E-2</v>
          </cell>
          <cell r="H422">
            <v>4171.583333333333</v>
          </cell>
        </row>
        <row r="423">
          <cell r="B423" t="str">
            <v>MOB011</v>
          </cell>
          <cell r="C423" t="str">
            <v>Acarreo horizontal</v>
          </cell>
          <cell r="D423" t="str">
            <v>%MO</v>
          </cell>
          <cell r="E423">
            <v>0.1</v>
          </cell>
          <cell r="F423">
            <v>4171.583333333333</v>
          </cell>
          <cell r="G423">
            <v>0</v>
          </cell>
          <cell r="H423">
            <v>417.1583333333333</v>
          </cell>
        </row>
        <row r="424">
          <cell r="A424" t="str">
            <v>EQUIPO</v>
          </cell>
          <cell r="B424" t="str">
            <v>EQU006</v>
          </cell>
          <cell r="C424" t="str">
            <v>Andamio certificado (% mano obra)</v>
          </cell>
          <cell r="D424" t="str">
            <v>%MO</v>
          </cell>
          <cell r="E424">
            <v>0.05</v>
          </cell>
          <cell r="F424">
            <v>4171.583333333333</v>
          </cell>
          <cell r="G424">
            <v>0</v>
          </cell>
          <cell r="H424">
            <v>208.57916666666665</v>
          </cell>
        </row>
        <row r="425">
          <cell r="B425" t="str">
            <v>EQU002</v>
          </cell>
          <cell r="C425" t="str">
            <v>Herramienta menor (% mano obra)</v>
          </cell>
          <cell r="D425" t="str">
            <v>%MO</v>
          </cell>
          <cell r="E425">
            <v>0.05</v>
          </cell>
          <cell r="F425">
            <v>4171.583333333333</v>
          </cell>
          <cell r="G425">
            <v>0</v>
          </cell>
          <cell r="H425">
            <v>208.57916666666665</v>
          </cell>
        </row>
        <row r="426">
          <cell r="A426" t="str">
            <v>1-02-31</v>
          </cell>
          <cell r="C426" t="str">
            <v>Desmonte de ventana metálicas o de madera</v>
          </cell>
          <cell r="D426" t="str">
            <v>M2</v>
          </cell>
          <cell r="F426">
            <v>10727</v>
          </cell>
        </row>
        <row r="427">
          <cell r="A427" t="str">
            <v>M. O.</v>
          </cell>
          <cell r="B427" t="str">
            <v>MOB003</v>
          </cell>
          <cell r="C427" t="str">
            <v>Ayudante (jornal + prestaciones)</v>
          </cell>
          <cell r="D427" t="str">
            <v>Día</v>
          </cell>
          <cell r="E427">
            <v>1</v>
          </cell>
          <cell r="F427">
            <v>89391</v>
          </cell>
          <cell r="G427">
            <v>0.1</v>
          </cell>
          <cell r="H427">
            <v>8939.1</v>
          </cell>
        </row>
        <row r="428">
          <cell r="B428" t="str">
            <v>MOB011</v>
          </cell>
          <cell r="C428" t="str">
            <v>Acarreo horizontal</v>
          </cell>
          <cell r="D428" t="str">
            <v>%MO</v>
          </cell>
          <cell r="E428">
            <v>0.1</v>
          </cell>
          <cell r="F428">
            <v>8939.1</v>
          </cell>
          <cell r="G428">
            <v>0</v>
          </cell>
          <cell r="H428">
            <v>893.91000000000008</v>
          </cell>
        </row>
        <row r="429">
          <cell r="A429" t="str">
            <v>EQUIPO</v>
          </cell>
          <cell r="B429" t="str">
            <v>EQU006</v>
          </cell>
          <cell r="C429" t="str">
            <v>Andamio certificado (% mano obra)</v>
          </cell>
          <cell r="D429" t="str">
            <v>%MO</v>
          </cell>
          <cell r="E429">
            <v>0.05</v>
          </cell>
          <cell r="F429">
            <v>8939.1</v>
          </cell>
          <cell r="G429">
            <v>0</v>
          </cell>
          <cell r="H429">
            <v>446.95500000000004</v>
          </cell>
        </row>
        <row r="430">
          <cell r="B430" t="str">
            <v>EQU002</v>
          </cell>
          <cell r="C430" t="str">
            <v>Herramienta menor (% mano obra)</v>
          </cell>
          <cell r="D430" t="str">
            <v>%MO</v>
          </cell>
          <cell r="E430">
            <v>0.05</v>
          </cell>
          <cell r="F430">
            <v>8939.1</v>
          </cell>
          <cell r="G430">
            <v>0</v>
          </cell>
          <cell r="H430">
            <v>446.95500000000004</v>
          </cell>
        </row>
        <row r="431">
          <cell r="A431" t="str">
            <v>1-02-32</v>
          </cell>
          <cell r="C431" t="str">
            <v>Desmonte reja metálica adosada a pared</v>
          </cell>
          <cell r="D431" t="str">
            <v>M2</v>
          </cell>
          <cell r="F431">
            <v>14079</v>
          </cell>
        </row>
        <row r="432">
          <cell r="A432" t="str">
            <v>M. O.</v>
          </cell>
          <cell r="B432" t="str">
            <v>MOB015</v>
          </cell>
          <cell r="C432" t="str">
            <v>Cuadrilla E 1 Of + 1 Ay (jornal + prestaciones)</v>
          </cell>
          <cell r="D432" t="str">
            <v>Día</v>
          </cell>
          <cell r="E432">
            <v>1</v>
          </cell>
          <cell r="F432">
            <v>250295</v>
          </cell>
          <cell r="G432">
            <v>4.1666666666666664E-2</v>
          </cell>
          <cell r="H432">
            <v>10428.958333333332</v>
          </cell>
        </row>
        <row r="433">
          <cell r="B433" t="str">
            <v>MOB011</v>
          </cell>
          <cell r="C433" t="str">
            <v>Acarreo horizontal</v>
          </cell>
          <cell r="D433" t="str">
            <v>%MO</v>
          </cell>
          <cell r="E433">
            <v>0.1</v>
          </cell>
          <cell r="F433">
            <v>10428.958333333332</v>
          </cell>
          <cell r="G433">
            <v>0</v>
          </cell>
          <cell r="H433">
            <v>1042.8958333333333</v>
          </cell>
        </row>
        <row r="434">
          <cell r="A434" t="str">
            <v>EQUIPO</v>
          </cell>
          <cell r="B434" t="str">
            <v>EQU006</v>
          </cell>
          <cell r="C434" t="str">
            <v>Andamio certificado (% mano obra)</v>
          </cell>
          <cell r="D434" t="str">
            <v>%MO</v>
          </cell>
          <cell r="E434">
            <v>0.05</v>
          </cell>
          <cell r="F434">
            <v>10428.958333333332</v>
          </cell>
          <cell r="G434">
            <v>0</v>
          </cell>
          <cell r="H434">
            <v>521.44791666666663</v>
          </cell>
        </row>
        <row r="435">
          <cell r="B435" t="str">
            <v>EQU002</v>
          </cell>
          <cell r="C435" t="str">
            <v>Herramienta menor (% mano obra)</v>
          </cell>
          <cell r="D435" t="str">
            <v>%MO</v>
          </cell>
          <cell r="E435">
            <v>0.2</v>
          </cell>
          <cell r="F435">
            <v>10428.958333333332</v>
          </cell>
          <cell r="G435">
            <v>0</v>
          </cell>
          <cell r="H435">
            <v>2085.7916666666665</v>
          </cell>
        </row>
        <row r="436">
          <cell r="A436" t="str">
            <v>1-02-33</v>
          </cell>
          <cell r="C436" t="str">
            <v>Desmonte de puerta metálicas o de madera, incluye marco</v>
          </cell>
          <cell r="D436" t="str">
            <v>M2</v>
          </cell>
          <cell r="F436">
            <v>19016</v>
          </cell>
        </row>
        <row r="437">
          <cell r="A437" t="str">
            <v>M. O.</v>
          </cell>
          <cell r="B437" t="str">
            <v>MOB003</v>
          </cell>
          <cell r="C437" t="str">
            <v>Ayudante (jornal + prestaciones)</v>
          </cell>
          <cell r="D437" t="str">
            <v>Día</v>
          </cell>
          <cell r="E437">
            <v>1</v>
          </cell>
          <cell r="F437">
            <v>89391</v>
          </cell>
          <cell r="G437">
            <v>0.18181818181818182</v>
          </cell>
          <cell r="H437">
            <v>16252.909090909092</v>
          </cell>
        </row>
        <row r="438">
          <cell r="B438" t="str">
            <v>MOB011</v>
          </cell>
          <cell r="C438" t="str">
            <v>Acarreo horizontal</v>
          </cell>
          <cell r="D438" t="str">
            <v>%MO</v>
          </cell>
          <cell r="E438">
            <v>0.1</v>
          </cell>
          <cell r="F438">
            <v>16252.909090909092</v>
          </cell>
          <cell r="G438">
            <v>0</v>
          </cell>
          <cell r="H438">
            <v>1625.2909090909093</v>
          </cell>
        </row>
        <row r="439">
          <cell r="A439" t="str">
            <v>EQUIPO</v>
          </cell>
          <cell r="B439" t="str">
            <v>EQU002</v>
          </cell>
          <cell r="C439" t="str">
            <v>Herramienta menor (% mano obra)</v>
          </cell>
          <cell r="D439" t="str">
            <v>%MO</v>
          </cell>
          <cell r="E439">
            <v>7.0000000000000007E-2</v>
          </cell>
          <cell r="F439">
            <v>16252.909090909092</v>
          </cell>
          <cell r="G439">
            <v>0</v>
          </cell>
          <cell r="H439">
            <v>1137.7036363636366</v>
          </cell>
        </row>
        <row r="440">
          <cell r="A440" t="str">
            <v>1-02-34</v>
          </cell>
          <cell r="C440" t="str">
            <v>Desmonte de división metálica o de vidrio templado</v>
          </cell>
          <cell r="D440" t="str">
            <v>M2</v>
          </cell>
          <cell r="F440">
            <v>10280</v>
          </cell>
        </row>
        <row r="441">
          <cell r="A441" t="str">
            <v>M. O.</v>
          </cell>
          <cell r="B441" t="str">
            <v>MOB003</v>
          </cell>
          <cell r="C441" t="str">
            <v>Ayudante (jornal + prestaciones)</v>
          </cell>
          <cell r="D441" t="str">
            <v>Día</v>
          </cell>
          <cell r="E441">
            <v>1</v>
          </cell>
          <cell r="F441">
            <v>89391</v>
          </cell>
          <cell r="G441">
            <v>0.1</v>
          </cell>
          <cell r="H441">
            <v>8939.1</v>
          </cell>
        </row>
        <row r="442">
          <cell r="B442" t="str">
            <v>MOB011</v>
          </cell>
          <cell r="C442" t="str">
            <v>Acarreo horizontal</v>
          </cell>
          <cell r="D442" t="str">
            <v>%MO</v>
          </cell>
          <cell r="E442">
            <v>0.1</v>
          </cell>
          <cell r="F442">
            <v>8939.1</v>
          </cell>
          <cell r="G442">
            <v>0</v>
          </cell>
          <cell r="H442">
            <v>893.91000000000008</v>
          </cell>
        </row>
        <row r="443">
          <cell r="A443" t="str">
            <v>EQUIPO</v>
          </cell>
          <cell r="B443" t="str">
            <v>EQU002</v>
          </cell>
          <cell r="C443" t="str">
            <v>Herramienta menor (% mano obra)</v>
          </cell>
          <cell r="D443" t="str">
            <v>%MO</v>
          </cell>
          <cell r="E443">
            <v>0.05</v>
          </cell>
          <cell r="F443">
            <v>8939.1</v>
          </cell>
          <cell r="G443">
            <v>0</v>
          </cell>
          <cell r="H443">
            <v>446.95500000000004</v>
          </cell>
        </row>
        <row r="444">
          <cell r="A444" t="str">
            <v>1-02-35</v>
          </cell>
          <cell r="C444" t="str">
            <v>Desmonte de división en acrílico y aluminio o madera</v>
          </cell>
          <cell r="D444" t="str">
            <v>M2</v>
          </cell>
          <cell r="F444">
            <v>5140</v>
          </cell>
        </row>
        <row r="445">
          <cell r="A445" t="str">
            <v>M. O.</v>
          </cell>
          <cell r="B445" t="str">
            <v>MOB003</v>
          </cell>
          <cell r="C445" t="str">
            <v>Ayudante (jornal + prestaciones)</v>
          </cell>
          <cell r="D445" t="str">
            <v>Día</v>
          </cell>
          <cell r="E445">
            <v>1</v>
          </cell>
          <cell r="F445">
            <v>89391</v>
          </cell>
          <cell r="G445">
            <v>0.05</v>
          </cell>
          <cell r="H445">
            <v>4469.55</v>
          </cell>
        </row>
        <row r="446">
          <cell r="B446" t="str">
            <v>MOB011</v>
          </cell>
          <cell r="C446" t="str">
            <v>Acarreo horizontal</v>
          </cell>
          <cell r="D446" t="str">
            <v>%MO</v>
          </cell>
          <cell r="E446">
            <v>0.1</v>
          </cell>
          <cell r="F446">
            <v>4469.55</v>
          </cell>
          <cell r="G446">
            <v>0</v>
          </cell>
          <cell r="H446">
            <v>446.95500000000004</v>
          </cell>
        </row>
        <row r="447">
          <cell r="A447" t="str">
            <v>EQUIPO</v>
          </cell>
          <cell r="B447" t="str">
            <v>EQU002</v>
          </cell>
          <cell r="C447" t="str">
            <v>Herramienta menor (% mano obra)</v>
          </cell>
          <cell r="D447" t="str">
            <v>%MO</v>
          </cell>
          <cell r="E447">
            <v>0.05</v>
          </cell>
          <cell r="F447">
            <v>4469.55</v>
          </cell>
          <cell r="G447">
            <v>0</v>
          </cell>
          <cell r="H447">
            <v>223.47750000000002</v>
          </cell>
        </row>
        <row r="448">
          <cell r="A448" t="str">
            <v>1-02-36</v>
          </cell>
          <cell r="C448" t="str">
            <v>Desmonte aparatos sanitarios, con recuperación de ellos</v>
          </cell>
          <cell r="D448" t="str">
            <v>Un</v>
          </cell>
          <cell r="F448">
            <v>23130</v>
          </cell>
        </row>
        <row r="449">
          <cell r="A449" t="str">
            <v>M. O.</v>
          </cell>
          <cell r="B449" t="str">
            <v>MOB002</v>
          </cell>
          <cell r="C449" t="str">
            <v>Oficial (jornal + prestaciones)</v>
          </cell>
          <cell r="D449" t="str">
            <v>Día</v>
          </cell>
          <cell r="E449">
            <v>1</v>
          </cell>
          <cell r="F449">
            <v>160904</v>
          </cell>
          <cell r="G449">
            <v>0.125</v>
          </cell>
          <cell r="H449">
            <v>20113</v>
          </cell>
        </row>
        <row r="450">
          <cell r="B450" t="str">
            <v>MOB011</v>
          </cell>
          <cell r="C450" t="str">
            <v>Acarreo horizontal</v>
          </cell>
          <cell r="D450" t="str">
            <v>%MO</v>
          </cell>
          <cell r="E450">
            <v>0.05</v>
          </cell>
          <cell r="F450">
            <v>20113</v>
          </cell>
          <cell r="G450">
            <v>0</v>
          </cell>
          <cell r="H450">
            <v>1005.6500000000001</v>
          </cell>
        </row>
        <row r="451">
          <cell r="A451" t="str">
            <v>EQUIPO</v>
          </cell>
          <cell r="B451" t="str">
            <v>EQU002</v>
          </cell>
          <cell r="C451" t="str">
            <v>Herramienta menor (% mano obra)</v>
          </cell>
          <cell r="D451" t="str">
            <v>%MO</v>
          </cell>
          <cell r="E451">
            <v>0.1</v>
          </cell>
          <cell r="F451">
            <v>20113</v>
          </cell>
          <cell r="G451">
            <v>0</v>
          </cell>
          <cell r="H451">
            <v>2011.3000000000002</v>
          </cell>
        </row>
        <row r="452">
          <cell r="A452" t="str">
            <v>1-02-37</v>
          </cell>
          <cell r="C452" t="str">
            <v>Desmonte aparatos sanitarios, sin recuperación de ellos</v>
          </cell>
          <cell r="D452" t="str">
            <v>Un</v>
          </cell>
          <cell r="F452">
            <v>12850</v>
          </cell>
        </row>
        <row r="453">
          <cell r="A453" t="str">
            <v>M. O.</v>
          </cell>
          <cell r="B453" t="str">
            <v>MOB003</v>
          </cell>
          <cell r="C453" t="str">
            <v>Ayudante (jornal + prestaciones)</v>
          </cell>
          <cell r="D453" t="str">
            <v>Día</v>
          </cell>
          <cell r="E453">
            <v>1</v>
          </cell>
          <cell r="F453">
            <v>89391</v>
          </cell>
          <cell r="G453">
            <v>0.125</v>
          </cell>
          <cell r="H453">
            <v>11173.875</v>
          </cell>
        </row>
        <row r="454">
          <cell r="B454" t="str">
            <v>MOB011</v>
          </cell>
          <cell r="C454" t="str">
            <v>Acarreo horizontal</v>
          </cell>
          <cell r="D454" t="str">
            <v>%MO</v>
          </cell>
          <cell r="E454">
            <v>0.1</v>
          </cell>
          <cell r="F454">
            <v>11173.875</v>
          </cell>
          <cell r="G454">
            <v>0</v>
          </cell>
          <cell r="H454">
            <v>1117.3875</v>
          </cell>
        </row>
        <row r="455">
          <cell r="A455" t="str">
            <v>EQUIPO</v>
          </cell>
          <cell r="B455" t="str">
            <v>EQU002</v>
          </cell>
          <cell r="C455" t="str">
            <v>Herramienta menor (% mano obra)</v>
          </cell>
          <cell r="D455" t="str">
            <v>%MO</v>
          </cell>
          <cell r="E455">
            <v>0.05</v>
          </cell>
          <cell r="F455">
            <v>11173.875</v>
          </cell>
          <cell r="G455">
            <v>0</v>
          </cell>
          <cell r="H455">
            <v>558.69375000000002</v>
          </cell>
        </row>
        <row r="456">
          <cell r="A456" t="str">
            <v>1-02-38</v>
          </cell>
          <cell r="C456" t="str">
            <v xml:space="preserve">Desmonte de piso en tablilla machihembrada existente </v>
          </cell>
          <cell r="D456" t="str">
            <v>M2</v>
          </cell>
          <cell r="F456">
            <v>43597</v>
          </cell>
        </row>
        <row r="457">
          <cell r="A457" t="str">
            <v>M. O.</v>
          </cell>
          <cell r="B457" t="str">
            <v>MOB003</v>
          </cell>
          <cell r="C457" t="str">
            <v>Ayudante (jornal + prestaciones)</v>
          </cell>
          <cell r="D457" t="str">
            <v>Día</v>
          </cell>
          <cell r="E457">
            <v>1</v>
          </cell>
          <cell r="F457">
            <v>89391</v>
          </cell>
          <cell r="G457">
            <v>0.27027027027027023</v>
          </cell>
          <cell r="H457">
            <v>24159.729729729726</v>
          </cell>
        </row>
        <row r="458">
          <cell r="B458" t="str">
            <v>MOB002</v>
          </cell>
          <cell r="C458" t="str">
            <v>Oficial (jornal + prestaciones)</v>
          </cell>
          <cell r="D458" t="str">
            <v>Día</v>
          </cell>
          <cell r="E458">
            <v>1</v>
          </cell>
          <cell r="F458">
            <v>160904</v>
          </cell>
          <cell r="G458">
            <v>9.0909090909090912E-2</v>
          </cell>
          <cell r="H458">
            <v>14627.636363636364</v>
          </cell>
        </row>
        <row r="459">
          <cell r="B459" t="str">
            <v>MOB011</v>
          </cell>
          <cell r="C459" t="str">
            <v>Acarreo horizontal</v>
          </cell>
          <cell r="D459" t="str">
            <v>%MO</v>
          </cell>
          <cell r="E459">
            <v>0.02</v>
          </cell>
          <cell r="F459">
            <v>38787.366093366087</v>
          </cell>
          <cell r="G459">
            <v>0</v>
          </cell>
          <cell r="H459">
            <v>775.74732186732172</v>
          </cell>
        </row>
        <row r="460">
          <cell r="A460" t="str">
            <v>EQUIPO</v>
          </cell>
          <cell r="B460" t="str">
            <v>EQU002</v>
          </cell>
          <cell r="C460" t="str">
            <v>Herramienta menor (% mano obra)</v>
          </cell>
          <cell r="D460" t="str">
            <v>%MO</v>
          </cell>
          <cell r="E460">
            <v>0.104</v>
          </cell>
          <cell r="F460">
            <v>38787.366093366087</v>
          </cell>
          <cell r="G460">
            <v>0</v>
          </cell>
          <cell r="H460">
            <v>4033.8860737100727</v>
          </cell>
        </row>
        <row r="461">
          <cell r="A461" t="str">
            <v>1-02-39</v>
          </cell>
          <cell r="C461" t="str">
            <v>Desmonte de muros en pared liviana (dry wall o súper board), incluye estructura y recuperación de algunas placas</v>
          </cell>
          <cell r="D461" t="str">
            <v>M2</v>
          </cell>
          <cell r="F461">
            <v>15224</v>
          </cell>
        </row>
        <row r="462">
          <cell r="A462" t="str">
            <v>M. O.</v>
          </cell>
          <cell r="B462" t="str">
            <v>MOB003</v>
          </cell>
          <cell r="C462" t="str">
            <v>Ayudante (jornal + prestaciones)</v>
          </cell>
          <cell r="D462" t="str">
            <v>Día</v>
          </cell>
          <cell r="E462">
            <v>1</v>
          </cell>
          <cell r="F462">
            <v>89391</v>
          </cell>
          <cell r="G462">
            <v>7.1428571428571425E-2</v>
          </cell>
          <cell r="H462">
            <v>6385.0714285714284</v>
          </cell>
        </row>
        <row r="463">
          <cell r="B463" t="str">
            <v>MOB002</v>
          </cell>
          <cell r="C463" t="str">
            <v>Oficial (jornal + prestaciones)</v>
          </cell>
          <cell r="D463" t="str">
            <v>Día</v>
          </cell>
          <cell r="E463">
            <v>1</v>
          </cell>
          <cell r="F463">
            <v>160904</v>
          </cell>
          <cell r="G463">
            <v>0.05</v>
          </cell>
          <cell r="H463">
            <v>8045.2000000000007</v>
          </cell>
        </row>
        <row r="464">
          <cell r="B464" t="str">
            <v>MOB011</v>
          </cell>
          <cell r="C464" t="str">
            <v>Acarreo horizontal</v>
          </cell>
          <cell r="D464" t="str">
            <v>%MO</v>
          </cell>
          <cell r="E464">
            <v>5.0000000000000001E-3</v>
          </cell>
          <cell r="F464">
            <v>14430.271428571428</v>
          </cell>
          <cell r="G464">
            <v>0</v>
          </cell>
          <cell r="H464">
            <v>72.151357142857137</v>
          </cell>
        </row>
        <row r="465">
          <cell r="A465" t="str">
            <v>EQUIPO</v>
          </cell>
          <cell r="B465" t="str">
            <v>EQU002</v>
          </cell>
          <cell r="C465" t="str">
            <v>Herramienta menor (% mano obra)</v>
          </cell>
          <cell r="D465" t="str">
            <v>%MO</v>
          </cell>
          <cell r="E465">
            <v>0.05</v>
          </cell>
          <cell r="F465">
            <v>14430.271428571428</v>
          </cell>
          <cell r="G465">
            <v>0</v>
          </cell>
          <cell r="H465">
            <v>721.51357142857148</v>
          </cell>
        </row>
        <row r="466">
          <cell r="A466" t="str">
            <v>1 - 03 EXCAVACIONES Y LLENOS</v>
          </cell>
        </row>
        <row r="467">
          <cell r="A467" t="str">
            <v>ÍTEM</v>
          </cell>
          <cell r="B467" t="str">
            <v>CÓDIGO</v>
          </cell>
          <cell r="C467" t="str">
            <v>DESCRIPCIÓN</v>
          </cell>
          <cell r="D467" t="str">
            <v>UN</v>
          </cell>
          <cell r="E467" t="str">
            <v>CANT</v>
          </cell>
          <cell r="F467" t="str">
            <v>VR. UN.</v>
          </cell>
          <cell r="G467" t="str">
            <v>RENDIMIENTO, USOS, DESPEDICIOS</v>
          </cell>
          <cell r="H467" t="str">
            <v>VR. PARCIAL</v>
          </cell>
        </row>
        <row r="468">
          <cell r="A468" t="str">
            <v>1-03-01</v>
          </cell>
          <cell r="C468" t="str">
            <v>Excavación manual en material común seco de 0 - 2 m</v>
          </cell>
          <cell r="D468" t="str">
            <v>M3</v>
          </cell>
          <cell r="F468">
            <v>43551</v>
          </cell>
        </row>
        <row r="469">
          <cell r="A469" t="str">
            <v>M. O.</v>
          </cell>
          <cell r="B469" t="str">
            <v>MOB005</v>
          </cell>
          <cell r="C469" t="str">
            <v>Cuadrilla A 1 Of + 4 Ay (jornal + prestaciones)</v>
          </cell>
          <cell r="D469" t="str">
            <v>Día</v>
          </cell>
          <cell r="E469">
            <v>1</v>
          </cell>
          <cell r="F469">
            <v>518468</v>
          </cell>
          <cell r="G469">
            <v>7.0000070000069997E-2</v>
          </cell>
          <cell r="H469">
            <v>36292.796292796294</v>
          </cell>
        </row>
        <row r="470">
          <cell r="B470" t="str">
            <v>MOB011</v>
          </cell>
          <cell r="C470" t="str">
            <v>Acarreo horizontal</v>
          </cell>
          <cell r="D470" t="str">
            <v>%MO</v>
          </cell>
          <cell r="E470">
            <v>0.1</v>
          </cell>
          <cell r="F470">
            <v>36292.796292796294</v>
          </cell>
          <cell r="G470">
            <v>0</v>
          </cell>
          <cell r="H470">
            <v>3629.2796292796297</v>
          </cell>
        </row>
        <row r="471">
          <cell r="A471" t="str">
            <v>EQUIPO</v>
          </cell>
          <cell r="B471" t="str">
            <v>EQU002</v>
          </cell>
          <cell r="C471" t="str">
            <v>Herramienta menor (% mano obra)</v>
          </cell>
          <cell r="D471" t="str">
            <v>%MO</v>
          </cell>
          <cell r="E471">
            <v>0.1</v>
          </cell>
          <cell r="F471">
            <v>36292.796292796294</v>
          </cell>
          <cell r="G471">
            <v>0</v>
          </cell>
          <cell r="H471">
            <v>3629.2796292796297</v>
          </cell>
        </row>
        <row r="472">
          <cell r="A472" t="str">
            <v>1-03-02</v>
          </cell>
          <cell r="C472" t="str">
            <v>Excavación manual en material común seco de 2 - 4 m</v>
          </cell>
          <cell r="D472" t="str">
            <v>M3</v>
          </cell>
          <cell r="F472">
            <v>79067</v>
          </cell>
        </row>
        <row r="473">
          <cell r="A473" t="str">
            <v>M. O.</v>
          </cell>
          <cell r="B473" t="str">
            <v>MOB005</v>
          </cell>
          <cell r="C473" t="str">
            <v>Cuadrilla A 1 Of + 4 Ay (jornal + prestaciones)</v>
          </cell>
          <cell r="D473" t="str">
            <v>Día</v>
          </cell>
          <cell r="E473">
            <v>1</v>
          </cell>
          <cell r="F473">
            <v>518468</v>
          </cell>
          <cell r="G473">
            <v>0.12200031720082473</v>
          </cell>
          <cell r="H473">
            <v>63253.260458477198</v>
          </cell>
        </row>
        <row r="474">
          <cell r="B474" t="str">
            <v>MOB011</v>
          </cell>
          <cell r="C474" t="str">
            <v>Acarreo horizontal</v>
          </cell>
          <cell r="D474" t="str">
            <v>%MO</v>
          </cell>
          <cell r="E474">
            <v>0.05</v>
          </cell>
          <cell r="F474">
            <v>63253.260458477198</v>
          </cell>
          <cell r="G474">
            <v>0</v>
          </cell>
          <cell r="H474">
            <v>3162.6630229238599</v>
          </cell>
        </row>
        <row r="475">
          <cell r="A475" t="str">
            <v>EQUIPO</v>
          </cell>
          <cell r="B475" t="str">
            <v>EQU017</v>
          </cell>
          <cell r="C475" t="str">
            <v>Entibado (% mano obra)</v>
          </cell>
          <cell r="D475" t="str">
            <v>%MO</v>
          </cell>
          <cell r="E475">
            <v>0.1</v>
          </cell>
          <cell r="F475">
            <v>63253.260458477198</v>
          </cell>
          <cell r="G475">
            <v>0</v>
          </cell>
          <cell r="H475">
            <v>6325.3260458477198</v>
          </cell>
        </row>
        <row r="476">
          <cell r="B476" t="str">
            <v>EQU002</v>
          </cell>
          <cell r="C476" t="str">
            <v>Herramienta menor (% mano obra)</v>
          </cell>
          <cell r="D476" t="str">
            <v>%MO</v>
          </cell>
          <cell r="E476">
            <v>0.1</v>
          </cell>
          <cell r="F476">
            <v>63253.260458477198</v>
          </cell>
          <cell r="G476">
            <v>0</v>
          </cell>
          <cell r="H476">
            <v>6325.3260458477198</v>
          </cell>
        </row>
        <row r="477">
          <cell r="A477" t="str">
            <v>1-03-03</v>
          </cell>
          <cell r="C477" t="str">
            <v>Excavación manual en material común seco mayor a 4 m</v>
          </cell>
          <cell r="D477" t="str">
            <v>M3</v>
          </cell>
          <cell r="F477">
            <v>129617</v>
          </cell>
        </row>
        <row r="478">
          <cell r="A478" t="str">
            <v>M. O.</v>
          </cell>
          <cell r="B478" t="str">
            <v>MOB005</v>
          </cell>
          <cell r="C478" t="str">
            <v>Cuadrilla A 1 Of + 4 Ay (jornal + prestaciones)</v>
          </cell>
          <cell r="D478" t="str">
            <v>Día</v>
          </cell>
          <cell r="E478">
            <v>1</v>
          </cell>
          <cell r="F478">
            <v>518468</v>
          </cell>
          <cell r="G478">
            <v>0.2</v>
          </cell>
          <cell r="H478">
            <v>103693.6</v>
          </cell>
        </row>
        <row r="479">
          <cell r="B479" t="str">
            <v>MOB011</v>
          </cell>
          <cell r="C479" t="str">
            <v>Acarreo horizontal</v>
          </cell>
          <cell r="D479" t="str">
            <v>%MO</v>
          </cell>
          <cell r="E479">
            <v>0.05</v>
          </cell>
          <cell r="F479">
            <v>103693.6</v>
          </cell>
          <cell r="G479">
            <v>0</v>
          </cell>
          <cell r="H479">
            <v>5184.68</v>
          </cell>
        </row>
        <row r="480">
          <cell r="A480" t="str">
            <v>EQUIPO</v>
          </cell>
          <cell r="B480" t="str">
            <v>EQU017</v>
          </cell>
          <cell r="C480" t="str">
            <v>Entibado (% mano obra)</v>
          </cell>
          <cell r="D480" t="str">
            <v>%MO</v>
          </cell>
          <cell r="E480">
            <v>0.1</v>
          </cell>
          <cell r="F480">
            <v>103693.6</v>
          </cell>
          <cell r="G480">
            <v>0</v>
          </cell>
          <cell r="H480">
            <v>10369.36</v>
          </cell>
        </row>
        <row r="481">
          <cell r="B481" t="str">
            <v>EQU002</v>
          </cell>
          <cell r="C481" t="str">
            <v>Herramienta menor (% mano obra)</v>
          </cell>
          <cell r="D481" t="str">
            <v>%MO</v>
          </cell>
          <cell r="E481">
            <v>0.1</v>
          </cell>
          <cell r="F481">
            <v>103693.6</v>
          </cell>
          <cell r="G481">
            <v>0</v>
          </cell>
          <cell r="H481">
            <v>10369.36</v>
          </cell>
        </row>
        <row r="482">
          <cell r="A482" t="str">
            <v>1-03-04</v>
          </cell>
          <cell r="C482" t="str">
            <v>Excavación manual en material común bajo agua de 0 - 2 m</v>
          </cell>
          <cell r="D482" t="str">
            <v>M3</v>
          </cell>
          <cell r="F482">
            <v>88876</v>
          </cell>
        </row>
        <row r="483">
          <cell r="A483" t="str">
            <v>M. O.</v>
          </cell>
          <cell r="B483" t="str">
            <v>MOB005</v>
          </cell>
          <cell r="C483" t="str">
            <v>Cuadrilla A 1 Of + 4 Ay (jornal + prestaciones)</v>
          </cell>
          <cell r="D483" t="str">
            <v>Día</v>
          </cell>
          <cell r="E483">
            <v>1</v>
          </cell>
          <cell r="F483">
            <v>518468</v>
          </cell>
          <cell r="G483">
            <v>0.125</v>
          </cell>
          <cell r="H483">
            <v>64808.5</v>
          </cell>
        </row>
        <row r="484">
          <cell r="B484" t="str">
            <v>MOB011</v>
          </cell>
          <cell r="C484" t="str">
            <v>Acarreo horizontal</v>
          </cell>
          <cell r="D484" t="str">
            <v>%MO</v>
          </cell>
          <cell r="E484">
            <v>0.1</v>
          </cell>
          <cell r="F484">
            <v>64808.5</v>
          </cell>
          <cell r="G484">
            <v>0</v>
          </cell>
          <cell r="H484">
            <v>6480.85</v>
          </cell>
        </row>
        <row r="485">
          <cell r="A485" t="str">
            <v>EQUIPO</v>
          </cell>
          <cell r="B485" t="str">
            <v>EQU017</v>
          </cell>
          <cell r="C485" t="str">
            <v>Entibado (% mano obra)</v>
          </cell>
          <cell r="D485" t="str">
            <v>%MO</v>
          </cell>
          <cell r="E485">
            <v>0.1</v>
          </cell>
          <cell r="F485">
            <v>64808.5</v>
          </cell>
          <cell r="G485">
            <v>0</v>
          </cell>
          <cell r="H485">
            <v>6480.85</v>
          </cell>
        </row>
        <row r="486">
          <cell r="B486" t="str">
            <v>EQU002</v>
          </cell>
          <cell r="C486" t="str">
            <v>Herramienta menor (% mano obra)</v>
          </cell>
          <cell r="D486" t="str">
            <v>%MO</v>
          </cell>
          <cell r="E486">
            <v>0.1</v>
          </cell>
          <cell r="F486">
            <v>64808.5</v>
          </cell>
          <cell r="G486">
            <v>0</v>
          </cell>
          <cell r="H486">
            <v>6480.85</v>
          </cell>
        </row>
        <row r="487">
          <cell r="B487" t="str">
            <v>EQU016</v>
          </cell>
          <cell r="C487" t="str">
            <v>Motobomba sumergible 3" con manguera</v>
          </cell>
          <cell r="D487" t="str">
            <v>Día</v>
          </cell>
          <cell r="E487">
            <v>1</v>
          </cell>
          <cell r="F487">
            <v>37000</v>
          </cell>
          <cell r="G487">
            <v>0.125</v>
          </cell>
          <cell r="H487">
            <v>4625</v>
          </cell>
        </row>
        <row r="488">
          <cell r="A488" t="str">
            <v>1-03-05</v>
          </cell>
          <cell r="C488" t="str">
            <v>Excavación manual en material común bajo agua de 2 - 4 m</v>
          </cell>
          <cell r="D488" t="str">
            <v>M3</v>
          </cell>
          <cell r="F488">
            <v>124561</v>
          </cell>
        </row>
        <row r="489">
          <cell r="A489" t="str">
            <v>M. O.</v>
          </cell>
          <cell r="B489" t="str">
            <v>MOB005</v>
          </cell>
          <cell r="C489" t="str">
            <v>Cuadrilla A 1 Of + 4 Ay (jornal + prestaciones)</v>
          </cell>
          <cell r="D489" t="str">
            <v>Día</v>
          </cell>
          <cell r="E489">
            <v>1</v>
          </cell>
          <cell r="F489">
            <v>518468</v>
          </cell>
          <cell r="G489">
            <v>0.18181818181818182</v>
          </cell>
          <cell r="H489">
            <v>94266.909090909088</v>
          </cell>
        </row>
        <row r="490">
          <cell r="B490" t="str">
            <v>MOB011</v>
          </cell>
          <cell r="C490" t="str">
            <v>Acarreo horizontal</v>
          </cell>
          <cell r="D490" t="str">
            <v>%MO</v>
          </cell>
          <cell r="E490">
            <v>0.05</v>
          </cell>
          <cell r="F490">
            <v>94266.909090909088</v>
          </cell>
          <cell r="G490">
            <v>0</v>
          </cell>
          <cell r="H490">
            <v>4713.3454545454542</v>
          </cell>
        </row>
        <row r="491">
          <cell r="A491" t="str">
            <v>EQUIPO</v>
          </cell>
          <cell r="B491" t="str">
            <v>EQU017</v>
          </cell>
          <cell r="C491" t="str">
            <v>Entibado (% mano obra)</v>
          </cell>
          <cell r="D491" t="str">
            <v>%MO</v>
          </cell>
          <cell r="E491">
            <v>0.1</v>
          </cell>
          <cell r="F491">
            <v>94266.909090909088</v>
          </cell>
          <cell r="G491">
            <v>0</v>
          </cell>
          <cell r="H491">
            <v>9426.6909090909085</v>
          </cell>
        </row>
        <row r="492">
          <cell r="B492" t="str">
            <v>EQU002</v>
          </cell>
          <cell r="C492" t="str">
            <v>Herramienta menor (% mano obra)</v>
          </cell>
          <cell r="D492" t="str">
            <v>%MO</v>
          </cell>
          <cell r="E492">
            <v>0.1</v>
          </cell>
          <cell r="F492">
            <v>94266.909090909088</v>
          </cell>
          <cell r="G492">
            <v>0</v>
          </cell>
          <cell r="H492">
            <v>9426.6909090909085</v>
          </cell>
        </row>
        <row r="493">
          <cell r="B493" t="str">
            <v>EQU016</v>
          </cell>
          <cell r="C493" t="str">
            <v>Motobomba sumergible 3" con manguera</v>
          </cell>
          <cell r="D493" t="str">
            <v>Día</v>
          </cell>
          <cell r="E493">
            <v>1</v>
          </cell>
          <cell r="F493">
            <v>37000</v>
          </cell>
          <cell r="G493">
            <v>0.18181818181818182</v>
          </cell>
          <cell r="H493">
            <v>6727.272727272727</v>
          </cell>
        </row>
        <row r="494">
          <cell r="A494" t="str">
            <v>1-03-06</v>
          </cell>
          <cell r="C494" t="str">
            <v>Excavación manual en material común bajo agua mayor a 4 m</v>
          </cell>
          <cell r="D494" t="str">
            <v>M3</v>
          </cell>
          <cell r="F494">
            <v>171271</v>
          </cell>
        </row>
        <row r="495">
          <cell r="A495" t="str">
            <v>M. O.</v>
          </cell>
          <cell r="B495" t="str">
            <v>MOB005</v>
          </cell>
          <cell r="C495" t="str">
            <v>Cuadrilla A 1 Of + 4 Ay (jornal + prestaciones)</v>
          </cell>
          <cell r="D495" t="str">
            <v>Día</v>
          </cell>
          <cell r="E495">
            <v>1</v>
          </cell>
          <cell r="F495">
            <v>518468</v>
          </cell>
          <cell r="G495">
            <v>0.25</v>
          </cell>
          <cell r="H495">
            <v>129617</v>
          </cell>
        </row>
        <row r="496">
          <cell r="B496" t="str">
            <v>MOB011</v>
          </cell>
          <cell r="C496" t="str">
            <v>Acarreo horizontal</v>
          </cell>
          <cell r="D496" t="str">
            <v>%MO</v>
          </cell>
          <cell r="E496">
            <v>0.05</v>
          </cell>
          <cell r="F496">
            <v>129617</v>
          </cell>
          <cell r="G496">
            <v>0</v>
          </cell>
          <cell r="H496">
            <v>6480.85</v>
          </cell>
        </row>
        <row r="497">
          <cell r="A497" t="str">
            <v>EQUIPO</v>
          </cell>
          <cell r="B497" t="str">
            <v>EQU017</v>
          </cell>
          <cell r="C497" t="str">
            <v>Entibado (% mano obra)</v>
          </cell>
          <cell r="D497" t="str">
            <v>%MO</v>
          </cell>
          <cell r="E497">
            <v>0.1</v>
          </cell>
          <cell r="F497">
            <v>129617</v>
          </cell>
          <cell r="G497">
            <v>0</v>
          </cell>
          <cell r="H497">
            <v>12961.7</v>
          </cell>
        </row>
        <row r="498">
          <cell r="B498" t="str">
            <v>EQU002</v>
          </cell>
          <cell r="C498" t="str">
            <v>Herramienta menor (% mano obra)</v>
          </cell>
          <cell r="D498" t="str">
            <v>%MO</v>
          </cell>
          <cell r="E498">
            <v>0.1</v>
          </cell>
          <cell r="F498">
            <v>129617</v>
          </cell>
          <cell r="G498">
            <v>0</v>
          </cell>
          <cell r="H498">
            <v>12961.7</v>
          </cell>
        </row>
        <row r="499">
          <cell r="B499" t="str">
            <v>EQU016</v>
          </cell>
          <cell r="C499" t="str">
            <v>Motobomba sumergible 3" con manguera</v>
          </cell>
          <cell r="D499" t="str">
            <v>Día</v>
          </cell>
          <cell r="E499">
            <v>1</v>
          </cell>
          <cell r="F499">
            <v>37000</v>
          </cell>
          <cell r="G499">
            <v>0.25</v>
          </cell>
          <cell r="H499">
            <v>9250</v>
          </cell>
        </row>
        <row r="500">
          <cell r="A500" t="str">
            <v>1-03-07</v>
          </cell>
          <cell r="C500" t="str">
            <v>Excavación manual en conglomerado seco de 0 - 2 m</v>
          </cell>
          <cell r="D500" t="str">
            <v>M3</v>
          </cell>
          <cell r="F500">
            <v>77770</v>
          </cell>
        </row>
        <row r="501">
          <cell r="A501" t="str">
            <v>M. O.</v>
          </cell>
          <cell r="B501" t="str">
            <v>MOB005</v>
          </cell>
          <cell r="C501" t="str">
            <v>Cuadrilla A 1 Of + 4 Ay (jornal + prestaciones)</v>
          </cell>
          <cell r="D501" t="str">
            <v>Día</v>
          </cell>
          <cell r="E501">
            <v>1</v>
          </cell>
          <cell r="F501">
            <v>518468</v>
          </cell>
          <cell r="G501">
            <v>0.125</v>
          </cell>
          <cell r="H501">
            <v>64808.5</v>
          </cell>
        </row>
        <row r="502">
          <cell r="B502" t="str">
            <v>MOB011</v>
          </cell>
          <cell r="C502" t="str">
            <v>Acarreo horizontal</v>
          </cell>
          <cell r="D502" t="str">
            <v>%MO</v>
          </cell>
          <cell r="E502">
            <v>0.1</v>
          </cell>
          <cell r="F502">
            <v>64808.5</v>
          </cell>
          <cell r="G502">
            <v>0</v>
          </cell>
          <cell r="H502">
            <v>6480.85</v>
          </cell>
        </row>
        <row r="503">
          <cell r="A503" t="str">
            <v>EQUIPO</v>
          </cell>
          <cell r="B503" t="str">
            <v>EQU002</v>
          </cell>
          <cell r="C503" t="str">
            <v>Herramienta menor (% mano obra)</v>
          </cell>
          <cell r="D503" t="str">
            <v>%MO</v>
          </cell>
          <cell r="E503">
            <v>0.1</v>
          </cell>
          <cell r="F503">
            <v>64808.5</v>
          </cell>
          <cell r="G503">
            <v>0</v>
          </cell>
          <cell r="H503">
            <v>6480.85</v>
          </cell>
        </row>
        <row r="504">
          <cell r="A504" t="str">
            <v>1-03-08</v>
          </cell>
          <cell r="C504" t="str">
            <v>Excavación manual en conglomerado seco de 2 - 4 m</v>
          </cell>
          <cell r="D504" t="str">
            <v>M3</v>
          </cell>
          <cell r="F504">
            <v>92584</v>
          </cell>
        </row>
        <row r="505">
          <cell r="A505" t="str">
            <v>M. O.</v>
          </cell>
          <cell r="B505" t="str">
            <v>MOB005</v>
          </cell>
          <cell r="C505" t="str">
            <v>Cuadrilla A 1 Of + 4 Ay (jornal + prestaciones)</v>
          </cell>
          <cell r="D505" t="str">
            <v>Día</v>
          </cell>
          <cell r="E505">
            <v>1</v>
          </cell>
          <cell r="F505">
            <v>518468</v>
          </cell>
          <cell r="G505">
            <v>0.14285714285714285</v>
          </cell>
          <cell r="H505">
            <v>74066.857142857145</v>
          </cell>
        </row>
        <row r="506">
          <cell r="B506" t="str">
            <v>MOB011</v>
          </cell>
          <cell r="C506" t="str">
            <v>Acarreo horizontal</v>
          </cell>
          <cell r="D506" t="str">
            <v>%MO</v>
          </cell>
          <cell r="E506">
            <v>0.05</v>
          </cell>
          <cell r="F506">
            <v>74066.857142857145</v>
          </cell>
          <cell r="G506">
            <v>0</v>
          </cell>
          <cell r="H506">
            <v>3703.3428571428576</v>
          </cell>
        </row>
        <row r="507">
          <cell r="A507" t="str">
            <v>EQUIPO</v>
          </cell>
          <cell r="B507" t="str">
            <v>EQU017</v>
          </cell>
          <cell r="C507" t="str">
            <v>Entibado (% mano obra)</v>
          </cell>
          <cell r="D507" t="str">
            <v>%MO</v>
          </cell>
          <cell r="E507">
            <v>0.1</v>
          </cell>
          <cell r="F507">
            <v>74066.857142857145</v>
          </cell>
          <cell r="G507">
            <v>0</v>
          </cell>
          <cell r="H507">
            <v>7406.6857142857152</v>
          </cell>
        </row>
        <row r="508">
          <cell r="B508" t="str">
            <v>EQU002</v>
          </cell>
          <cell r="C508" t="str">
            <v>Herramienta menor (% mano obra)</v>
          </cell>
          <cell r="D508" t="str">
            <v>%MO</v>
          </cell>
          <cell r="E508">
            <v>0.1</v>
          </cell>
          <cell r="F508">
            <v>74066.857142857145</v>
          </cell>
          <cell r="G508">
            <v>0</v>
          </cell>
          <cell r="H508">
            <v>7406.6857142857152</v>
          </cell>
        </row>
        <row r="509">
          <cell r="A509" t="str">
            <v>1-03-09</v>
          </cell>
          <cell r="C509" t="str">
            <v>Excavación manual en conglomerado seco mayor a 4 m</v>
          </cell>
          <cell r="D509" t="str">
            <v>M3</v>
          </cell>
          <cell r="F509">
            <v>162021</v>
          </cell>
        </row>
        <row r="510">
          <cell r="A510" t="str">
            <v>M. O.</v>
          </cell>
          <cell r="B510" t="str">
            <v>MOB005</v>
          </cell>
          <cell r="C510" t="str">
            <v>Cuadrilla A 1 Of + 4 Ay (jornal + prestaciones)</v>
          </cell>
          <cell r="D510" t="str">
            <v>Día</v>
          </cell>
          <cell r="E510">
            <v>1</v>
          </cell>
          <cell r="F510">
            <v>518468</v>
          </cell>
          <cell r="G510">
            <v>0.25</v>
          </cell>
          <cell r="H510">
            <v>129617</v>
          </cell>
        </row>
        <row r="511">
          <cell r="B511" t="str">
            <v>MOB011</v>
          </cell>
          <cell r="C511" t="str">
            <v>Acarreo horizontal</v>
          </cell>
          <cell r="D511" t="str">
            <v>%MO</v>
          </cell>
          <cell r="E511">
            <v>0.05</v>
          </cell>
          <cell r="F511">
            <v>129617</v>
          </cell>
          <cell r="G511">
            <v>0</v>
          </cell>
          <cell r="H511">
            <v>6480.85</v>
          </cell>
        </row>
        <row r="512">
          <cell r="A512" t="str">
            <v>EQUIPO</v>
          </cell>
          <cell r="B512" t="str">
            <v>EQU017</v>
          </cell>
          <cell r="C512" t="str">
            <v>Entibado (% mano obra)</v>
          </cell>
          <cell r="D512" t="str">
            <v>%MO</v>
          </cell>
          <cell r="E512">
            <v>0.1</v>
          </cell>
          <cell r="F512">
            <v>129617</v>
          </cell>
          <cell r="G512">
            <v>0</v>
          </cell>
          <cell r="H512">
            <v>12961.7</v>
          </cell>
        </row>
        <row r="513">
          <cell r="B513" t="str">
            <v>EQU002</v>
          </cell>
          <cell r="C513" t="str">
            <v>Herramienta menor (% mano obra)</v>
          </cell>
          <cell r="D513" t="str">
            <v>%MO</v>
          </cell>
          <cell r="E513">
            <v>0.1</v>
          </cell>
          <cell r="F513">
            <v>129617</v>
          </cell>
          <cell r="G513">
            <v>0</v>
          </cell>
          <cell r="H513">
            <v>12961.7</v>
          </cell>
        </row>
        <row r="514">
          <cell r="A514" t="str">
            <v>1-03-10</v>
          </cell>
          <cell r="C514" t="str">
            <v>Excavación manual en conglomerado bajo agua de 0 - 2 m</v>
          </cell>
          <cell r="D514" t="str">
            <v>M3</v>
          </cell>
          <cell r="F514">
            <v>114181</v>
          </cell>
        </row>
        <row r="515">
          <cell r="A515" t="str">
            <v>M. O.</v>
          </cell>
          <cell r="B515" t="str">
            <v>MOB005</v>
          </cell>
          <cell r="C515" t="str">
            <v>Cuadrilla A 1 Of + 4 Ay (jornal + prestaciones)</v>
          </cell>
          <cell r="D515" t="str">
            <v>Día</v>
          </cell>
          <cell r="E515">
            <v>1</v>
          </cell>
          <cell r="F515">
            <v>518468</v>
          </cell>
          <cell r="G515">
            <v>0.16666666666666666</v>
          </cell>
          <cell r="H515">
            <v>86411.333333333328</v>
          </cell>
        </row>
        <row r="516">
          <cell r="B516" t="str">
            <v>MOB011</v>
          </cell>
          <cell r="C516" t="str">
            <v>Acarreo horizontal</v>
          </cell>
          <cell r="D516" t="str">
            <v>%MO</v>
          </cell>
          <cell r="E516">
            <v>0.05</v>
          </cell>
          <cell r="F516">
            <v>86411.333333333328</v>
          </cell>
          <cell r="G516">
            <v>0</v>
          </cell>
          <cell r="H516">
            <v>4320.5666666666666</v>
          </cell>
        </row>
        <row r="517">
          <cell r="A517" t="str">
            <v>EQUIPO</v>
          </cell>
          <cell r="B517" t="str">
            <v>EQU017</v>
          </cell>
          <cell r="C517" t="str">
            <v>Entibado (% mano obra)</v>
          </cell>
          <cell r="D517" t="str">
            <v>%MO</v>
          </cell>
          <cell r="E517">
            <v>0.1</v>
          </cell>
          <cell r="F517">
            <v>86411.333333333328</v>
          </cell>
          <cell r="G517">
            <v>0</v>
          </cell>
          <cell r="H517">
            <v>8641.1333333333332</v>
          </cell>
        </row>
        <row r="518">
          <cell r="B518" t="str">
            <v>EQU002</v>
          </cell>
          <cell r="C518" t="str">
            <v>Herramienta menor (% mano obra)</v>
          </cell>
          <cell r="D518" t="str">
            <v>%MO</v>
          </cell>
          <cell r="E518">
            <v>0.1</v>
          </cell>
          <cell r="F518">
            <v>86411.333333333328</v>
          </cell>
          <cell r="G518">
            <v>0</v>
          </cell>
          <cell r="H518">
            <v>8641.1333333333332</v>
          </cell>
        </row>
        <row r="519">
          <cell r="B519" t="str">
            <v>EQU016</v>
          </cell>
          <cell r="C519" t="str">
            <v>Motobomba sumergible 3" con manguera</v>
          </cell>
          <cell r="D519" t="str">
            <v>Día</v>
          </cell>
          <cell r="E519">
            <v>1</v>
          </cell>
          <cell r="F519">
            <v>37000</v>
          </cell>
          <cell r="G519">
            <v>0.16666666666666666</v>
          </cell>
          <cell r="H519">
            <v>6166.6666666666661</v>
          </cell>
        </row>
        <row r="520">
          <cell r="A520" t="str">
            <v>1-03-11</v>
          </cell>
          <cell r="C520" t="str">
            <v>Excavación manual en conglomerado bajo agua de 2 - 4 m</v>
          </cell>
          <cell r="D520" t="str">
            <v>M3</v>
          </cell>
          <cell r="F520">
            <v>137017</v>
          </cell>
        </row>
        <row r="521">
          <cell r="A521" t="str">
            <v>M. O.</v>
          </cell>
          <cell r="B521" t="str">
            <v>MOB005</v>
          </cell>
          <cell r="C521" t="str">
            <v>Cuadrilla A 1 Of + 4 Ay (jornal + prestaciones)</v>
          </cell>
          <cell r="D521" t="str">
            <v>Día</v>
          </cell>
          <cell r="E521">
            <v>1</v>
          </cell>
          <cell r="F521">
            <v>518468</v>
          </cell>
          <cell r="G521">
            <v>0.2</v>
          </cell>
          <cell r="H521">
            <v>103693.6</v>
          </cell>
        </row>
        <row r="522">
          <cell r="B522" t="str">
            <v>MOB011</v>
          </cell>
          <cell r="C522" t="str">
            <v>Acarreo horizontal</v>
          </cell>
          <cell r="D522" t="str">
            <v>%MO</v>
          </cell>
          <cell r="E522">
            <v>0.05</v>
          </cell>
          <cell r="F522">
            <v>103693.6</v>
          </cell>
          <cell r="G522">
            <v>0</v>
          </cell>
          <cell r="H522">
            <v>5184.68</v>
          </cell>
        </row>
        <row r="523">
          <cell r="A523" t="str">
            <v>EQUIPO</v>
          </cell>
          <cell r="B523" t="str">
            <v>EQU017</v>
          </cell>
          <cell r="C523" t="str">
            <v>Entibado (% mano obra)</v>
          </cell>
          <cell r="D523" t="str">
            <v>%MO</v>
          </cell>
          <cell r="E523">
            <v>0.1</v>
          </cell>
          <cell r="F523">
            <v>103693.6</v>
          </cell>
          <cell r="G523">
            <v>0</v>
          </cell>
          <cell r="H523">
            <v>10369.36</v>
          </cell>
        </row>
        <row r="524">
          <cell r="B524" t="str">
            <v>EQU002</v>
          </cell>
          <cell r="C524" t="str">
            <v>Herramienta menor (% mano obra)</v>
          </cell>
          <cell r="D524" t="str">
            <v>%MO</v>
          </cell>
          <cell r="E524">
            <v>0.1</v>
          </cell>
          <cell r="F524">
            <v>103693.6</v>
          </cell>
          <cell r="G524">
            <v>0</v>
          </cell>
          <cell r="H524">
            <v>10369.36</v>
          </cell>
        </row>
        <row r="525">
          <cell r="B525" t="str">
            <v>EQU016</v>
          </cell>
          <cell r="C525" t="str">
            <v>Motobomba sumergible 3" con manguera</v>
          </cell>
          <cell r="D525" t="str">
            <v>Día</v>
          </cell>
          <cell r="E525">
            <v>1</v>
          </cell>
          <cell r="F525">
            <v>37000</v>
          </cell>
          <cell r="G525">
            <v>0.2</v>
          </cell>
          <cell r="H525">
            <v>7400</v>
          </cell>
        </row>
        <row r="526">
          <cell r="A526" t="str">
            <v>1-03-12</v>
          </cell>
          <cell r="C526" t="str">
            <v>Excavación manual en conglomerado bajo agua mayor a 4 m</v>
          </cell>
          <cell r="D526" t="str">
            <v>M3</v>
          </cell>
          <cell r="F526">
            <v>171271</v>
          </cell>
        </row>
        <row r="527">
          <cell r="A527" t="str">
            <v>M. O.</v>
          </cell>
          <cell r="B527" t="str">
            <v>MOB005</v>
          </cell>
          <cell r="C527" t="str">
            <v>Cuadrilla A 1 Of + 4 Ay (jornal + prestaciones)</v>
          </cell>
          <cell r="D527" t="str">
            <v>Día</v>
          </cell>
          <cell r="E527">
            <v>1</v>
          </cell>
          <cell r="F527">
            <v>518468</v>
          </cell>
          <cell r="G527">
            <v>0.25</v>
          </cell>
          <cell r="H527">
            <v>129617</v>
          </cell>
        </row>
        <row r="528">
          <cell r="B528" t="str">
            <v>MOB011</v>
          </cell>
          <cell r="C528" t="str">
            <v>Acarreo horizontal</v>
          </cell>
          <cell r="D528" t="str">
            <v>%MO</v>
          </cell>
          <cell r="E528">
            <v>0.05</v>
          </cell>
          <cell r="F528">
            <v>129617</v>
          </cell>
          <cell r="G528">
            <v>0</v>
          </cell>
          <cell r="H528">
            <v>6480.85</v>
          </cell>
        </row>
        <row r="529">
          <cell r="A529" t="str">
            <v>EQUIPO</v>
          </cell>
          <cell r="B529" t="str">
            <v>EQU017</v>
          </cell>
          <cell r="C529" t="str">
            <v>Entibado (% mano obra)</v>
          </cell>
          <cell r="D529" t="str">
            <v>%MO</v>
          </cell>
          <cell r="E529">
            <v>0.1</v>
          </cell>
          <cell r="F529">
            <v>129617</v>
          </cell>
          <cell r="G529">
            <v>0</v>
          </cell>
          <cell r="H529">
            <v>12961.7</v>
          </cell>
        </row>
        <row r="530">
          <cell r="B530" t="str">
            <v>EQU002</v>
          </cell>
          <cell r="C530" t="str">
            <v>Herramienta menor (% mano obra)</v>
          </cell>
          <cell r="D530" t="str">
            <v>%MO</v>
          </cell>
          <cell r="E530">
            <v>0.1</v>
          </cell>
          <cell r="F530">
            <v>129617</v>
          </cell>
          <cell r="G530">
            <v>0</v>
          </cell>
          <cell r="H530">
            <v>12961.7</v>
          </cell>
        </row>
        <row r="531">
          <cell r="B531" t="str">
            <v>EQU016</v>
          </cell>
          <cell r="C531" t="str">
            <v>Motobomba sumergible 3" con manguera</v>
          </cell>
          <cell r="D531" t="str">
            <v>Día</v>
          </cell>
          <cell r="E531">
            <v>1</v>
          </cell>
          <cell r="F531">
            <v>37000</v>
          </cell>
          <cell r="G531">
            <v>0.25</v>
          </cell>
          <cell r="H531">
            <v>9250</v>
          </cell>
        </row>
        <row r="532">
          <cell r="A532" t="str">
            <v>1-03-13</v>
          </cell>
          <cell r="C532" t="str">
            <v>Excavación manual para conformación de taludes en material común</v>
          </cell>
          <cell r="D532" t="str">
            <v>M3</v>
          </cell>
          <cell r="F532">
            <v>67401</v>
          </cell>
        </row>
        <row r="533">
          <cell r="A533" t="str">
            <v>M. O.</v>
          </cell>
          <cell r="B533" t="str">
            <v>MOB005</v>
          </cell>
          <cell r="C533" t="str">
            <v>Cuadrilla A 1 Of + 4 Ay (jornal + prestaciones)</v>
          </cell>
          <cell r="D533" t="str">
            <v>Día</v>
          </cell>
          <cell r="E533">
            <v>1</v>
          </cell>
          <cell r="F533">
            <v>518468</v>
          </cell>
          <cell r="G533">
            <v>0.1</v>
          </cell>
          <cell r="H533">
            <v>51846.8</v>
          </cell>
        </row>
        <row r="534">
          <cell r="B534" t="str">
            <v>MOB011</v>
          </cell>
          <cell r="C534" t="str">
            <v>Acarreo horizontal</v>
          </cell>
          <cell r="D534" t="str">
            <v>%MO</v>
          </cell>
          <cell r="E534">
            <v>0.1</v>
          </cell>
          <cell r="F534">
            <v>51846.8</v>
          </cell>
          <cell r="G534">
            <v>0</v>
          </cell>
          <cell r="H534">
            <v>5184.68</v>
          </cell>
        </row>
        <row r="535">
          <cell r="A535" t="str">
            <v>EQUIPO</v>
          </cell>
          <cell r="B535" t="str">
            <v>EQU001</v>
          </cell>
          <cell r="C535" t="str">
            <v>Control de aguas</v>
          </cell>
          <cell r="D535" t="str">
            <v>%MO</v>
          </cell>
          <cell r="E535">
            <v>0.1</v>
          </cell>
          <cell r="F535">
            <v>51846.8</v>
          </cell>
          <cell r="G535">
            <v>0</v>
          </cell>
          <cell r="H535">
            <v>5184.68</v>
          </cell>
        </row>
        <row r="536">
          <cell r="B536" t="str">
            <v>EQU002</v>
          </cell>
          <cell r="C536" t="str">
            <v>Herramienta menor (% mano obra)</v>
          </cell>
          <cell r="D536" t="str">
            <v>%MO</v>
          </cell>
          <cell r="E536">
            <v>0.1</v>
          </cell>
          <cell r="F536">
            <v>51846.8</v>
          </cell>
          <cell r="G536">
            <v>0</v>
          </cell>
          <cell r="H536">
            <v>5184.68</v>
          </cell>
        </row>
        <row r="537">
          <cell r="A537" t="str">
            <v>1-03-14</v>
          </cell>
          <cell r="C537" t="str">
            <v>Excavación manual para conformación de taludes en conglomerado</v>
          </cell>
          <cell r="D537" t="str">
            <v>M3</v>
          </cell>
          <cell r="F537">
            <v>96287</v>
          </cell>
        </row>
        <row r="538">
          <cell r="A538" t="str">
            <v>M. O.</v>
          </cell>
          <cell r="B538" t="str">
            <v>MOB005</v>
          </cell>
          <cell r="C538" t="str">
            <v>Cuadrilla A 1 Of + 4 Ay (jornal + prestaciones)</v>
          </cell>
          <cell r="D538" t="str">
            <v>Día</v>
          </cell>
          <cell r="E538">
            <v>1</v>
          </cell>
          <cell r="F538">
            <v>518468</v>
          </cell>
          <cell r="G538">
            <v>0.14285714285714285</v>
          </cell>
          <cell r="H538">
            <v>74066.857142857145</v>
          </cell>
        </row>
        <row r="539">
          <cell r="B539" t="str">
            <v>MOB011</v>
          </cell>
          <cell r="C539" t="str">
            <v>Acarreo horizontal</v>
          </cell>
          <cell r="D539" t="str">
            <v>%MO</v>
          </cell>
          <cell r="E539">
            <v>0.1</v>
          </cell>
          <cell r="F539">
            <v>74066.857142857145</v>
          </cell>
          <cell r="G539">
            <v>0</v>
          </cell>
          <cell r="H539">
            <v>7406.6857142857152</v>
          </cell>
        </row>
        <row r="540">
          <cell r="A540" t="str">
            <v>EQUIPO</v>
          </cell>
          <cell r="B540" t="str">
            <v>EQU001</v>
          </cell>
          <cell r="C540" t="str">
            <v>Control de aguas</v>
          </cell>
          <cell r="D540" t="str">
            <v>%MO</v>
          </cell>
          <cell r="E540">
            <v>0.1</v>
          </cell>
          <cell r="F540">
            <v>74066.857142857145</v>
          </cell>
          <cell r="G540">
            <v>0</v>
          </cell>
          <cell r="H540">
            <v>7406.6857142857152</v>
          </cell>
        </row>
        <row r="541">
          <cell r="B541" t="str">
            <v>EQU002</v>
          </cell>
          <cell r="C541" t="str">
            <v>Herramienta menor (% mano obra)</v>
          </cell>
          <cell r="D541" t="str">
            <v>%MO</v>
          </cell>
          <cell r="E541">
            <v>0.1</v>
          </cell>
          <cell r="F541">
            <v>74066.857142857145</v>
          </cell>
          <cell r="G541">
            <v>0</v>
          </cell>
          <cell r="H541">
            <v>7406.6857142857152</v>
          </cell>
        </row>
        <row r="542">
          <cell r="A542" t="str">
            <v>1-03-15</v>
          </cell>
          <cell r="C542" t="str">
            <v>Excavación manual en material común abierto</v>
          </cell>
          <cell r="D542" t="str">
            <v>M3</v>
          </cell>
          <cell r="F542">
            <v>51847</v>
          </cell>
        </row>
        <row r="543">
          <cell r="A543" t="str">
            <v>M. O.</v>
          </cell>
          <cell r="B543" t="str">
            <v>MOB005</v>
          </cell>
          <cell r="C543" t="str">
            <v>Cuadrilla A 1 Of + 4 Ay (jornal + prestaciones)</v>
          </cell>
          <cell r="D543" t="str">
            <v>Día</v>
          </cell>
          <cell r="E543">
            <v>1</v>
          </cell>
          <cell r="F543">
            <v>518468</v>
          </cell>
          <cell r="G543">
            <v>8.3333333333333329E-2</v>
          </cell>
          <cell r="H543">
            <v>43205.666666666664</v>
          </cell>
        </row>
        <row r="544">
          <cell r="B544" t="str">
            <v>MOB011</v>
          </cell>
          <cell r="C544" t="str">
            <v>Acarreo horizontal</v>
          </cell>
          <cell r="D544" t="str">
            <v>%MO</v>
          </cell>
          <cell r="E544">
            <v>0.1</v>
          </cell>
          <cell r="F544">
            <v>43205.666666666664</v>
          </cell>
          <cell r="G544">
            <v>0</v>
          </cell>
          <cell r="H544">
            <v>4320.5666666666666</v>
          </cell>
        </row>
        <row r="545">
          <cell r="A545" t="str">
            <v>EQUIPO</v>
          </cell>
          <cell r="B545" t="str">
            <v>EQU002</v>
          </cell>
          <cell r="C545" t="str">
            <v>Herramienta menor (% mano obra)</v>
          </cell>
          <cell r="D545" t="str">
            <v>%MO</v>
          </cell>
          <cell r="E545">
            <v>0.1</v>
          </cell>
          <cell r="F545">
            <v>43205.666666666664</v>
          </cell>
          <cell r="G545">
            <v>0</v>
          </cell>
          <cell r="H545">
            <v>4320.5666666666666</v>
          </cell>
        </row>
        <row r="546">
          <cell r="A546" t="str">
            <v>1-03-16</v>
          </cell>
          <cell r="C546" t="str">
            <v>Excavación manual en conglomerado abierto</v>
          </cell>
          <cell r="D546" t="str">
            <v>M3</v>
          </cell>
          <cell r="F546">
            <v>69129</v>
          </cell>
        </row>
        <row r="547">
          <cell r="A547" t="str">
            <v>M. O.</v>
          </cell>
          <cell r="B547" t="str">
            <v>MOB005</v>
          </cell>
          <cell r="C547" t="str">
            <v>Cuadrilla A 1 Of + 4 Ay (jornal + prestaciones)</v>
          </cell>
          <cell r="D547" t="str">
            <v>Día</v>
          </cell>
          <cell r="E547">
            <v>1</v>
          </cell>
          <cell r="F547">
            <v>518468</v>
          </cell>
          <cell r="G547">
            <v>0.1111111111111111</v>
          </cell>
          <cell r="H547">
            <v>57607.555555555555</v>
          </cell>
        </row>
        <row r="548">
          <cell r="B548" t="str">
            <v>MOB011</v>
          </cell>
          <cell r="C548" t="str">
            <v>Acarreo horizontal</v>
          </cell>
          <cell r="D548" t="str">
            <v>%MO</v>
          </cell>
          <cell r="E548">
            <v>0.1</v>
          </cell>
          <cell r="F548">
            <v>57607.555555555555</v>
          </cell>
          <cell r="G548">
            <v>0</v>
          </cell>
          <cell r="H548">
            <v>5760.7555555555555</v>
          </cell>
        </row>
        <row r="549">
          <cell r="A549" t="str">
            <v>EQUIPO</v>
          </cell>
          <cell r="B549" t="str">
            <v>EQU002</v>
          </cell>
          <cell r="C549" t="str">
            <v>Herramienta menor (% mano obra)</v>
          </cell>
          <cell r="D549" t="str">
            <v>%MO</v>
          </cell>
          <cell r="E549">
            <v>0.1</v>
          </cell>
          <cell r="F549">
            <v>57607.555555555555</v>
          </cell>
          <cell r="G549">
            <v>0</v>
          </cell>
          <cell r="H549">
            <v>5760.7555555555555</v>
          </cell>
        </row>
        <row r="550">
          <cell r="A550" t="str">
            <v>1-03-17</v>
          </cell>
          <cell r="C550" t="str">
            <v>Excavación mecánica en material común</v>
          </cell>
          <cell r="D550" t="str">
            <v>M3</v>
          </cell>
          <cell r="F550">
            <v>6428</v>
          </cell>
        </row>
        <row r="551">
          <cell r="A551" t="str">
            <v>M. O.</v>
          </cell>
          <cell r="B551" t="str">
            <v>MOB003</v>
          </cell>
          <cell r="C551" t="str">
            <v>Ayudante (jornal + prestaciones)</v>
          </cell>
          <cell r="D551" t="str">
            <v>Día</v>
          </cell>
          <cell r="E551">
            <v>1</v>
          </cell>
          <cell r="F551">
            <v>89391</v>
          </cell>
          <cell r="G551">
            <v>1.4285714285714286E-3</v>
          </cell>
          <cell r="H551">
            <v>127.70142857142856</v>
          </cell>
        </row>
        <row r="552">
          <cell r="A552" t="str">
            <v>EQUIPO</v>
          </cell>
          <cell r="B552" t="str">
            <v>EQU024</v>
          </cell>
          <cell r="C552" t="str">
            <v>Retroexcavadora de orugas capacidad 0,9 m3</v>
          </cell>
          <cell r="D552" t="str">
            <v>Hr</v>
          </cell>
          <cell r="E552">
            <v>1</v>
          </cell>
          <cell r="F552">
            <v>180000</v>
          </cell>
          <cell r="G552">
            <v>3.5000035000034999E-2</v>
          </cell>
          <cell r="H552">
            <v>6300.0063000063001</v>
          </cell>
        </row>
        <row r="553">
          <cell r="A553" t="str">
            <v>1-03-18</v>
          </cell>
          <cell r="C553" t="str">
            <v>Restitución con afirmado y cemento 5 % del peso</v>
          </cell>
          <cell r="D553" t="str">
            <v>M3</v>
          </cell>
          <cell r="F553">
            <v>247455</v>
          </cell>
        </row>
        <row r="554">
          <cell r="A554" t="str">
            <v>MAT</v>
          </cell>
          <cell r="B554" t="str">
            <v>MAT,026</v>
          </cell>
          <cell r="C554" t="str">
            <v>Afirmado</v>
          </cell>
          <cell r="D554" t="str">
            <v>M3</v>
          </cell>
          <cell r="E554">
            <v>1</v>
          </cell>
          <cell r="F554">
            <v>56610</v>
          </cell>
          <cell r="G554">
            <v>1.3</v>
          </cell>
          <cell r="H554">
            <v>73593</v>
          </cell>
        </row>
        <row r="555">
          <cell r="B555" t="str">
            <v>MAT,027</v>
          </cell>
          <cell r="C555" t="str">
            <v xml:space="preserve">Agua </v>
          </cell>
          <cell r="D555" t="str">
            <v>Lt</v>
          </cell>
          <cell r="E555">
            <v>30</v>
          </cell>
          <cell r="F555">
            <v>19</v>
          </cell>
          <cell r="G555">
            <v>0</v>
          </cell>
          <cell r="H555">
            <v>570</v>
          </cell>
        </row>
        <row r="556">
          <cell r="B556" t="str">
            <v>MAT,068</v>
          </cell>
          <cell r="C556" t="str">
            <v>Cemento gris saco por 50 kilos</v>
          </cell>
          <cell r="D556" t="str">
            <v>Sc</v>
          </cell>
          <cell r="E556">
            <v>2</v>
          </cell>
          <cell r="F556">
            <v>31900</v>
          </cell>
          <cell r="G556">
            <v>1.05</v>
          </cell>
          <cell r="H556">
            <v>66990</v>
          </cell>
        </row>
        <row r="557">
          <cell r="A557" t="str">
            <v>M. O.</v>
          </cell>
          <cell r="B557" t="str">
            <v>MOB013</v>
          </cell>
          <cell r="C557" t="str">
            <v>Cuadrilla C 1 Of + 7 Ay (jornal + prestaciones)</v>
          </cell>
          <cell r="D557" t="str">
            <v>Día</v>
          </cell>
          <cell r="E557">
            <v>1</v>
          </cell>
          <cell r="F557">
            <v>786641</v>
          </cell>
          <cell r="G557">
            <v>0.1</v>
          </cell>
          <cell r="H557">
            <v>78664.100000000006</v>
          </cell>
        </row>
        <row r="558">
          <cell r="B558" t="str">
            <v>MOB011</v>
          </cell>
          <cell r="C558" t="str">
            <v>Acarreo horizontal</v>
          </cell>
          <cell r="D558" t="str">
            <v>%MO</v>
          </cell>
          <cell r="E558">
            <v>0.1</v>
          </cell>
          <cell r="F558">
            <v>78664.100000000006</v>
          </cell>
          <cell r="G558">
            <v>0</v>
          </cell>
          <cell r="H558">
            <v>7866.4100000000008</v>
          </cell>
        </row>
        <row r="559">
          <cell r="A559" t="str">
            <v>EQUIPO</v>
          </cell>
          <cell r="B559" t="str">
            <v>EQU003</v>
          </cell>
          <cell r="C559" t="str">
            <v>Concretadora gasolina  de 1 o 1 1/2 sacos</v>
          </cell>
          <cell r="D559" t="str">
            <v>Día</v>
          </cell>
          <cell r="E559">
            <v>1</v>
          </cell>
          <cell r="F559">
            <v>37800</v>
          </cell>
          <cell r="G559">
            <v>0.1</v>
          </cell>
          <cell r="H559">
            <v>3780</v>
          </cell>
        </row>
        <row r="560">
          <cell r="B560" t="str">
            <v>EQU002</v>
          </cell>
          <cell r="C560" t="str">
            <v>Herramienta menor (% mano obra)</v>
          </cell>
          <cell r="D560" t="str">
            <v>%MO</v>
          </cell>
          <cell r="E560">
            <v>0.1</v>
          </cell>
          <cell r="F560">
            <v>78664.100000000006</v>
          </cell>
          <cell r="G560">
            <v>0</v>
          </cell>
          <cell r="H560">
            <v>7866.4100000000008</v>
          </cell>
        </row>
        <row r="561">
          <cell r="B561" t="str">
            <v>EQU012</v>
          </cell>
          <cell r="C561" t="str">
            <v>Vibrocompactador manual</v>
          </cell>
          <cell r="D561" t="str">
            <v>Día</v>
          </cell>
          <cell r="E561">
            <v>1</v>
          </cell>
          <cell r="F561">
            <v>61880</v>
          </cell>
          <cell r="G561">
            <v>0.1</v>
          </cell>
          <cell r="H561">
            <v>6188</v>
          </cell>
        </row>
        <row r="562">
          <cell r="A562" t="str">
            <v>ENSAYOS</v>
          </cell>
          <cell r="B562" t="str">
            <v>ESY002</v>
          </cell>
          <cell r="C562" t="str">
            <v>Toma de densidades</v>
          </cell>
          <cell r="D562" t="str">
            <v>Un</v>
          </cell>
          <cell r="E562">
            <v>2.5000000000000001E-2</v>
          </cell>
          <cell r="F562">
            <v>77474</v>
          </cell>
          <cell r="G562">
            <v>0</v>
          </cell>
          <cell r="H562">
            <v>1936.8500000000001</v>
          </cell>
        </row>
        <row r="563">
          <cell r="A563" t="str">
            <v>1-03-19</v>
          </cell>
          <cell r="C563" t="str">
            <v>Lleno manual compactado con material del sitio</v>
          </cell>
          <cell r="D563" t="str">
            <v>M3</v>
          </cell>
          <cell r="F563">
            <v>37808</v>
          </cell>
        </row>
        <row r="564">
          <cell r="A564" t="str">
            <v>M. O.</v>
          </cell>
          <cell r="B564" t="str">
            <v>MOB005</v>
          </cell>
          <cell r="C564" t="str">
            <v>Cuadrilla A 1 Of + 4 Ay (jornal + prestaciones)</v>
          </cell>
          <cell r="D564" t="str">
            <v>Día</v>
          </cell>
          <cell r="E564">
            <v>1</v>
          </cell>
          <cell r="F564">
            <v>518468</v>
          </cell>
          <cell r="G564">
            <v>5.7142857142857141E-2</v>
          </cell>
          <cell r="H564">
            <v>29626.742857142857</v>
          </cell>
        </row>
        <row r="565">
          <cell r="B565" t="str">
            <v>MOB011</v>
          </cell>
          <cell r="C565" t="str">
            <v>Acarreo horizontal</v>
          </cell>
          <cell r="D565" t="str">
            <v>%MO</v>
          </cell>
          <cell r="E565">
            <v>0.1</v>
          </cell>
          <cell r="F565">
            <v>29626.742857142857</v>
          </cell>
          <cell r="G565">
            <v>0</v>
          </cell>
          <cell r="H565">
            <v>2962.6742857142858</v>
          </cell>
        </row>
        <row r="566">
          <cell r="A566" t="str">
            <v>EQUIPO</v>
          </cell>
          <cell r="B566" t="str">
            <v>EQU034</v>
          </cell>
          <cell r="C566" t="str">
            <v>Compactador manual (canguro)</v>
          </cell>
          <cell r="D566" t="str">
            <v>Día</v>
          </cell>
          <cell r="E566">
            <v>1</v>
          </cell>
          <cell r="F566">
            <v>39483</v>
          </cell>
          <cell r="G566">
            <v>5.7142857142857141E-2</v>
          </cell>
          <cell r="H566">
            <v>2256.1714285714284</v>
          </cell>
        </row>
        <row r="567">
          <cell r="B567" t="str">
            <v>EQU002</v>
          </cell>
          <cell r="C567" t="str">
            <v>Herramienta menor (% mano obra)</v>
          </cell>
          <cell r="D567" t="str">
            <v>%MO</v>
          </cell>
          <cell r="E567">
            <v>0.1</v>
          </cell>
          <cell r="F567">
            <v>29626.742857142857</v>
          </cell>
          <cell r="G567">
            <v>0</v>
          </cell>
          <cell r="H567">
            <v>2962.6742857142858</v>
          </cell>
        </row>
        <row r="568">
          <cell r="A568" t="str">
            <v>1-03-20</v>
          </cell>
          <cell r="C568" t="str">
            <v>Lleno manual compactado con material de préstamo</v>
          </cell>
          <cell r="D568" t="str">
            <v>M3</v>
          </cell>
          <cell r="F568">
            <v>189182</v>
          </cell>
        </row>
        <row r="569">
          <cell r="A569" t="str">
            <v>MAT</v>
          </cell>
          <cell r="B569" t="str">
            <v>MAT,397</v>
          </cell>
          <cell r="C569" t="str">
            <v>Tierra no vegetal</v>
          </cell>
          <cell r="D569" t="str">
            <v>M3</v>
          </cell>
          <cell r="E569">
            <v>1</v>
          </cell>
          <cell r="F569">
            <v>93750</v>
          </cell>
          <cell r="G569">
            <v>1.3</v>
          </cell>
          <cell r="H569">
            <v>121875</v>
          </cell>
        </row>
        <row r="570">
          <cell r="A570" t="str">
            <v>ÍTEMS</v>
          </cell>
          <cell r="B570" t="str">
            <v>1-01-11</v>
          </cell>
          <cell r="C570" t="str">
            <v>Cargue mecánico de material</v>
          </cell>
          <cell r="D570" t="str">
            <v>M3</v>
          </cell>
          <cell r="E570">
            <v>1</v>
          </cell>
          <cell r="F570">
            <v>3123</v>
          </cell>
          <cell r="G570">
            <v>0</v>
          </cell>
          <cell r="H570">
            <v>3123</v>
          </cell>
        </row>
        <row r="571">
          <cell r="B571" t="str">
            <v>2-02-03</v>
          </cell>
          <cell r="C571" t="str">
            <v>Corte en material común con máquina</v>
          </cell>
          <cell r="D571" t="str">
            <v>M3</v>
          </cell>
          <cell r="E571">
            <v>1</v>
          </cell>
          <cell r="F571">
            <v>20894</v>
          </cell>
          <cell r="G571">
            <v>0</v>
          </cell>
          <cell r="H571">
            <v>20894</v>
          </cell>
        </row>
        <row r="572">
          <cell r="A572" t="str">
            <v>M. O.</v>
          </cell>
          <cell r="B572" t="str">
            <v>MOB005</v>
          </cell>
          <cell r="C572" t="str">
            <v>Cuadrilla A 1 Of + 4 Ay (jornal + prestaciones)</v>
          </cell>
          <cell r="D572" t="str">
            <v>Día</v>
          </cell>
          <cell r="E572">
            <v>1</v>
          </cell>
          <cell r="F572">
            <v>518468</v>
          </cell>
          <cell r="G572">
            <v>6.25E-2</v>
          </cell>
          <cell r="H572">
            <v>32404.25</v>
          </cell>
        </row>
        <row r="573">
          <cell r="B573" t="str">
            <v>MOB011</v>
          </cell>
          <cell r="C573" t="str">
            <v>Acarreo horizontal</v>
          </cell>
          <cell r="D573" t="str">
            <v>%MO</v>
          </cell>
          <cell r="E573">
            <v>0.1</v>
          </cell>
          <cell r="F573">
            <v>32404.25</v>
          </cell>
          <cell r="G573">
            <v>0</v>
          </cell>
          <cell r="H573">
            <v>3240.4250000000002</v>
          </cell>
        </row>
        <row r="574">
          <cell r="A574" t="str">
            <v>EQUIPO</v>
          </cell>
          <cell r="B574" t="str">
            <v>EQU034</v>
          </cell>
          <cell r="C574" t="str">
            <v>Compactador manual (canguro)</v>
          </cell>
          <cell r="D574" t="str">
            <v>Día</v>
          </cell>
          <cell r="E574">
            <v>1</v>
          </cell>
          <cell r="F574">
            <v>39483</v>
          </cell>
          <cell r="G574">
            <v>6.25E-2</v>
          </cell>
          <cell r="H574">
            <v>2467.6875</v>
          </cell>
        </row>
        <row r="575">
          <cell r="B575" t="str">
            <v>EQU002</v>
          </cell>
          <cell r="C575" t="str">
            <v>Herramienta menor (% mano obra)</v>
          </cell>
          <cell r="D575" t="str">
            <v>%MO</v>
          </cell>
          <cell r="E575">
            <v>0.1</v>
          </cell>
          <cell r="F575">
            <v>32404.25</v>
          </cell>
          <cell r="G575">
            <v>0</v>
          </cell>
          <cell r="H575">
            <v>3240.4250000000002</v>
          </cell>
        </row>
        <row r="576">
          <cell r="A576" t="str">
            <v>ENSAYOS</v>
          </cell>
          <cell r="B576" t="str">
            <v>ESY002</v>
          </cell>
          <cell r="C576" t="str">
            <v>Toma de densidades</v>
          </cell>
          <cell r="D576" t="str">
            <v>Un</v>
          </cell>
          <cell r="E576">
            <v>2.5000000000000001E-2</v>
          </cell>
          <cell r="F576">
            <v>77474</v>
          </cell>
          <cell r="G576">
            <v>0</v>
          </cell>
          <cell r="H576">
            <v>1936.8500000000001</v>
          </cell>
        </row>
        <row r="577">
          <cell r="A577" t="str">
            <v>1-03-21</v>
          </cell>
          <cell r="C577" t="str">
            <v>Lleno manual compactado con material granular</v>
          </cell>
          <cell r="D577" t="str">
            <v>M3</v>
          </cell>
          <cell r="F577">
            <v>67506</v>
          </cell>
        </row>
        <row r="578">
          <cell r="A578" t="str">
            <v>MAT</v>
          </cell>
          <cell r="B578" t="str">
            <v>MAT,250</v>
          </cell>
          <cell r="C578" t="str">
            <v>Material granular seleccionado</v>
          </cell>
          <cell r="D578" t="str">
            <v>M3</v>
          </cell>
          <cell r="E578">
            <v>1</v>
          </cell>
          <cell r="F578">
            <v>24990</v>
          </cell>
          <cell r="G578">
            <v>1.3</v>
          </cell>
          <cell r="H578">
            <v>32487</v>
          </cell>
        </row>
        <row r="579">
          <cell r="A579" t="str">
            <v>M. O.</v>
          </cell>
          <cell r="B579" t="str">
            <v>MOB005</v>
          </cell>
          <cell r="C579" t="str">
            <v>Cuadrilla A 1 Of + 4 Ay (jornal + prestaciones)</v>
          </cell>
          <cell r="D579" t="str">
            <v>Día</v>
          </cell>
          <cell r="E579">
            <v>1</v>
          </cell>
          <cell r="F579">
            <v>518468</v>
          </cell>
          <cell r="G579">
            <v>0.05</v>
          </cell>
          <cell r="H579">
            <v>25923.4</v>
          </cell>
        </row>
        <row r="580">
          <cell r="B580" t="str">
            <v>MOB011</v>
          </cell>
          <cell r="C580" t="str">
            <v>Acarreo horizontal</v>
          </cell>
          <cell r="D580" t="str">
            <v>%MO</v>
          </cell>
          <cell r="E580">
            <v>0.1</v>
          </cell>
          <cell r="F580">
            <v>25923.4</v>
          </cell>
          <cell r="G580">
            <v>0</v>
          </cell>
          <cell r="H580">
            <v>2592.34</v>
          </cell>
        </row>
        <row r="581">
          <cell r="A581" t="str">
            <v>EQUIPO</v>
          </cell>
          <cell r="B581" t="str">
            <v>EQU034</v>
          </cell>
          <cell r="C581" t="str">
            <v>Compactador manual (canguro)</v>
          </cell>
          <cell r="D581" t="str">
            <v>Día</v>
          </cell>
          <cell r="E581">
            <v>1</v>
          </cell>
          <cell r="F581">
            <v>39483</v>
          </cell>
          <cell r="G581">
            <v>0.05</v>
          </cell>
          <cell r="H581">
            <v>1974.15</v>
          </cell>
        </row>
        <row r="582">
          <cell r="B582" t="str">
            <v>EQU002</v>
          </cell>
          <cell r="C582" t="str">
            <v>Herramienta menor (% mano obra)</v>
          </cell>
          <cell r="D582" t="str">
            <v>%MO</v>
          </cell>
          <cell r="E582">
            <v>0.1</v>
          </cell>
          <cell r="F582">
            <v>25923.4</v>
          </cell>
          <cell r="G582">
            <v>0</v>
          </cell>
          <cell r="H582">
            <v>2592.34</v>
          </cell>
        </row>
        <row r="583">
          <cell r="A583" t="str">
            <v>ENSAYOS</v>
          </cell>
          <cell r="B583" t="str">
            <v>ESY002</v>
          </cell>
          <cell r="C583" t="str">
            <v>Toma de densidades</v>
          </cell>
          <cell r="D583" t="str">
            <v>Un</v>
          </cell>
          <cell r="E583">
            <v>2.5000000000000001E-2</v>
          </cell>
          <cell r="F583">
            <v>77474</v>
          </cell>
          <cell r="G583">
            <v>0</v>
          </cell>
          <cell r="H583">
            <v>1936.8500000000001</v>
          </cell>
        </row>
        <row r="584">
          <cell r="A584" t="str">
            <v>1-03-22</v>
          </cell>
          <cell r="C584" t="str">
            <v>Lleno manual compactado con afirmado</v>
          </cell>
          <cell r="D584" t="str">
            <v>M3</v>
          </cell>
          <cell r="F584">
            <v>109732</v>
          </cell>
        </row>
        <row r="585">
          <cell r="A585" t="str">
            <v>MAT</v>
          </cell>
          <cell r="B585" t="str">
            <v>MAT,026</v>
          </cell>
          <cell r="C585" t="str">
            <v>Afirmado</v>
          </cell>
          <cell r="D585" t="str">
            <v>M3</v>
          </cell>
          <cell r="E585">
            <v>1</v>
          </cell>
          <cell r="F585">
            <v>56610</v>
          </cell>
          <cell r="G585">
            <v>1.3</v>
          </cell>
          <cell r="H585">
            <v>73593</v>
          </cell>
        </row>
        <row r="586">
          <cell r="A586" t="str">
            <v>M. O.</v>
          </cell>
          <cell r="B586" t="str">
            <v>MOB005</v>
          </cell>
          <cell r="C586" t="str">
            <v>Cuadrilla A 1 Of + 4 Ay (jornal + prestaciones)</v>
          </cell>
          <cell r="D586" t="str">
            <v>Día</v>
          </cell>
          <cell r="E586">
            <v>1</v>
          </cell>
          <cell r="F586">
            <v>518468</v>
          </cell>
          <cell r="G586">
            <v>0.05</v>
          </cell>
          <cell r="H586">
            <v>25923.4</v>
          </cell>
        </row>
        <row r="587">
          <cell r="B587" t="str">
            <v>MOB011</v>
          </cell>
          <cell r="C587" t="str">
            <v>Acarreo horizontal</v>
          </cell>
          <cell r="D587" t="str">
            <v>%MO</v>
          </cell>
          <cell r="E587">
            <v>0.1</v>
          </cell>
          <cell r="F587">
            <v>25923.4</v>
          </cell>
          <cell r="G587">
            <v>0</v>
          </cell>
          <cell r="H587">
            <v>2592.34</v>
          </cell>
        </row>
        <row r="588">
          <cell r="A588" t="str">
            <v>EQUIPO</v>
          </cell>
          <cell r="B588" t="str">
            <v>EQU002</v>
          </cell>
          <cell r="C588" t="str">
            <v>Herramienta menor (% mano obra)</v>
          </cell>
          <cell r="D588" t="str">
            <v>%MO</v>
          </cell>
          <cell r="E588">
            <v>0.1</v>
          </cell>
          <cell r="F588">
            <v>25923.4</v>
          </cell>
          <cell r="G588">
            <v>0</v>
          </cell>
          <cell r="H588">
            <v>2592.34</v>
          </cell>
        </row>
        <row r="589">
          <cell r="B589" t="str">
            <v>EQU012</v>
          </cell>
          <cell r="C589" t="str">
            <v>Vibrocompactador manual</v>
          </cell>
          <cell r="D589" t="str">
            <v>Día</v>
          </cell>
          <cell r="E589">
            <v>1</v>
          </cell>
          <cell r="F589">
            <v>61880</v>
          </cell>
          <cell r="G589">
            <v>0.05</v>
          </cell>
          <cell r="H589">
            <v>3094</v>
          </cell>
        </row>
        <row r="590">
          <cell r="A590" t="str">
            <v>ENSAYOS</v>
          </cell>
          <cell r="B590" t="str">
            <v>ESY002</v>
          </cell>
          <cell r="C590" t="str">
            <v>Toma de densidades</v>
          </cell>
          <cell r="D590" t="str">
            <v>Un</v>
          </cell>
          <cell r="E590">
            <v>2.5000000000000001E-2</v>
          </cell>
          <cell r="F590">
            <v>77474</v>
          </cell>
          <cell r="G590">
            <v>0</v>
          </cell>
          <cell r="H590">
            <v>1936.8500000000001</v>
          </cell>
        </row>
        <row r="591">
          <cell r="A591" t="str">
            <v>1-03-23</v>
          </cell>
          <cell r="C591" t="str">
            <v>Afirmado compactado manual e = 0.10 m</v>
          </cell>
          <cell r="D591" t="str">
            <v>M2</v>
          </cell>
          <cell r="F591">
            <v>16554</v>
          </cell>
        </row>
        <row r="592">
          <cell r="A592" t="str">
            <v>MAT</v>
          </cell>
          <cell r="B592" t="str">
            <v>MAT,026</v>
          </cell>
          <cell r="C592" t="str">
            <v>Afirmado</v>
          </cell>
          <cell r="D592" t="str">
            <v>M3</v>
          </cell>
          <cell r="E592">
            <v>0.1</v>
          </cell>
          <cell r="F592">
            <v>56610</v>
          </cell>
          <cell r="G592">
            <v>1.3</v>
          </cell>
          <cell r="H592">
            <v>7359.3</v>
          </cell>
        </row>
        <row r="593">
          <cell r="A593" t="str">
            <v>M. O.</v>
          </cell>
          <cell r="B593" t="str">
            <v>MOB005</v>
          </cell>
          <cell r="C593" t="str">
            <v>Cuadrilla A 1 Of + 4 Ay (jornal + prestaciones)</v>
          </cell>
          <cell r="D593" t="str">
            <v>Día</v>
          </cell>
          <cell r="E593">
            <v>1</v>
          </cell>
          <cell r="F593">
            <v>518468</v>
          </cell>
          <cell r="G593">
            <v>1.2500000000000001E-2</v>
          </cell>
          <cell r="H593">
            <v>6480.85</v>
          </cell>
        </row>
        <row r="594">
          <cell r="B594" t="str">
            <v>MOB011</v>
          </cell>
          <cell r="C594" t="str">
            <v>Acarreo horizontal</v>
          </cell>
          <cell r="D594" t="str">
            <v>%MO</v>
          </cell>
          <cell r="E594">
            <v>0.05</v>
          </cell>
          <cell r="F594">
            <v>6480.85</v>
          </cell>
          <cell r="G594">
            <v>0</v>
          </cell>
          <cell r="H594">
            <v>324.04250000000002</v>
          </cell>
        </row>
        <row r="595">
          <cell r="A595" t="str">
            <v>EQUIPO</v>
          </cell>
          <cell r="B595" t="str">
            <v>EQU002</v>
          </cell>
          <cell r="C595" t="str">
            <v>Herramienta menor (% mano obra)</v>
          </cell>
          <cell r="D595" t="str">
            <v>%MO</v>
          </cell>
          <cell r="E595">
            <v>0.1</v>
          </cell>
          <cell r="F595">
            <v>6480.85</v>
          </cell>
          <cell r="G595">
            <v>0</v>
          </cell>
          <cell r="H595">
            <v>648.08500000000004</v>
          </cell>
        </row>
        <row r="596">
          <cell r="B596" t="str">
            <v>EQU012</v>
          </cell>
          <cell r="C596" t="str">
            <v>Vibrocompactador manual</v>
          </cell>
          <cell r="D596" t="str">
            <v>Día</v>
          </cell>
          <cell r="E596">
            <v>1</v>
          </cell>
          <cell r="F596">
            <v>61880</v>
          </cell>
          <cell r="G596">
            <v>1.2500000000000001E-2</v>
          </cell>
          <cell r="H596">
            <v>773.5</v>
          </cell>
        </row>
        <row r="597">
          <cell r="A597" t="str">
            <v>ENSAYOS</v>
          </cell>
          <cell r="B597" t="str">
            <v>ESY002</v>
          </cell>
          <cell r="C597" t="str">
            <v>Toma de densidades</v>
          </cell>
          <cell r="D597" t="str">
            <v>Un</v>
          </cell>
          <cell r="E597">
            <v>1.2500000000000001E-2</v>
          </cell>
          <cell r="F597">
            <v>77474</v>
          </cell>
          <cell r="G597">
            <v>0</v>
          </cell>
          <cell r="H597">
            <v>968.42500000000007</v>
          </cell>
        </row>
        <row r="598">
          <cell r="A598" t="str">
            <v>1-03-24</v>
          </cell>
          <cell r="C598" t="str">
            <v>Lleno manual con material filtrante</v>
          </cell>
          <cell r="D598" t="str">
            <v>M3</v>
          </cell>
          <cell r="F598">
            <v>131114</v>
          </cell>
        </row>
        <row r="599">
          <cell r="A599" t="str">
            <v>MAT</v>
          </cell>
          <cell r="B599" t="str">
            <v>MAT,252</v>
          </cell>
          <cell r="C599" t="str">
            <v>Material seleccionado para filtro</v>
          </cell>
          <cell r="D599" t="str">
            <v>M3</v>
          </cell>
          <cell r="E599">
            <v>1</v>
          </cell>
          <cell r="F599">
            <v>68951.5</v>
          </cell>
          <cell r="G599">
            <v>1.3</v>
          </cell>
          <cell r="H599">
            <v>89636.95</v>
          </cell>
        </row>
        <row r="600">
          <cell r="A600" t="str">
            <v>M. O.</v>
          </cell>
          <cell r="B600" t="str">
            <v>MOB005</v>
          </cell>
          <cell r="C600" t="str">
            <v>Cuadrilla A 1 Of + 4 Ay (jornal + prestaciones)</v>
          </cell>
          <cell r="D600" t="str">
            <v>Día</v>
          </cell>
          <cell r="E600">
            <v>1</v>
          </cell>
          <cell r="F600">
            <v>518468</v>
          </cell>
          <cell r="G600">
            <v>6.6666666666666666E-2</v>
          </cell>
          <cell r="H600">
            <v>34564.533333333333</v>
          </cell>
        </row>
        <row r="601">
          <cell r="B601" t="str">
            <v>MOB011</v>
          </cell>
          <cell r="C601" t="str">
            <v>Acarreo horizontal</v>
          </cell>
          <cell r="D601" t="str">
            <v>%MO</v>
          </cell>
          <cell r="E601">
            <v>0.1</v>
          </cell>
          <cell r="F601">
            <v>34564.533333333333</v>
          </cell>
          <cell r="G601">
            <v>0</v>
          </cell>
          <cell r="H601">
            <v>3456.4533333333334</v>
          </cell>
        </row>
        <row r="602">
          <cell r="A602" t="str">
            <v>EQUIPO</v>
          </cell>
          <cell r="B602" t="str">
            <v>EQU002</v>
          </cell>
          <cell r="C602" t="str">
            <v>Herramienta menor (% mano obra)</v>
          </cell>
          <cell r="D602" t="str">
            <v>%MO</v>
          </cell>
          <cell r="E602">
            <v>0.1</v>
          </cell>
          <cell r="F602">
            <v>34564.533333333333</v>
          </cell>
          <cell r="G602">
            <v>0</v>
          </cell>
          <cell r="H602">
            <v>3456.4533333333334</v>
          </cell>
        </row>
        <row r="603">
          <cell r="A603" t="str">
            <v>1-03-25</v>
          </cell>
          <cell r="C603" t="str">
            <v>Lleno manual con piedra</v>
          </cell>
          <cell r="D603" t="str">
            <v>M3</v>
          </cell>
          <cell r="F603">
            <v>134448</v>
          </cell>
        </row>
        <row r="604">
          <cell r="A604" t="str">
            <v>MAT</v>
          </cell>
          <cell r="B604" t="str">
            <v>MAT,296</v>
          </cell>
          <cell r="C604" t="str">
            <v>Piedra media songa</v>
          </cell>
          <cell r="D604" t="str">
            <v>M3</v>
          </cell>
          <cell r="E604">
            <v>1</v>
          </cell>
          <cell r="F604">
            <v>72845</v>
          </cell>
          <cell r="G604">
            <v>1.3</v>
          </cell>
          <cell r="H604">
            <v>94698.5</v>
          </cell>
        </row>
        <row r="605">
          <cell r="A605" t="str">
            <v>M. O.</v>
          </cell>
          <cell r="B605" t="str">
            <v>MOB005</v>
          </cell>
          <cell r="C605" t="str">
            <v>Cuadrilla A 1 Of + 4 Ay (jornal + prestaciones)</v>
          </cell>
          <cell r="D605" t="str">
            <v>Día</v>
          </cell>
          <cell r="E605">
            <v>1</v>
          </cell>
          <cell r="F605">
            <v>518468</v>
          </cell>
          <cell r="G605">
            <v>6.6666666666666666E-2</v>
          </cell>
          <cell r="H605">
            <v>34564.533333333333</v>
          </cell>
        </row>
        <row r="606">
          <cell r="B606" t="str">
            <v>MOB011</v>
          </cell>
          <cell r="C606" t="str">
            <v>Acarreo horizontal</v>
          </cell>
          <cell r="D606" t="str">
            <v>%MO</v>
          </cell>
          <cell r="E606">
            <v>0.05</v>
          </cell>
          <cell r="F606">
            <v>34564.533333333333</v>
          </cell>
          <cell r="G606">
            <v>0</v>
          </cell>
          <cell r="H606">
            <v>1728.2266666666667</v>
          </cell>
        </row>
        <row r="607">
          <cell r="A607" t="str">
            <v>EQUIPO</v>
          </cell>
          <cell r="B607" t="str">
            <v>EQU002</v>
          </cell>
          <cell r="C607" t="str">
            <v>Herramienta menor (% mano obra)</v>
          </cell>
          <cell r="D607" t="str">
            <v>%MO</v>
          </cell>
          <cell r="E607">
            <v>0.1</v>
          </cell>
          <cell r="F607">
            <v>34564.533333333333</v>
          </cell>
          <cell r="G607">
            <v>0</v>
          </cell>
          <cell r="H607">
            <v>3456.4533333333334</v>
          </cell>
        </row>
        <row r="608">
          <cell r="A608" t="str">
            <v>1-03-26</v>
          </cell>
          <cell r="C608" t="str">
            <v>Lleno manual con arena para tubería (brecha de 0,60 m de ancho e = 0,1 m)</v>
          </cell>
          <cell r="D608" t="str">
            <v>M</v>
          </cell>
          <cell r="F608">
            <v>15046</v>
          </cell>
        </row>
        <row r="609">
          <cell r="A609" t="str">
            <v>MAT</v>
          </cell>
          <cell r="B609" t="str">
            <v>MAT,040</v>
          </cell>
          <cell r="C609" t="str">
            <v>Arena</v>
          </cell>
          <cell r="D609" t="str">
            <v>M3</v>
          </cell>
          <cell r="E609">
            <v>0.06</v>
          </cell>
          <cell r="F609">
            <v>71990</v>
          </cell>
          <cell r="G609">
            <v>0</v>
          </cell>
          <cell r="H609">
            <v>4319.3999999999996</v>
          </cell>
        </row>
        <row r="610">
          <cell r="A610" t="str">
            <v>M. O.</v>
          </cell>
          <cell r="B610" t="str">
            <v>MOB003</v>
          </cell>
          <cell r="C610" t="str">
            <v>Ayudante (jornal + prestaciones)</v>
          </cell>
          <cell r="D610" t="str">
            <v>Día</v>
          </cell>
          <cell r="E610">
            <v>1</v>
          </cell>
          <cell r="F610">
            <v>89391</v>
          </cell>
          <cell r="G610">
            <v>0.1</v>
          </cell>
          <cell r="H610">
            <v>8939.1</v>
          </cell>
        </row>
        <row r="611">
          <cell r="B611" t="str">
            <v>MOB011</v>
          </cell>
          <cell r="C611" t="str">
            <v>Acarreo horizontal</v>
          </cell>
          <cell r="D611" t="str">
            <v>%MO</v>
          </cell>
          <cell r="E611">
            <v>0.1</v>
          </cell>
          <cell r="F611">
            <v>8939.1</v>
          </cell>
          <cell r="G611">
            <v>0</v>
          </cell>
          <cell r="H611">
            <v>893.91000000000008</v>
          </cell>
        </row>
        <row r="612">
          <cell r="A612" t="str">
            <v>EQUIPO</v>
          </cell>
          <cell r="B612" t="str">
            <v>EQU002</v>
          </cell>
          <cell r="C612" t="str">
            <v>Herramienta menor (% mano obra)</v>
          </cell>
          <cell r="D612" t="str">
            <v>%MO</v>
          </cell>
          <cell r="E612">
            <v>0.1</v>
          </cell>
          <cell r="F612">
            <v>8939.1</v>
          </cell>
          <cell r="G612">
            <v>0</v>
          </cell>
          <cell r="H612">
            <v>893.91000000000008</v>
          </cell>
        </row>
        <row r="613">
          <cell r="A613" t="str">
            <v>1-03-27</v>
          </cell>
          <cell r="C613" t="str">
            <v>Macadam granular compactado, confinado (jamás vaciar pavimento de ningún tipo sobre él), incluye cama de asiento, e máx. = 0.15 m, material de relleno de vacíos. compactación</v>
          </cell>
          <cell r="D613" t="str">
            <v>M2</v>
          </cell>
          <cell r="F613">
            <v>74729</v>
          </cell>
        </row>
        <row r="614">
          <cell r="A614" t="str">
            <v>MAT</v>
          </cell>
          <cell r="B614" t="str">
            <v>MAT,296</v>
          </cell>
          <cell r="C614" t="str">
            <v>Piedra media songa</v>
          </cell>
          <cell r="D614" t="str">
            <v>M3</v>
          </cell>
          <cell r="E614">
            <v>0.15</v>
          </cell>
          <cell r="F614">
            <v>72845</v>
          </cell>
          <cell r="G614">
            <v>1.45</v>
          </cell>
          <cell r="H614">
            <v>15843.787499999999</v>
          </cell>
        </row>
        <row r="615">
          <cell r="B615" t="str">
            <v>MAT,026</v>
          </cell>
          <cell r="C615" t="str">
            <v>Afirmado para mantenimiento vial y elementos no estructurales</v>
          </cell>
          <cell r="D615" t="str">
            <v>M3</v>
          </cell>
          <cell r="E615">
            <v>0.15</v>
          </cell>
          <cell r="F615">
            <v>56610</v>
          </cell>
          <cell r="G615">
            <v>1.55</v>
          </cell>
          <cell r="H615">
            <v>13161.824999999999</v>
          </cell>
        </row>
        <row r="616">
          <cell r="B616" t="str">
            <v>MAT,027</v>
          </cell>
          <cell r="C616" t="str">
            <v xml:space="preserve">Agua </v>
          </cell>
          <cell r="D616" t="str">
            <v>Lt</v>
          </cell>
          <cell r="E616">
            <v>27</v>
          </cell>
          <cell r="F616">
            <v>19</v>
          </cell>
          <cell r="G616">
            <v>0</v>
          </cell>
          <cell r="H616">
            <v>513</v>
          </cell>
        </row>
        <row r="617">
          <cell r="A617" t="str">
            <v>M. O.</v>
          </cell>
          <cell r="B617" t="str">
            <v>MOB017</v>
          </cell>
          <cell r="C617" t="str">
            <v>Cuadrilla G 1 Of + 2 Ay (jornal + prestaciones)</v>
          </cell>
          <cell r="D617" t="str">
            <v>Día</v>
          </cell>
          <cell r="E617">
            <v>1</v>
          </cell>
          <cell r="F617">
            <v>339686</v>
          </cell>
          <cell r="G617">
            <v>0.1</v>
          </cell>
          <cell r="H617">
            <v>33968.6</v>
          </cell>
        </row>
        <row r="618">
          <cell r="B618" t="str">
            <v>MOB011</v>
          </cell>
          <cell r="C618" t="str">
            <v>Acarreo horizontal</v>
          </cell>
          <cell r="D618" t="str">
            <v>%MO</v>
          </cell>
          <cell r="E618">
            <v>0.15</v>
          </cell>
          <cell r="F618">
            <v>33968.6</v>
          </cell>
          <cell r="G618">
            <v>0</v>
          </cell>
          <cell r="H618">
            <v>5095.29</v>
          </cell>
        </row>
        <row r="619">
          <cell r="A619" t="str">
            <v>EQUIPO</v>
          </cell>
          <cell r="B619" t="str">
            <v>EQU013</v>
          </cell>
          <cell r="C619" t="str">
            <v>Cilindro compactador vibratorio Dynapac y tractor</v>
          </cell>
          <cell r="D619" t="str">
            <v>Hr</v>
          </cell>
          <cell r="E619">
            <v>1</v>
          </cell>
          <cell r="F619">
            <v>75000</v>
          </cell>
          <cell r="G619">
            <v>0.01</v>
          </cell>
          <cell r="H619">
            <v>750</v>
          </cell>
        </row>
        <row r="620">
          <cell r="B620" t="str">
            <v>EQU002</v>
          </cell>
          <cell r="C620" t="str">
            <v>Herramienta menor (% mano obra)</v>
          </cell>
          <cell r="D620" t="str">
            <v>%MO</v>
          </cell>
          <cell r="E620">
            <v>0.1</v>
          </cell>
          <cell r="F620">
            <v>33968.6</v>
          </cell>
          <cell r="G620">
            <v>0</v>
          </cell>
          <cell r="H620">
            <v>3396.86</v>
          </cell>
        </row>
        <row r="621">
          <cell r="B621" t="str">
            <v>EQU008</v>
          </cell>
          <cell r="C621" t="str">
            <v>Motoniveladora</v>
          </cell>
          <cell r="D621" t="str">
            <v>Hr</v>
          </cell>
          <cell r="E621">
            <v>1</v>
          </cell>
          <cell r="F621">
            <v>200000</v>
          </cell>
          <cell r="G621">
            <v>0.01</v>
          </cell>
          <cell r="H621">
            <v>2000</v>
          </cell>
        </row>
        <row r="622">
          <cell r="A622" t="str">
            <v>1 - 04 ELEMENTOS DE Y PARA CONCRETO</v>
          </cell>
        </row>
        <row r="623">
          <cell r="A623" t="str">
            <v>ÍTEM</v>
          </cell>
          <cell r="B623" t="str">
            <v>CÓDIGO</v>
          </cell>
          <cell r="C623" t="str">
            <v>DESCRIPCIÓN</v>
          </cell>
          <cell r="D623" t="str">
            <v>UN</v>
          </cell>
          <cell r="E623" t="str">
            <v>CANT</v>
          </cell>
          <cell r="F623" t="str">
            <v>VR. UN.</v>
          </cell>
          <cell r="G623" t="str">
            <v>RENDIMIENTO, USOS, DESPEDICIOS</v>
          </cell>
          <cell r="H623" t="str">
            <v>VR. PARCIAL</v>
          </cell>
        </row>
        <row r="624">
          <cell r="A624" t="str">
            <v>1-04-01</v>
          </cell>
          <cell r="C624" t="str">
            <v>Solado en concreto de 10,3 Mpa</v>
          </cell>
          <cell r="D624" t="str">
            <v>M3</v>
          </cell>
          <cell r="F624">
            <v>486660</v>
          </cell>
        </row>
        <row r="625">
          <cell r="A625" t="str">
            <v>ÍTEMS</v>
          </cell>
          <cell r="B625" t="str">
            <v>2-06-04</v>
          </cell>
          <cell r="C625" t="str">
            <v>Ver en hoja de vías</v>
          </cell>
          <cell r="D625" t="str">
            <v>M3</v>
          </cell>
          <cell r="E625">
            <v>1</v>
          </cell>
          <cell r="F625">
            <v>486660</v>
          </cell>
          <cell r="G625">
            <v>0</v>
          </cell>
          <cell r="H625">
            <v>486660</v>
          </cell>
        </row>
        <row r="626">
          <cell r="A626" t="str">
            <v>1-04-02</v>
          </cell>
          <cell r="C626" t="str">
            <v>Caja de inspección de 0,50 x 0,50 x 0,50  m en concreto de 17,2 Mpa, tapa reforzada en concreto de 20,7 Mpa</v>
          </cell>
          <cell r="D626" t="str">
            <v>Un</v>
          </cell>
          <cell r="F626">
            <v>295191</v>
          </cell>
        </row>
        <row r="627">
          <cell r="A627" t="str">
            <v>MATERIALES</v>
          </cell>
          <cell r="B627" t="str">
            <v>MAT,012</v>
          </cell>
          <cell r="C627" t="str">
            <v>ACPM</v>
          </cell>
          <cell r="D627" t="str">
            <v>Gl</v>
          </cell>
          <cell r="E627">
            <v>0.2</v>
          </cell>
          <cell r="F627">
            <v>10808</v>
          </cell>
          <cell r="G627">
            <v>1.05</v>
          </cell>
          <cell r="H627">
            <v>2269.6799999999998</v>
          </cell>
        </row>
        <row r="628">
          <cell r="B628" t="str">
            <v>MAT,035</v>
          </cell>
          <cell r="C628" t="str">
            <v>Ángulo de 1" x 1/8"</v>
          </cell>
          <cell r="D628" t="str">
            <v>M</v>
          </cell>
          <cell r="E628">
            <v>3.6</v>
          </cell>
          <cell r="F628">
            <v>6817</v>
          </cell>
          <cell r="G628">
            <v>0</v>
          </cell>
          <cell r="H628">
            <v>24541.200000000001</v>
          </cell>
        </row>
        <row r="629">
          <cell r="B629" t="str">
            <v>MAT,222</v>
          </cell>
          <cell r="C629" t="str">
            <v>Listón sajo de 5 x 3 cm x 2,5 m (varilla)</v>
          </cell>
          <cell r="D629" t="str">
            <v>M</v>
          </cell>
          <cell r="E629">
            <v>3</v>
          </cell>
          <cell r="F629">
            <v>4704</v>
          </cell>
          <cell r="G629">
            <v>0.33333333333333331</v>
          </cell>
          <cell r="H629">
            <v>4704</v>
          </cell>
        </row>
        <row r="630">
          <cell r="B630" t="str">
            <v>MAT,333</v>
          </cell>
          <cell r="C630" t="str">
            <v>Puntilla (Promedio)</v>
          </cell>
          <cell r="D630" t="str">
            <v>Lb</v>
          </cell>
          <cell r="E630">
            <v>0.5</v>
          </cell>
          <cell r="F630">
            <v>5650</v>
          </cell>
          <cell r="G630">
            <v>0</v>
          </cell>
          <cell r="H630">
            <v>2825</v>
          </cell>
        </row>
        <row r="631">
          <cell r="B631" t="str">
            <v>MAT,368</v>
          </cell>
          <cell r="C631" t="str">
            <v>Tabla para formaleta de 1" x 10" x 2,9 m</v>
          </cell>
          <cell r="D631" t="str">
            <v>M</v>
          </cell>
          <cell r="E631">
            <v>4</v>
          </cell>
          <cell r="F631">
            <v>10591</v>
          </cell>
          <cell r="G631">
            <v>0.33333333333333331</v>
          </cell>
          <cell r="H631">
            <v>14121.333333333332</v>
          </cell>
        </row>
        <row r="632">
          <cell r="A632" t="str">
            <v>ÍTEMS</v>
          </cell>
          <cell r="B632" t="str">
            <v>G-01-03</v>
          </cell>
          <cell r="C632" t="str">
            <v xml:space="preserve">Concreto de 17,2 Mpa (Producción) </v>
          </cell>
          <cell r="D632" t="str">
            <v>M3</v>
          </cell>
          <cell r="E632">
            <v>0.17</v>
          </cell>
          <cell r="F632">
            <v>448188</v>
          </cell>
          <cell r="G632">
            <v>1.05</v>
          </cell>
          <cell r="H632">
            <v>80001.558000000005</v>
          </cell>
        </row>
        <row r="633">
          <cell r="B633" t="str">
            <v>G-01-04</v>
          </cell>
          <cell r="C633" t="str">
            <v xml:space="preserve">Concreto de 20,7 Mpa (Producción) </v>
          </cell>
          <cell r="D633" t="str">
            <v>M3</v>
          </cell>
          <cell r="E633">
            <v>1.7999999999999999E-2</v>
          </cell>
          <cell r="F633">
            <v>472746</v>
          </cell>
          <cell r="G633">
            <v>1.05</v>
          </cell>
          <cell r="H633">
            <v>8934.8994000000002</v>
          </cell>
        </row>
        <row r="634">
          <cell r="B634" t="str">
            <v>G-02-02</v>
          </cell>
          <cell r="C634" t="str">
            <v>Acero Fy = 60.000 PSI d &gt; 1/4"</v>
          </cell>
          <cell r="D634" t="str">
            <v>Kg</v>
          </cell>
          <cell r="E634">
            <v>2.7</v>
          </cell>
          <cell r="F634">
            <v>7456</v>
          </cell>
          <cell r="G634">
            <v>0</v>
          </cell>
          <cell r="H634">
            <v>20131.2</v>
          </cell>
        </row>
        <row r="635">
          <cell r="A635" t="str">
            <v>M. O.</v>
          </cell>
          <cell r="B635" t="str">
            <v>MOB015</v>
          </cell>
          <cell r="C635" t="str">
            <v>Cuadrilla E 1 Of + 1 Ay (jornal + prestaciones)</v>
          </cell>
          <cell r="D635" t="str">
            <v>Día</v>
          </cell>
          <cell r="E635">
            <v>1</v>
          </cell>
          <cell r="F635">
            <v>250295</v>
          </cell>
          <cell r="G635">
            <v>0.5</v>
          </cell>
          <cell r="H635">
            <v>125147.5</v>
          </cell>
        </row>
        <row r="636">
          <cell r="A636" t="str">
            <v>EQUIPO</v>
          </cell>
          <cell r="B636" t="str">
            <v>EQU002</v>
          </cell>
          <cell r="C636" t="str">
            <v>Herramienta menor (% mano obra)</v>
          </cell>
          <cell r="D636" t="str">
            <v>%MO</v>
          </cell>
          <cell r="E636">
            <v>0.1</v>
          </cell>
          <cell r="F636">
            <v>125147.5</v>
          </cell>
          <cell r="G636">
            <v>0</v>
          </cell>
          <cell r="H636">
            <v>12514.75</v>
          </cell>
        </row>
        <row r="637">
          <cell r="A637" t="str">
            <v>1-04-03</v>
          </cell>
          <cell r="C637" t="str">
            <v>Caja de inspección de 0,60 x 0,60 x 0,60 m en concreto de 17,2 Mpa, tapa reforzada en concreto de 20,7 Mpa</v>
          </cell>
          <cell r="D637" t="str">
            <v>Un</v>
          </cell>
          <cell r="F637">
            <v>469193</v>
          </cell>
        </row>
        <row r="638">
          <cell r="A638" t="str">
            <v>MATERIALES</v>
          </cell>
          <cell r="B638" t="str">
            <v>MAT,012</v>
          </cell>
          <cell r="C638" t="str">
            <v>ACPM</v>
          </cell>
          <cell r="D638" t="str">
            <v>Gl</v>
          </cell>
          <cell r="E638">
            <v>0.2</v>
          </cell>
          <cell r="F638">
            <v>10808</v>
          </cell>
          <cell r="G638">
            <v>1.05</v>
          </cell>
          <cell r="H638">
            <v>2269.6799999999998</v>
          </cell>
        </row>
        <row r="639">
          <cell r="B639" t="str">
            <v>MAT,516</v>
          </cell>
          <cell r="C639" t="str">
            <v>Ángulo de 2" x 1/8"</v>
          </cell>
          <cell r="D639" t="str">
            <v>M</v>
          </cell>
          <cell r="E639">
            <v>5.6</v>
          </cell>
          <cell r="F639">
            <v>15817</v>
          </cell>
          <cell r="G639">
            <v>1.05</v>
          </cell>
          <cell r="H639">
            <v>93003.96</v>
          </cell>
        </row>
        <row r="640">
          <cell r="B640" t="str">
            <v>MAT,222</v>
          </cell>
          <cell r="C640" t="str">
            <v>Listón sajo de 5 x 3 cm x 2,5 m (varilla)</v>
          </cell>
          <cell r="D640" t="str">
            <v>M</v>
          </cell>
          <cell r="E640">
            <v>3</v>
          </cell>
          <cell r="F640">
            <v>4704</v>
          </cell>
          <cell r="G640">
            <v>0.5</v>
          </cell>
          <cell r="H640">
            <v>7056</v>
          </cell>
        </row>
        <row r="641">
          <cell r="B641" t="str">
            <v>MAT,333</v>
          </cell>
          <cell r="C641" t="str">
            <v>Puntilla (Promedio)</v>
          </cell>
          <cell r="D641" t="str">
            <v>Lb</v>
          </cell>
          <cell r="E641">
            <v>0.8</v>
          </cell>
          <cell r="F641">
            <v>5650</v>
          </cell>
          <cell r="G641">
            <v>0</v>
          </cell>
          <cell r="H641">
            <v>4520</v>
          </cell>
        </row>
        <row r="642">
          <cell r="B642" t="str">
            <v>MAT,368</v>
          </cell>
          <cell r="C642" t="str">
            <v>Tabla para formaleta de 1" x 10" x 2,9 m</v>
          </cell>
          <cell r="D642" t="str">
            <v>M</v>
          </cell>
          <cell r="E642">
            <v>9</v>
          </cell>
          <cell r="F642">
            <v>10591</v>
          </cell>
          <cell r="G642">
            <v>0.5</v>
          </cell>
          <cell r="H642">
            <v>47659.5</v>
          </cell>
        </row>
        <row r="643">
          <cell r="A643" t="str">
            <v>ÍTEMS</v>
          </cell>
          <cell r="B643" t="str">
            <v>G-01-03</v>
          </cell>
          <cell r="C643" t="str">
            <v xml:space="preserve">Concreto de 17,2 Mpa (Producción) </v>
          </cell>
          <cell r="D643" t="str">
            <v>M3</v>
          </cell>
          <cell r="E643">
            <v>0.28000000000000003</v>
          </cell>
          <cell r="F643">
            <v>448188</v>
          </cell>
          <cell r="G643">
            <v>1.05</v>
          </cell>
          <cell r="H643">
            <v>131767.27200000003</v>
          </cell>
        </row>
        <row r="644">
          <cell r="B644" t="str">
            <v>G-01-04</v>
          </cell>
          <cell r="C644" t="str">
            <v xml:space="preserve">Concreto de 20,7 Mpa (Producción) </v>
          </cell>
          <cell r="D644" t="str">
            <v>M3</v>
          </cell>
          <cell r="E644">
            <v>2.4E-2</v>
          </cell>
          <cell r="F644">
            <v>472746</v>
          </cell>
          <cell r="G644">
            <v>1.05</v>
          </cell>
          <cell r="H644">
            <v>11913.199200000001</v>
          </cell>
        </row>
        <row r="645">
          <cell r="B645" t="str">
            <v>G-02-02</v>
          </cell>
          <cell r="C645" t="str">
            <v>Acero Fy = 60.000 PSI d &gt; 1/4"</v>
          </cell>
          <cell r="D645" t="str">
            <v>Kg</v>
          </cell>
          <cell r="E645">
            <v>3.5</v>
          </cell>
          <cell r="F645">
            <v>7456</v>
          </cell>
          <cell r="G645">
            <v>0</v>
          </cell>
          <cell r="H645">
            <v>26096</v>
          </cell>
        </row>
        <row r="646">
          <cell r="A646" t="str">
            <v>M. O.</v>
          </cell>
          <cell r="B646" t="str">
            <v>MOB015</v>
          </cell>
          <cell r="C646" t="str">
            <v>Cuadrilla E 1 Of + 1 Ay (jornal + prestaciones)</v>
          </cell>
          <cell r="D646" t="str">
            <v>Día</v>
          </cell>
          <cell r="E646">
            <v>1</v>
          </cell>
          <cell r="F646">
            <v>250295</v>
          </cell>
          <cell r="G646">
            <v>0.52631578947368418</v>
          </cell>
          <cell r="H646">
            <v>131734.21052631579</v>
          </cell>
        </row>
        <row r="647">
          <cell r="A647" t="str">
            <v>EQUIPO</v>
          </cell>
          <cell r="B647" t="str">
            <v>EQU002</v>
          </cell>
          <cell r="C647" t="str">
            <v>Herramienta menor (% mano obra)</v>
          </cell>
          <cell r="D647" t="str">
            <v>%MO</v>
          </cell>
          <cell r="E647">
            <v>0.1</v>
          </cell>
          <cell r="F647">
            <v>131734.21052631579</v>
          </cell>
          <cell r="G647">
            <v>0</v>
          </cell>
          <cell r="H647">
            <v>13173.42105263158</v>
          </cell>
        </row>
        <row r="648">
          <cell r="A648" t="str">
            <v>1-04-04</v>
          </cell>
          <cell r="C648" t="str">
            <v>Caja de inspección de 0,80 x 0,80 x 0,80 m en concreto de 17,2 Mpa, tapa reforzada en concreto de 20,7 Mpa</v>
          </cell>
          <cell r="D648" t="str">
            <v>Un</v>
          </cell>
          <cell r="F648">
            <v>731715</v>
          </cell>
        </row>
        <row r="649">
          <cell r="A649" t="str">
            <v>MATERIALES</v>
          </cell>
          <cell r="B649" t="str">
            <v>MAT,012</v>
          </cell>
          <cell r="C649" t="str">
            <v>ACPM</v>
          </cell>
          <cell r="D649" t="str">
            <v>Gl</v>
          </cell>
          <cell r="E649">
            <v>0.3</v>
          </cell>
          <cell r="F649">
            <v>10808</v>
          </cell>
          <cell r="G649">
            <v>1.05</v>
          </cell>
          <cell r="H649">
            <v>3404.52</v>
          </cell>
        </row>
        <row r="650">
          <cell r="B650" t="str">
            <v>MAT,516</v>
          </cell>
          <cell r="C650" t="str">
            <v>Ángulo de 2" x 1/8"</v>
          </cell>
          <cell r="D650" t="str">
            <v>M</v>
          </cell>
          <cell r="E650">
            <v>6.8</v>
          </cell>
          <cell r="F650">
            <v>15817</v>
          </cell>
          <cell r="G650">
            <v>1.05</v>
          </cell>
          <cell r="H650">
            <v>112933.38</v>
          </cell>
        </row>
        <row r="651">
          <cell r="B651" t="str">
            <v>MAT,222</v>
          </cell>
          <cell r="C651" t="str">
            <v>Listón sajo de 5 x 3 cm x 2,5 m (varilla)</v>
          </cell>
          <cell r="D651" t="str">
            <v>M</v>
          </cell>
          <cell r="E651">
            <v>4</v>
          </cell>
          <cell r="F651">
            <v>4704</v>
          </cell>
          <cell r="G651">
            <v>0.5</v>
          </cell>
          <cell r="H651">
            <v>9408</v>
          </cell>
        </row>
        <row r="652">
          <cell r="B652" t="str">
            <v>MAT,333</v>
          </cell>
          <cell r="C652" t="str">
            <v>Puntilla (Promedio)</v>
          </cell>
          <cell r="D652" t="str">
            <v>Lb</v>
          </cell>
          <cell r="E652">
            <v>1</v>
          </cell>
          <cell r="F652">
            <v>5650</v>
          </cell>
          <cell r="G652">
            <v>0</v>
          </cell>
          <cell r="H652">
            <v>5650</v>
          </cell>
        </row>
        <row r="653">
          <cell r="B653" t="str">
            <v>MAT,368</v>
          </cell>
          <cell r="C653" t="str">
            <v>Tabla para formaleta de 1" x 10" x 2,9 m</v>
          </cell>
          <cell r="D653" t="str">
            <v>M</v>
          </cell>
          <cell r="E653">
            <v>12</v>
          </cell>
          <cell r="F653">
            <v>10591</v>
          </cell>
          <cell r="G653">
            <v>0.5</v>
          </cell>
          <cell r="H653">
            <v>63546</v>
          </cell>
        </row>
        <row r="654">
          <cell r="A654" t="str">
            <v>ÍTEMS</v>
          </cell>
          <cell r="B654" t="str">
            <v>G-01-03</v>
          </cell>
          <cell r="C654" t="str">
            <v xml:space="preserve">Concreto de 17,2 Mpa (Producción) </v>
          </cell>
          <cell r="D654" t="str">
            <v>M3</v>
          </cell>
          <cell r="E654">
            <v>0.45</v>
          </cell>
          <cell r="F654">
            <v>448188</v>
          </cell>
          <cell r="G654">
            <v>1.05</v>
          </cell>
          <cell r="H654">
            <v>211768.83000000002</v>
          </cell>
        </row>
        <row r="655">
          <cell r="B655" t="str">
            <v>G-01-04</v>
          </cell>
          <cell r="C655" t="str">
            <v xml:space="preserve">Concreto de 20,7 Mpa (Producción) </v>
          </cell>
          <cell r="D655" t="str">
            <v>M3</v>
          </cell>
          <cell r="E655">
            <v>0.04</v>
          </cell>
          <cell r="F655">
            <v>472746</v>
          </cell>
          <cell r="G655">
            <v>1.05</v>
          </cell>
          <cell r="H655">
            <v>19855.332000000002</v>
          </cell>
        </row>
        <row r="656">
          <cell r="B656" t="str">
            <v>G-02-02</v>
          </cell>
          <cell r="C656" t="str">
            <v>Acero Fy = 60.000 PSI</v>
          </cell>
          <cell r="D656" t="str">
            <v>Kg</v>
          </cell>
          <cell r="E656">
            <v>4</v>
          </cell>
          <cell r="F656">
            <v>7456</v>
          </cell>
          <cell r="G656">
            <v>0</v>
          </cell>
          <cell r="H656">
            <v>29824</v>
          </cell>
        </row>
        <row r="657">
          <cell r="A657" t="str">
            <v>M. O.</v>
          </cell>
          <cell r="B657" t="str">
            <v>MOB015</v>
          </cell>
          <cell r="C657" t="str">
            <v>Cuadrilla E 1 Of + 1 Ay (jornal + prestaciones)</v>
          </cell>
          <cell r="D657" t="str">
            <v>Día</v>
          </cell>
          <cell r="E657">
            <v>1</v>
          </cell>
          <cell r="F657">
            <v>250295</v>
          </cell>
          <cell r="G657">
            <v>1</v>
          </cell>
          <cell r="H657">
            <v>250295</v>
          </cell>
        </row>
        <row r="658">
          <cell r="A658" t="str">
            <v>EQUIPO</v>
          </cell>
          <cell r="B658" t="str">
            <v>EQU002</v>
          </cell>
          <cell r="C658" t="str">
            <v>Herramienta menor (% mano obra)</v>
          </cell>
          <cell r="D658" t="str">
            <v>%MO</v>
          </cell>
          <cell r="E658">
            <v>0.1</v>
          </cell>
          <cell r="F658">
            <v>250295</v>
          </cell>
          <cell r="G658">
            <v>0</v>
          </cell>
          <cell r="H658">
            <v>25029.5</v>
          </cell>
        </row>
        <row r="659">
          <cell r="A659" t="str">
            <v>1-04-05</v>
          </cell>
          <cell r="C659" t="str">
            <v>Caja de inspección de 1,00 x 1,00 x 1,00 m en concreto de 17,2 Mpa, tapa reforzada en concreto de 20,7 Mpa</v>
          </cell>
          <cell r="D659" t="str">
            <v>Un</v>
          </cell>
          <cell r="F659">
            <v>929424</v>
          </cell>
        </row>
        <row r="660">
          <cell r="A660" t="str">
            <v>MATERIALES</v>
          </cell>
          <cell r="B660" t="str">
            <v>MAT,012</v>
          </cell>
          <cell r="C660" t="str">
            <v>ACPM</v>
          </cell>
          <cell r="D660" t="str">
            <v>Gl</v>
          </cell>
          <cell r="E660">
            <v>0.4</v>
          </cell>
          <cell r="F660">
            <v>10808</v>
          </cell>
          <cell r="G660">
            <v>1.05</v>
          </cell>
          <cell r="H660">
            <v>4539.3599999999997</v>
          </cell>
        </row>
        <row r="661">
          <cell r="B661" t="str">
            <v>MAT,516</v>
          </cell>
          <cell r="C661" t="str">
            <v>Ángulo de 2" x 1/8"</v>
          </cell>
          <cell r="D661" t="str">
            <v>M</v>
          </cell>
          <cell r="E661">
            <v>8.4</v>
          </cell>
          <cell r="F661">
            <v>15817</v>
          </cell>
          <cell r="G661">
            <v>1.05</v>
          </cell>
          <cell r="H661">
            <v>139505.94000000003</v>
          </cell>
        </row>
        <row r="662">
          <cell r="B662" t="str">
            <v>MAT,222</v>
          </cell>
          <cell r="C662" t="str">
            <v>Listón sajo de 5 x 3 cm x 2,5 m (varilla)</v>
          </cell>
          <cell r="D662" t="str">
            <v>M</v>
          </cell>
          <cell r="E662">
            <v>6</v>
          </cell>
          <cell r="F662">
            <v>4704</v>
          </cell>
          <cell r="G662">
            <v>0.5</v>
          </cell>
          <cell r="H662">
            <v>14112</v>
          </cell>
        </row>
        <row r="663">
          <cell r="B663" t="str">
            <v>MAT,333</v>
          </cell>
          <cell r="C663" t="str">
            <v>Puntilla (Promedio)</v>
          </cell>
          <cell r="D663" t="str">
            <v>Lb</v>
          </cell>
          <cell r="E663">
            <v>1.5</v>
          </cell>
          <cell r="F663">
            <v>5650</v>
          </cell>
          <cell r="G663">
            <v>0</v>
          </cell>
          <cell r="H663">
            <v>8475</v>
          </cell>
        </row>
        <row r="664">
          <cell r="B664" t="str">
            <v>MAT,368</v>
          </cell>
          <cell r="C664" t="str">
            <v>Tabla para formaleta de 1" x 10" x 2,9 m</v>
          </cell>
          <cell r="D664" t="str">
            <v>M</v>
          </cell>
          <cell r="E664">
            <v>18</v>
          </cell>
          <cell r="F664">
            <v>10591</v>
          </cell>
          <cell r="G664">
            <v>0.5</v>
          </cell>
          <cell r="H664">
            <v>95319</v>
          </cell>
        </row>
        <row r="665">
          <cell r="A665" t="str">
            <v>ÍTEMS</v>
          </cell>
          <cell r="B665" t="str">
            <v>G-01-03</v>
          </cell>
          <cell r="C665" t="str">
            <v xml:space="preserve">Concreto de 17,2 Mpa (Producción) </v>
          </cell>
          <cell r="D665" t="str">
            <v>M3</v>
          </cell>
          <cell r="E665">
            <v>0.66</v>
          </cell>
          <cell r="F665">
            <v>448188</v>
          </cell>
          <cell r="G665">
            <v>1.05</v>
          </cell>
          <cell r="H665">
            <v>310594.28400000004</v>
          </cell>
        </row>
        <row r="666">
          <cell r="B666" t="str">
            <v>G-01-04</v>
          </cell>
          <cell r="C666" t="str">
            <v xml:space="preserve">Concreto de 20,7 Mpa (Producción) </v>
          </cell>
          <cell r="D666" t="str">
            <v>M3</v>
          </cell>
          <cell r="E666">
            <v>0.06</v>
          </cell>
          <cell r="F666">
            <v>472746</v>
          </cell>
          <cell r="G666">
            <v>1.05</v>
          </cell>
          <cell r="H666">
            <v>29782.998000000003</v>
          </cell>
        </row>
        <row r="667">
          <cell r="B667" t="str">
            <v>G-02-02</v>
          </cell>
          <cell r="C667" t="str">
            <v>Acero Fy = 60.000 PSI</v>
          </cell>
          <cell r="D667" t="str">
            <v>Kg</v>
          </cell>
          <cell r="E667">
            <v>5</v>
          </cell>
          <cell r="F667">
            <v>7456</v>
          </cell>
          <cell r="G667">
            <v>0</v>
          </cell>
          <cell r="H667">
            <v>37280</v>
          </cell>
        </row>
        <row r="668">
          <cell r="A668" t="str">
            <v>M. O.</v>
          </cell>
          <cell r="B668" t="str">
            <v>MOB015</v>
          </cell>
          <cell r="C668" t="str">
            <v>Cuadrilla E 1 Of + 1 Ay (jornal + prestaciones)</v>
          </cell>
          <cell r="D668" t="str">
            <v>Día</v>
          </cell>
          <cell r="E668">
            <v>1</v>
          </cell>
          <cell r="F668">
            <v>250295</v>
          </cell>
          <cell r="G668">
            <v>1.0526315789473684</v>
          </cell>
          <cell r="H668">
            <v>263468.42105263157</v>
          </cell>
        </row>
        <row r="669">
          <cell r="A669" t="str">
            <v>EQUIPO</v>
          </cell>
          <cell r="B669" t="str">
            <v>EQU002</v>
          </cell>
          <cell r="C669" t="str">
            <v>Herramienta menor (% mano obra)</v>
          </cell>
          <cell r="D669" t="str">
            <v>%MO</v>
          </cell>
          <cell r="E669">
            <v>0.1</v>
          </cell>
          <cell r="F669">
            <v>263468.42105263157</v>
          </cell>
          <cell r="G669">
            <v>0</v>
          </cell>
          <cell r="H669">
            <v>26346.84210526316</v>
          </cell>
        </row>
        <row r="670">
          <cell r="A670" t="str">
            <v>1-04-06</v>
          </cell>
          <cell r="C670" t="str">
            <v>Zapatas en concreto de 20,7 Mpa, no incluye refuerzo</v>
          </cell>
          <cell r="D670" t="str">
            <v>M3</v>
          </cell>
          <cell r="F670">
            <v>928272</v>
          </cell>
        </row>
        <row r="671">
          <cell r="A671" t="str">
            <v>MAT</v>
          </cell>
          <cell r="B671" t="str">
            <v>MAT,039</v>
          </cell>
          <cell r="C671" t="str">
            <v>Antisol blanco o similar</v>
          </cell>
          <cell r="D671" t="str">
            <v>Kg</v>
          </cell>
          <cell r="E671">
            <v>2.5</v>
          </cell>
          <cell r="F671">
            <v>13045</v>
          </cell>
          <cell r="G671">
            <v>1.03</v>
          </cell>
          <cell r="H671">
            <v>33590.875</v>
          </cell>
        </row>
        <row r="672">
          <cell r="A672" t="str">
            <v>ÍTEMS</v>
          </cell>
          <cell r="B672" t="str">
            <v>G-01-04</v>
          </cell>
          <cell r="C672" t="str">
            <v xml:space="preserve">Concreto de 20,7 Mpa (Producción) </v>
          </cell>
          <cell r="D672" t="str">
            <v>M3</v>
          </cell>
          <cell r="E672">
            <v>1</v>
          </cell>
          <cell r="F672">
            <v>472746</v>
          </cell>
          <cell r="G672">
            <v>1.05</v>
          </cell>
          <cell r="H672">
            <v>496383.30000000005</v>
          </cell>
        </row>
        <row r="673">
          <cell r="A673" t="str">
            <v>M. O.</v>
          </cell>
          <cell r="B673" t="str">
            <v>MOB005</v>
          </cell>
          <cell r="C673" t="str">
            <v>Cuadrilla A 1 Of + 4 Ay (jornal + prestaciones)</v>
          </cell>
          <cell r="D673" t="str">
            <v>Día</v>
          </cell>
          <cell r="E673">
            <v>1</v>
          </cell>
          <cell r="F673">
            <v>518468</v>
          </cell>
          <cell r="G673">
            <v>0.66666666666666663</v>
          </cell>
          <cell r="H673">
            <v>345645.33333333331</v>
          </cell>
        </row>
        <row r="674">
          <cell r="A674" t="str">
            <v>EQUIPO</v>
          </cell>
          <cell r="B674" t="str">
            <v>EQU002</v>
          </cell>
          <cell r="C674" t="str">
            <v>Herramienta menor (% mano obra)</v>
          </cell>
          <cell r="D674" t="str">
            <v>%MO</v>
          </cell>
          <cell r="E674">
            <v>0.1</v>
          </cell>
          <cell r="F674">
            <v>345645.33333333331</v>
          </cell>
          <cell r="G674">
            <v>0</v>
          </cell>
          <cell r="H674">
            <v>34564.533333333333</v>
          </cell>
        </row>
        <row r="675">
          <cell r="B675" t="str">
            <v>EQU018</v>
          </cell>
          <cell r="C675" t="str">
            <v>Vibrador eléctrico o a gasolina</v>
          </cell>
          <cell r="D675" t="str">
            <v>Día</v>
          </cell>
          <cell r="E675">
            <v>1</v>
          </cell>
          <cell r="F675">
            <v>58310</v>
          </cell>
          <cell r="G675">
            <v>0.2</v>
          </cell>
          <cell r="H675">
            <v>11662</v>
          </cell>
        </row>
        <row r="676">
          <cell r="A676" t="str">
            <v>ENSAYOS</v>
          </cell>
          <cell r="B676" t="str">
            <v>ESY001</v>
          </cell>
          <cell r="C676" t="str">
            <v>Ensayo resistencia concretos</v>
          </cell>
          <cell r="D676" t="str">
            <v>Un</v>
          </cell>
          <cell r="E676">
            <v>0.5</v>
          </cell>
          <cell r="F676">
            <v>12852</v>
          </cell>
          <cell r="G676">
            <v>0</v>
          </cell>
          <cell r="H676">
            <v>6426</v>
          </cell>
        </row>
        <row r="677">
          <cell r="A677" t="str">
            <v>1-04-07</v>
          </cell>
          <cell r="C677" t="str">
            <v>Zapatas en concreto de 24,5 Mpa (3500 PSI), no incluye refuerzo</v>
          </cell>
          <cell r="D677" t="str">
            <v>M3</v>
          </cell>
          <cell r="F677">
            <v>980877</v>
          </cell>
        </row>
        <row r="678">
          <cell r="A678" t="str">
            <v>MAT</v>
          </cell>
          <cell r="B678" t="str">
            <v>MAT,039</v>
          </cell>
          <cell r="C678" t="str">
            <v>Antisol blanco o similar</v>
          </cell>
          <cell r="D678" t="str">
            <v>Kg</v>
          </cell>
          <cell r="E678">
            <v>2.5</v>
          </cell>
          <cell r="F678">
            <v>13045</v>
          </cell>
          <cell r="G678">
            <v>1.03</v>
          </cell>
          <cell r="H678">
            <v>33590.875</v>
          </cell>
        </row>
        <row r="679">
          <cell r="A679" t="str">
            <v>ÍTEMS</v>
          </cell>
          <cell r="B679" t="str">
            <v>G-01-05</v>
          </cell>
          <cell r="C679" t="str">
            <v xml:space="preserve">Concreto de 24,5 Mpa (Producción) </v>
          </cell>
          <cell r="D679" t="str">
            <v>M3</v>
          </cell>
          <cell r="E679">
            <v>1</v>
          </cell>
          <cell r="F679">
            <v>522846</v>
          </cell>
          <cell r="G679">
            <v>1.05</v>
          </cell>
          <cell r="H679">
            <v>548988.30000000005</v>
          </cell>
        </row>
        <row r="680">
          <cell r="A680" t="str">
            <v>M. O.</v>
          </cell>
          <cell r="B680" t="str">
            <v>MOB005</v>
          </cell>
          <cell r="C680" t="str">
            <v>Cuadrilla A 1 Of + 4 Ay (jornal + prestaciones)</v>
          </cell>
          <cell r="D680" t="str">
            <v>Día</v>
          </cell>
          <cell r="E680">
            <v>1</v>
          </cell>
          <cell r="F680">
            <v>518468</v>
          </cell>
          <cell r="G680">
            <v>0.66666666666666663</v>
          </cell>
          <cell r="H680">
            <v>345645.33333333331</v>
          </cell>
        </row>
        <row r="681">
          <cell r="A681" t="str">
            <v>EQUIPO</v>
          </cell>
          <cell r="B681" t="str">
            <v>EQU002</v>
          </cell>
          <cell r="C681" t="str">
            <v>Herramienta menor (% mano obra)</v>
          </cell>
          <cell r="D681" t="str">
            <v>%MO</v>
          </cell>
          <cell r="E681">
            <v>0.1</v>
          </cell>
          <cell r="F681">
            <v>345645.33333333331</v>
          </cell>
          <cell r="G681">
            <v>0</v>
          </cell>
          <cell r="H681">
            <v>34564.533333333333</v>
          </cell>
        </row>
        <row r="682">
          <cell r="B682" t="str">
            <v>EQU018</v>
          </cell>
          <cell r="C682" t="str">
            <v>Vibrador eléctrico o a gasolina</v>
          </cell>
          <cell r="D682" t="str">
            <v>Día</v>
          </cell>
          <cell r="E682">
            <v>1</v>
          </cell>
          <cell r="F682">
            <v>58310</v>
          </cell>
          <cell r="G682">
            <v>0.2</v>
          </cell>
          <cell r="H682">
            <v>11662</v>
          </cell>
        </row>
        <row r="683">
          <cell r="A683" t="str">
            <v>ENSAYOS</v>
          </cell>
          <cell r="B683" t="str">
            <v>ESY001</v>
          </cell>
          <cell r="C683" t="str">
            <v>Ensayo resistencia concretos</v>
          </cell>
          <cell r="D683" t="str">
            <v>Un</v>
          </cell>
          <cell r="E683">
            <v>0.5</v>
          </cell>
          <cell r="F683">
            <v>12852</v>
          </cell>
          <cell r="G683">
            <v>0</v>
          </cell>
          <cell r="H683">
            <v>6426</v>
          </cell>
        </row>
        <row r="684">
          <cell r="A684" t="str">
            <v>1-04-08</v>
          </cell>
          <cell r="C684" t="str">
            <v>Viga de enlace de zapatas en concreto de 20,7 Mpa, no incluye refuerzo</v>
          </cell>
          <cell r="D684" t="str">
            <v>M3</v>
          </cell>
          <cell r="F684">
            <v>966611</v>
          </cell>
        </row>
        <row r="685">
          <cell r="A685" t="str">
            <v>MAT</v>
          </cell>
          <cell r="B685" t="str">
            <v>MAT,039</v>
          </cell>
          <cell r="C685" t="str">
            <v>Antisol blanco o similar</v>
          </cell>
          <cell r="D685" t="str">
            <v>Kg</v>
          </cell>
          <cell r="E685">
            <v>1</v>
          </cell>
          <cell r="F685">
            <v>13045</v>
          </cell>
          <cell r="G685">
            <v>1.03</v>
          </cell>
          <cell r="H685">
            <v>13436.35</v>
          </cell>
        </row>
        <row r="686">
          <cell r="A686" t="str">
            <v>ÍTEMS</v>
          </cell>
          <cell r="B686" t="str">
            <v>G-01-04</v>
          </cell>
          <cell r="C686" t="str">
            <v xml:space="preserve">Concreto de 20,7 Mpa (Producción) </v>
          </cell>
          <cell r="D686" t="str">
            <v>M3</v>
          </cell>
          <cell r="E686">
            <v>1</v>
          </cell>
          <cell r="F686">
            <v>472746</v>
          </cell>
          <cell r="G686">
            <v>1.05</v>
          </cell>
          <cell r="H686">
            <v>496383.30000000005</v>
          </cell>
        </row>
        <row r="687">
          <cell r="A687" t="str">
            <v>M. O.</v>
          </cell>
          <cell r="B687" t="str">
            <v>MOB005</v>
          </cell>
          <cell r="C687" t="str">
            <v>Cuadrilla A 1 Of + 4 Ay (jornal + prestaciones)</v>
          </cell>
          <cell r="D687" t="str">
            <v>Día</v>
          </cell>
          <cell r="E687">
            <v>1</v>
          </cell>
          <cell r="F687">
            <v>518468</v>
          </cell>
          <cell r="G687">
            <v>0.76923076923076916</v>
          </cell>
          <cell r="H687">
            <v>398821.53846153844</v>
          </cell>
        </row>
        <row r="688">
          <cell r="A688" t="str">
            <v>EQUIPO</v>
          </cell>
          <cell r="B688" t="str">
            <v>EQU002</v>
          </cell>
          <cell r="C688" t="str">
            <v>Herramienta menor (% mano obra)</v>
          </cell>
          <cell r="D688" t="str">
            <v>%MO</v>
          </cell>
          <cell r="E688">
            <v>0.1</v>
          </cell>
          <cell r="F688">
            <v>398821.53846153844</v>
          </cell>
          <cell r="G688">
            <v>0</v>
          </cell>
          <cell r="H688">
            <v>39882.153846153844</v>
          </cell>
        </row>
        <row r="689">
          <cell r="B689" t="str">
            <v>EQU018</v>
          </cell>
          <cell r="C689" t="str">
            <v>Vibrador eléctrico o a gasolina</v>
          </cell>
          <cell r="D689" t="str">
            <v>Día</v>
          </cell>
          <cell r="E689">
            <v>1</v>
          </cell>
          <cell r="F689">
            <v>58310</v>
          </cell>
          <cell r="G689">
            <v>0.2</v>
          </cell>
          <cell r="H689">
            <v>11662</v>
          </cell>
        </row>
        <row r="690">
          <cell r="A690" t="str">
            <v>ENSAYOS</v>
          </cell>
          <cell r="B690" t="str">
            <v>ESY001</v>
          </cell>
          <cell r="C690" t="str">
            <v>Ensayo resistencia concretos</v>
          </cell>
          <cell r="D690" t="str">
            <v>Un</v>
          </cell>
          <cell r="E690">
            <v>0.5</v>
          </cell>
          <cell r="F690">
            <v>12852</v>
          </cell>
          <cell r="G690">
            <v>0</v>
          </cell>
          <cell r="H690">
            <v>6426</v>
          </cell>
        </row>
        <row r="691">
          <cell r="A691" t="str">
            <v>1-04-09</v>
          </cell>
          <cell r="C691" t="str">
            <v>Viga de enlace de zapatas en concreto de 24,5 Mpa, no incluye refuerzo</v>
          </cell>
          <cell r="D691" t="str">
            <v>M3</v>
          </cell>
          <cell r="F691">
            <v>1039371</v>
          </cell>
        </row>
        <row r="692">
          <cell r="A692" t="str">
            <v>MAT</v>
          </cell>
          <cell r="B692" t="str">
            <v>MAT,039</v>
          </cell>
          <cell r="C692" t="str">
            <v>Antisol blanco o similar</v>
          </cell>
          <cell r="D692" t="str">
            <v>Kg</v>
          </cell>
          <cell r="E692">
            <v>2.5</v>
          </cell>
          <cell r="F692">
            <v>13045</v>
          </cell>
          <cell r="G692">
            <v>1.03</v>
          </cell>
          <cell r="H692">
            <v>33590.875</v>
          </cell>
        </row>
        <row r="693">
          <cell r="A693" t="str">
            <v>ÍTEMS</v>
          </cell>
          <cell r="B693" t="str">
            <v>G-01-05</v>
          </cell>
          <cell r="C693" t="str">
            <v xml:space="preserve">Concreto de 24,5 Mpa (Producción) </v>
          </cell>
          <cell r="D693" t="str">
            <v>M3</v>
          </cell>
          <cell r="E693">
            <v>1</v>
          </cell>
          <cell r="F693">
            <v>522846</v>
          </cell>
          <cell r="G693">
            <v>1.05</v>
          </cell>
          <cell r="H693">
            <v>548988.30000000005</v>
          </cell>
        </row>
        <row r="694">
          <cell r="A694" t="str">
            <v>M. O.</v>
          </cell>
          <cell r="B694" t="str">
            <v>MOB005</v>
          </cell>
          <cell r="C694" t="str">
            <v>Cuadrilla A 1 Of + 4 Ay (jornal + prestaciones)</v>
          </cell>
          <cell r="D694" t="str">
            <v>Día</v>
          </cell>
          <cell r="E694">
            <v>1</v>
          </cell>
          <cell r="F694">
            <v>518468</v>
          </cell>
          <cell r="G694">
            <v>0.76923076923076916</v>
          </cell>
          <cell r="H694">
            <v>398821.53846153844</v>
          </cell>
        </row>
        <row r="695">
          <cell r="A695" t="str">
            <v>EQUIPO</v>
          </cell>
          <cell r="B695" t="str">
            <v>EQU002</v>
          </cell>
          <cell r="C695" t="str">
            <v>Herramienta menor (% mano obra)</v>
          </cell>
          <cell r="D695" t="str">
            <v>%MO</v>
          </cell>
          <cell r="E695">
            <v>0.1</v>
          </cell>
          <cell r="F695">
            <v>398821.53846153844</v>
          </cell>
          <cell r="G695">
            <v>0</v>
          </cell>
          <cell r="H695">
            <v>39882.153846153844</v>
          </cell>
        </row>
        <row r="696">
          <cell r="B696" t="str">
            <v>EQU018</v>
          </cell>
          <cell r="C696" t="str">
            <v>Vibrador eléctrico o a gasolina</v>
          </cell>
          <cell r="D696" t="str">
            <v>Día</v>
          </cell>
          <cell r="E696">
            <v>1</v>
          </cell>
          <cell r="F696">
            <v>58310</v>
          </cell>
          <cell r="G696">
            <v>0.2</v>
          </cell>
          <cell r="H696">
            <v>11662</v>
          </cell>
        </row>
        <row r="697">
          <cell r="A697" t="str">
            <v>ENSAYOS</v>
          </cell>
          <cell r="B697" t="str">
            <v>ESY001</v>
          </cell>
          <cell r="C697" t="str">
            <v>Ensayo resistencia concretos</v>
          </cell>
          <cell r="D697" t="str">
            <v>Un</v>
          </cell>
          <cell r="E697">
            <v>0.5</v>
          </cell>
          <cell r="F697">
            <v>12852</v>
          </cell>
          <cell r="G697">
            <v>0</v>
          </cell>
          <cell r="H697">
            <v>6426</v>
          </cell>
        </row>
        <row r="698">
          <cell r="A698" t="str">
            <v>1-04-10</v>
          </cell>
          <cell r="C698" t="str">
            <v>Viga apoyada concreto 20,7 Mpa (3000 PSI), no incluye refuerzo</v>
          </cell>
          <cell r="D698" t="str">
            <v>M3</v>
          </cell>
          <cell r="F698">
            <v>885091</v>
          </cell>
        </row>
        <row r="699">
          <cell r="A699" t="str">
            <v>MATERIALES</v>
          </cell>
          <cell r="B699" t="str">
            <v>MAT,012</v>
          </cell>
          <cell r="C699" t="str">
            <v>ACPM</v>
          </cell>
          <cell r="D699" t="str">
            <v>Gl</v>
          </cell>
          <cell r="E699">
            <v>0.4</v>
          </cell>
          <cell r="F699">
            <v>10808</v>
          </cell>
          <cell r="G699">
            <v>0</v>
          </cell>
          <cell r="H699">
            <v>4323.2</v>
          </cell>
        </row>
        <row r="700">
          <cell r="B700" t="str">
            <v>MAT,039</v>
          </cell>
          <cell r="C700" t="str">
            <v>Antisol blanco o similar</v>
          </cell>
          <cell r="D700" t="str">
            <v>Kg</v>
          </cell>
          <cell r="E700">
            <v>2.5</v>
          </cell>
          <cell r="F700">
            <v>13045</v>
          </cell>
          <cell r="G700">
            <v>1.03</v>
          </cell>
          <cell r="H700">
            <v>33590.875</v>
          </cell>
        </row>
        <row r="701">
          <cell r="B701" t="str">
            <v>MAT,116</v>
          </cell>
          <cell r="C701" t="str">
            <v>Cuartón de sajo 2" x 4" x 2,9 m</v>
          </cell>
          <cell r="D701" t="str">
            <v>M</v>
          </cell>
          <cell r="E701">
            <v>15</v>
          </cell>
          <cell r="F701">
            <v>5285</v>
          </cell>
          <cell r="G701">
            <v>0.33333333333333331</v>
          </cell>
          <cell r="H701">
            <v>26424.999999999996</v>
          </cell>
        </row>
        <row r="702">
          <cell r="B702" t="str">
            <v>MAT,222</v>
          </cell>
          <cell r="C702" t="str">
            <v>Listón sajo de 5 x 3 cm x 2,5 m (varilla)</v>
          </cell>
          <cell r="D702" t="str">
            <v>M</v>
          </cell>
          <cell r="E702">
            <v>12</v>
          </cell>
          <cell r="F702">
            <v>4704</v>
          </cell>
          <cell r="G702">
            <v>0.33333333333333331</v>
          </cell>
          <cell r="H702">
            <v>18816</v>
          </cell>
        </row>
        <row r="703">
          <cell r="B703" t="str">
            <v>MAT,333</v>
          </cell>
          <cell r="C703" t="str">
            <v>Puntilla (Promedio)</v>
          </cell>
          <cell r="D703" t="str">
            <v>Lb</v>
          </cell>
          <cell r="E703">
            <v>3</v>
          </cell>
          <cell r="F703">
            <v>5650</v>
          </cell>
          <cell r="G703">
            <v>0</v>
          </cell>
          <cell r="H703">
            <v>16950</v>
          </cell>
        </row>
        <row r="704">
          <cell r="B704" t="str">
            <v>MAT,368</v>
          </cell>
          <cell r="C704" t="str">
            <v>Tabla para formaleta de 1" x 10" x 2,9 m</v>
          </cell>
          <cell r="D704" t="str">
            <v>M</v>
          </cell>
          <cell r="E704">
            <v>24</v>
          </cell>
          <cell r="F704">
            <v>10591</v>
          </cell>
          <cell r="G704">
            <v>0.33333333333333331</v>
          </cell>
          <cell r="H704">
            <v>84728</v>
          </cell>
        </row>
        <row r="705">
          <cell r="A705" t="str">
            <v>ÍTEMS</v>
          </cell>
          <cell r="B705" t="str">
            <v>G-01-04</v>
          </cell>
          <cell r="C705" t="str">
            <v xml:space="preserve">Concreto de 20,7 Mpa (Producción) </v>
          </cell>
          <cell r="D705" t="str">
            <v>M3</v>
          </cell>
          <cell r="E705">
            <v>1</v>
          </cell>
          <cell r="F705">
            <v>472746</v>
          </cell>
          <cell r="G705">
            <v>1.05</v>
          </cell>
          <cell r="H705">
            <v>496383.30000000005</v>
          </cell>
        </row>
        <row r="706">
          <cell r="A706" t="str">
            <v>M. O.</v>
          </cell>
          <cell r="B706" t="str">
            <v>MOB014</v>
          </cell>
          <cell r="C706" t="str">
            <v>Cuadrilla D 2 Of + 4 Ay (jornal + prestaciones)</v>
          </cell>
          <cell r="D706" t="str">
            <v>Día</v>
          </cell>
          <cell r="E706">
            <v>1</v>
          </cell>
          <cell r="F706">
            <v>679372</v>
          </cell>
          <cell r="G706">
            <v>0.25641025641025644</v>
          </cell>
          <cell r="H706">
            <v>174197.94871794875</v>
          </cell>
        </row>
        <row r="707">
          <cell r="A707" t="str">
            <v>EQUIPO</v>
          </cell>
          <cell r="B707" t="str">
            <v>EQU002</v>
          </cell>
          <cell r="C707" t="str">
            <v>Herramienta menor (% mano obra)</v>
          </cell>
          <cell r="D707" t="str">
            <v>%MO</v>
          </cell>
          <cell r="E707">
            <v>0.1</v>
          </cell>
          <cell r="F707">
            <v>174197.94871794875</v>
          </cell>
          <cell r="G707">
            <v>0</v>
          </cell>
          <cell r="H707">
            <v>17419.794871794875</v>
          </cell>
        </row>
        <row r="708">
          <cell r="B708" t="str">
            <v>EQU018</v>
          </cell>
          <cell r="C708" t="str">
            <v>Vibrador eléctrico o a gasolina</v>
          </cell>
          <cell r="D708" t="str">
            <v>Día</v>
          </cell>
          <cell r="E708">
            <v>1</v>
          </cell>
          <cell r="F708">
            <v>58310</v>
          </cell>
          <cell r="G708">
            <v>0.1</v>
          </cell>
          <cell r="H708">
            <v>5831</v>
          </cell>
        </row>
        <row r="709">
          <cell r="A709" t="str">
            <v>ENSAYOS</v>
          </cell>
          <cell r="B709" t="str">
            <v>ESY001</v>
          </cell>
          <cell r="C709" t="str">
            <v>Ensayo resistencia concretos</v>
          </cell>
          <cell r="D709" t="str">
            <v>Un</v>
          </cell>
          <cell r="E709">
            <v>0.5</v>
          </cell>
          <cell r="F709">
            <v>12852</v>
          </cell>
          <cell r="G709">
            <v>0</v>
          </cell>
          <cell r="H709">
            <v>6426</v>
          </cell>
        </row>
        <row r="710">
          <cell r="A710" t="str">
            <v>1-04-11</v>
          </cell>
          <cell r="C710" t="str">
            <v>Placa de contrapiso en concreto de 20,7 Mpa e = 0,07 m</v>
          </cell>
          <cell r="D710" t="str">
            <v>M2</v>
          </cell>
          <cell r="F710">
            <v>68949</v>
          </cell>
        </row>
        <row r="711">
          <cell r="A711" t="str">
            <v>MAT</v>
          </cell>
          <cell r="B711" t="str">
            <v>MAT,012</v>
          </cell>
          <cell r="C711" t="str">
            <v>ACPM</v>
          </cell>
          <cell r="D711" t="str">
            <v>Gl</v>
          </cell>
          <cell r="E711">
            <v>0.05</v>
          </cell>
          <cell r="F711">
            <v>10808</v>
          </cell>
          <cell r="G711">
            <v>1.05</v>
          </cell>
          <cell r="H711">
            <v>567.41999999999996</v>
          </cell>
        </row>
        <row r="712">
          <cell r="B712" t="str">
            <v>MAT,039</v>
          </cell>
          <cell r="C712" t="str">
            <v>Antisol blanco o similar</v>
          </cell>
          <cell r="D712" t="str">
            <v>Kg</v>
          </cell>
          <cell r="E712">
            <v>0.2</v>
          </cell>
          <cell r="F712">
            <v>13045</v>
          </cell>
          <cell r="G712">
            <v>1.03</v>
          </cell>
          <cell r="H712">
            <v>2687.2700000000004</v>
          </cell>
        </row>
        <row r="713">
          <cell r="B713" t="str">
            <v>MAT,333</v>
          </cell>
          <cell r="C713" t="str">
            <v>Puntilla (Promedio)</v>
          </cell>
          <cell r="D713" t="str">
            <v>Lb</v>
          </cell>
          <cell r="E713">
            <v>0.03</v>
          </cell>
          <cell r="F713">
            <v>5650</v>
          </cell>
          <cell r="G713">
            <v>0</v>
          </cell>
          <cell r="H713">
            <v>169.5</v>
          </cell>
        </row>
        <row r="714">
          <cell r="B714" t="str">
            <v>MAT,368</v>
          </cell>
          <cell r="C714" t="str">
            <v>Tabla para formaleta de 1" x 10" x 2,9 m</v>
          </cell>
          <cell r="D714" t="str">
            <v>M</v>
          </cell>
          <cell r="E714">
            <v>1</v>
          </cell>
          <cell r="F714">
            <v>10591</v>
          </cell>
          <cell r="G714">
            <v>0.2</v>
          </cell>
          <cell r="H714">
            <v>2118.2000000000003</v>
          </cell>
        </row>
        <row r="715">
          <cell r="B715" t="str">
            <v>MAT,487</v>
          </cell>
          <cell r="C715" t="str">
            <v>Varillón de sajo 3 x 3 cm</v>
          </cell>
          <cell r="D715" t="str">
            <v>M</v>
          </cell>
          <cell r="E715">
            <v>2</v>
          </cell>
          <cell r="F715">
            <v>360</v>
          </cell>
          <cell r="G715">
            <v>0.2</v>
          </cell>
          <cell r="H715">
            <v>144</v>
          </cell>
        </row>
        <row r="716">
          <cell r="A716" t="str">
            <v>ÍTEMS</v>
          </cell>
          <cell r="B716" t="str">
            <v>G-01-04</v>
          </cell>
          <cell r="C716" t="str">
            <v xml:space="preserve">Concreto de 20,7 Mpa (Producción) </v>
          </cell>
          <cell r="D716" t="str">
            <v>M3</v>
          </cell>
          <cell r="E716">
            <v>7.0000000000000007E-2</v>
          </cell>
          <cell r="F716">
            <v>472746</v>
          </cell>
          <cell r="G716">
            <v>1.05</v>
          </cell>
          <cell r="H716">
            <v>34746.831000000006</v>
          </cell>
        </row>
        <row r="717">
          <cell r="A717" t="str">
            <v>M. O.</v>
          </cell>
          <cell r="B717" t="str">
            <v>MOB005</v>
          </cell>
          <cell r="C717" t="str">
            <v>Cuadrilla A 1 Of + 4 Ay (jornal + prestaciones)</v>
          </cell>
          <cell r="D717" t="str">
            <v>Día</v>
          </cell>
          <cell r="E717">
            <v>1</v>
          </cell>
          <cell r="F717">
            <v>518468</v>
          </cell>
          <cell r="G717">
            <v>0.05</v>
          </cell>
          <cell r="H717">
            <v>25923.4</v>
          </cell>
        </row>
        <row r="718">
          <cell r="A718" t="str">
            <v>EQUIPO</v>
          </cell>
          <cell r="B718" t="str">
            <v>EQU002</v>
          </cell>
          <cell r="C718" t="str">
            <v>Herramienta menor (% mano obra)</v>
          </cell>
          <cell r="D718" t="str">
            <v>%MO</v>
          </cell>
          <cell r="E718">
            <v>0.1</v>
          </cell>
          <cell r="F718">
            <v>25923.4</v>
          </cell>
          <cell r="G718">
            <v>0</v>
          </cell>
          <cell r="H718">
            <v>2592.34</v>
          </cell>
        </row>
        <row r="719">
          <cell r="A719" t="str">
            <v>1-04-12</v>
          </cell>
          <cell r="C719" t="str">
            <v>Placa de contrapiso en concreto de 20,7 Mpa e = 0,10 m</v>
          </cell>
          <cell r="D719" t="str">
            <v>M2</v>
          </cell>
          <cell r="F719">
            <v>92273</v>
          </cell>
        </row>
        <row r="720">
          <cell r="A720" t="str">
            <v>MAT</v>
          </cell>
          <cell r="B720" t="str">
            <v>MAT,012</v>
          </cell>
          <cell r="C720" t="str">
            <v>ACPM</v>
          </cell>
          <cell r="D720" t="str">
            <v>Gl</v>
          </cell>
          <cell r="E720">
            <v>0.05</v>
          </cell>
          <cell r="F720">
            <v>10808</v>
          </cell>
          <cell r="G720">
            <v>1.05</v>
          </cell>
          <cell r="H720">
            <v>567.41999999999996</v>
          </cell>
        </row>
        <row r="721">
          <cell r="B721" t="str">
            <v>MAT,039</v>
          </cell>
          <cell r="C721" t="str">
            <v>Antisol blanco o similar</v>
          </cell>
          <cell r="D721" t="str">
            <v>Kg</v>
          </cell>
          <cell r="E721">
            <v>0.2</v>
          </cell>
          <cell r="F721">
            <v>13045</v>
          </cell>
          <cell r="G721">
            <v>1.03</v>
          </cell>
          <cell r="H721">
            <v>2687.2700000000004</v>
          </cell>
        </row>
        <row r="722">
          <cell r="B722" t="str">
            <v>MAT,333</v>
          </cell>
          <cell r="C722" t="str">
            <v>Puntilla (Promedio)</v>
          </cell>
          <cell r="D722" t="str">
            <v>Lb</v>
          </cell>
          <cell r="E722">
            <v>7.0000000000000007E-2</v>
          </cell>
          <cell r="F722">
            <v>5650</v>
          </cell>
          <cell r="G722">
            <v>0</v>
          </cell>
          <cell r="H722">
            <v>395.50000000000006</v>
          </cell>
        </row>
        <row r="723">
          <cell r="B723" t="str">
            <v>MAT,368</v>
          </cell>
          <cell r="C723" t="str">
            <v>Tabla para formaleta de 1" x 10" x 2,9 m</v>
          </cell>
          <cell r="D723" t="str">
            <v>M</v>
          </cell>
          <cell r="E723">
            <v>2</v>
          </cell>
          <cell r="F723">
            <v>10591</v>
          </cell>
          <cell r="G723">
            <v>0.33333333333333331</v>
          </cell>
          <cell r="H723">
            <v>7060.6666666666661</v>
          </cell>
        </row>
        <row r="724">
          <cell r="B724" t="str">
            <v>MAT,487</v>
          </cell>
          <cell r="C724" t="str">
            <v>Varillón de sajo 3 x 3 cm</v>
          </cell>
          <cell r="D724" t="str">
            <v>M</v>
          </cell>
          <cell r="E724">
            <v>2</v>
          </cell>
          <cell r="F724">
            <v>360</v>
          </cell>
          <cell r="G724">
            <v>0.33333333333333331</v>
          </cell>
          <cell r="H724">
            <v>240</v>
          </cell>
        </row>
        <row r="725">
          <cell r="A725" t="str">
            <v>ÍTEMS</v>
          </cell>
          <cell r="B725" t="str">
            <v>G-01-04</v>
          </cell>
          <cell r="C725" t="str">
            <v xml:space="preserve">Concreto de 20,7 Mpa (Producción) </v>
          </cell>
          <cell r="D725" t="str">
            <v>M3</v>
          </cell>
          <cell r="E725">
            <v>0.1</v>
          </cell>
          <cell r="F725">
            <v>472746</v>
          </cell>
          <cell r="G725">
            <v>1.05</v>
          </cell>
          <cell r="H725">
            <v>49638.330000000009</v>
          </cell>
        </row>
        <row r="726">
          <cell r="A726" t="str">
            <v>M. O.</v>
          </cell>
          <cell r="B726" t="str">
            <v>MOB005</v>
          </cell>
          <cell r="C726" t="str">
            <v>Cuadrilla A 1 Of + 4 Ay (jornal + prestaciones)</v>
          </cell>
          <cell r="D726" t="str">
            <v>Día</v>
          </cell>
          <cell r="E726">
            <v>1</v>
          </cell>
          <cell r="F726">
            <v>518468</v>
          </cell>
          <cell r="G726">
            <v>5.5555555555555552E-2</v>
          </cell>
          <cell r="H726">
            <v>28803.777777777777</v>
          </cell>
        </row>
        <row r="727">
          <cell r="A727" t="str">
            <v>EQUIPO</v>
          </cell>
          <cell r="B727" t="str">
            <v>EQU002</v>
          </cell>
          <cell r="C727" t="str">
            <v>Herramienta menor (% mano obra)</v>
          </cell>
          <cell r="D727" t="str">
            <v>%MO</v>
          </cell>
          <cell r="E727">
            <v>0.1</v>
          </cell>
          <cell r="F727">
            <v>28803.777777777777</v>
          </cell>
          <cell r="G727">
            <v>0</v>
          </cell>
          <cell r="H727">
            <v>2880.3777777777777</v>
          </cell>
        </row>
        <row r="728">
          <cell r="A728" t="str">
            <v>1-04-13</v>
          </cell>
          <cell r="C728" t="str">
            <v>Placa de contrapiso en concreto de 17,2 Mpa e = 0,07 m</v>
          </cell>
          <cell r="D728" t="str">
            <v>M2</v>
          </cell>
          <cell r="F728">
            <v>68765</v>
          </cell>
        </row>
        <row r="729">
          <cell r="A729" t="str">
            <v>MAT</v>
          </cell>
          <cell r="B729" t="str">
            <v>MAT,012</v>
          </cell>
          <cell r="C729" t="str">
            <v>ACPM</v>
          </cell>
          <cell r="D729" t="str">
            <v>Gl</v>
          </cell>
          <cell r="E729">
            <v>0.05</v>
          </cell>
          <cell r="F729">
            <v>10808</v>
          </cell>
          <cell r="G729">
            <v>1.05</v>
          </cell>
          <cell r="H729">
            <v>567.41999999999996</v>
          </cell>
        </row>
        <row r="730">
          <cell r="B730" t="str">
            <v>MAT,039</v>
          </cell>
          <cell r="C730" t="str">
            <v>Antisol blanco o similar</v>
          </cell>
          <cell r="D730" t="str">
            <v>Kg</v>
          </cell>
          <cell r="E730">
            <v>0.2</v>
          </cell>
          <cell r="F730">
            <v>13045</v>
          </cell>
          <cell r="G730">
            <v>1.03</v>
          </cell>
          <cell r="H730">
            <v>2687.2700000000004</v>
          </cell>
        </row>
        <row r="731">
          <cell r="B731" t="str">
            <v>MAT,333</v>
          </cell>
          <cell r="C731" t="str">
            <v>Puntilla (Promedio)</v>
          </cell>
          <cell r="D731" t="str">
            <v>Lb</v>
          </cell>
          <cell r="E731">
            <v>0.05</v>
          </cell>
          <cell r="F731">
            <v>5650</v>
          </cell>
          <cell r="G731">
            <v>0</v>
          </cell>
          <cell r="H731">
            <v>282.5</v>
          </cell>
        </row>
        <row r="732">
          <cell r="B732" t="str">
            <v>MAT,368</v>
          </cell>
          <cell r="C732" t="str">
            <v>Tabla para formaleta de 1" x 10" x 2,9 m</v>
          </cell>
          <cell r="D732" t="str">
            <v>M</v>
          </cell>
          <cell r="E732">
            <v>1</v>
          </cell>
          <cell r="F732">
            <v>10591</v>
          </cell>
          <cell r="G732">
            <v>0.33333333333333331</v>
          </cell>
          <cell r="H732">
            <v>3530.333333333333</v>
          </cell>
        </row>
        <row r="733">
          <cell r="B733" t="str">
            <v>MAT,487</v>
          </cell>
          <cell r="C733" t="str">
            <v>Varillón de sajo 3 x 3 cm</v>
          </cell>
          <cell r="D733" t="str">
            <v>M</v>
          </cell>
          <cell r="E733">
            <v>2</v>
          </cell>
          <cell r="F733">
            <v>360</v>
          </cell>
          <cell r="G733">
            <v>0.33333333333333331</v>
          </cell>
          <cell r="H733">
            <v>240</v>
          </cell>
        </row>
        <row r="734">
          <cell r="A734" t="str">
            <v>ÍTEMS</v>
          </cell>
          <cell r="B734" t="str">
            <v>G-01-03</v>
          </cell>
          <cell r="C734" t="str">
            <v xml:space="preserve">Concreto de 17,2 Mpa (Producción) </v>
          </cell>
          <cell r="D734" t="str">
            <v>M3</v>
          </cell>
          <cell r="E734">
            <v>7.0000000000000007E-2</v>
          </cell>
          <cell r="F734">
            <v>448188</v>
          </cell>
          <cell r="G734">
            <v>1.05</v>
          </cell>
          <cell r="H734">
            <v>32941.818000000007</v>
          </cell>
        </row>
        <row r="735">
          <cell r="A735" t="str">
            <v>M. O.</v>
          </cell>
          <cell r="B735" t="str">
            <v>MOB005</v>
          </cell>
          <cell r="C735" t="str">
            <v>Cuadrilla A 1 Of + 4 Ay (jornal + prestaciones)</v>
          </cell>
          <cell r="D735" t="str">
            <v>Día</v>
          </cell>
          <cell r="E735">
            <v>1</v>
          </cell>
          <cell r="F735">
            <v>518468</v>
          </cell>
          <cell r="G735">
            <v>0.05</v>
          </cell>
          <cell r="H735">
            <v>25923.4</v>
          </cell>
        </row>
        <row r="736">
          <cell r="A736" t="str">
            <v>EQUIPO</v>
          </cell>
          <cell r="B736" t="str">
            <v>EQU002</v>
          </cell>
          <cell r="C736" t="str">
            <v>Herramienta menor (% mano obra)</v>
          </cell>
          <cell r="D736" t="str">
            <v>%MO</v>
          </cell>
          <cell r="E736">
            <v>0.1</v>
          </cell>
          <cell r="F736">
            <v>25923.4</v>
          </cell>
          <cell r="G736">
            <v>0</v>
          </cell>
          <cell r="H736">
            <v>2592.34</v>
          </cell>
        </row>
        <row r="737">
          <cell r="A737" t="str">
            <v>1-04-14</v>
          </cell>
          <cell r="C737" t="str">
            <v>Columna en concreto de 20,7 (3000 PSI) Mpa sección &lt; 1600 cm2, no incluye refuerzo</v>
          </cell>
          <cell r="D737" t="str">
            <v>M3</v>
          </cell>
          <cell r="F737">
            <v>1270509</v>
          </cell>
        </row>
        <row r="738">
          <cell r="A738" t="str">
            <v>MATERIALES</v>
          </cell>
          <cell r="B738" t="str">
            <v>MAT,012</v>
          </cell>
          <cell r="C738" t="str">
            <v>ACPM</v>
          </cell>
          <cell r="D738" t="str">
            <v>Gl</v>
          </cell>
          <cell r="E738">
            <v>0.6</v>
          </cell>
          <cell r="F738">
            <v>10808</v>
          </cell>
          <cell r="G738">
            <v>0</v>
          </cell>
          <cell r="H738">
            <v>6484.8</v>
          </cell>
        </row>
        <row r="739">
          <cell r="B739" t="str">
            <v>MAT,039</v>
          </cell>
          <cell r="C739" t="str">
            <v>Antisol blanco o similar</v>
          </cell>
          <cell r="D739" t="str">
            <v>Kg</v>
          </cell>
          <cell r="E739">
            <v>3</v>
          </cell>
          <cell r="F739">
            <v>13045</v>
          </cell>
          <cell r="G739">
            <v>1.03</v>
          </cell>
          <cell r="H739">
            <v>40309.050000000003</v>
          </cell>
        </row>
        <row r="740">
          <cell r="B740" t="str">
            <v>MAT,116</v>
          </cell>
          <cell r="C740" t="str">
            <v>Cuartón de sajo 2" x 4" x 2,9 m</v>
          </cell>
          <cell r="D740" t="str">
            <v>M</v>
          </cell>
          <cell r="E740">
            <v>28</v>
          </cell>
          <cell r="F740">
            <v>5285</v>
          </cell>
          <cell r="G740">
            <v>0.33333333333333331</v>
          </cell>
          <cell r="H740">
            <v>49326.666666666664</v>
          </cell>
        </row>
        <row r="741">
          <cell r="B741" t="str">
            <v>MAT,333</v>
          </cell>
          <cell r="C741" t="str">
            <v>Puntilla (Promedio)</v>
          </cell>
          <cell r="D741" t="str">
            <v>Lb</v>
          </cell>
          <cell r="E741">
            <v>1.5</v>
          </cell>
          <cell r="F741">
            <v>5650</v>
          </cell>
          <cell r="G741">
            <v>0</v>
          </cell>
          <cell r="H741">
            <v>8475</v>
          </cell>
        </row>
        <row r="742">
          <cell r="B742" t="str">
            <v>MAT,368</v>
          </cell>
          <cell r="C742" t="str">
            <v>Tabla para formaleta de 1" x 10" x 2,9 m</v>
          </cell>
          <cell r="D742" t="str">
            <v>M</v>
          </cell>
          <cell r="E742">
            <v>50</v>
          </cell>
          <cell r="F742">
            <v>10591</v>
          </cell>
          <cell r="G742">
            <v>0.33333333333333331</v>
          </cell>
          <cell r="H742">
            <v>176516.66666666666</v>
          </cell>
        </row>
        <row r="743">
          <cell r="B743" t="str">
            <v>MAT,487</v>
          </cell>
          <cell r="C743" t="str">
            <v>Varillón de sajo 3 x 3 cm</v>
          </cell>
          <cell r="D743" t="str">
            <v>M</v>
          </cell>
          <cell r="E743">
            <v>10</v>
          </cell>
          <cell r="F743">
            <v>360</v>
          </cell>
          <cell r="G743">
            <v>0.33333333333333331</v>
          </cell>
          <cell r="H743">
            <v>1200</v>
          </cell>
        </row>
        <row r="744">
          <cell r="A744" t="str">
            <v>ÍTEMS</v>
          </cell>
          <cell r="B744" t="str">
            <v>G-01-04</v>
          </cell>
          <cell r="C744" t="str">
            <v xml:space="preserve">Concreto de 20,7 Mpa (Producción) </v>
          </cell>
          <cell r="D744" t="str">
            <v>M3</v>
          </cell>
          <cell r="E744">
            <v>1</v>
          </cell>
          <cell r="F744">
            <v>472746</v>
          </cell>
          <cell r="G744">
            <v>1.05</v>
          </cell>
          <cell r="H744">
            <v>496383.30000000005</v>
          </cell>
        </row>
        <row r="745">
          <cell r="A745" t="str">
            <v>M. O.</v>
          </cell>
          <cell r="B745" t="str">
            <v>MOB014</v>
          </cell>
          <cell r="C745" t="str">
            <v>Cuadrilla D 2 Of + 4 Ay (jornal + prestaciones)</v>
          </cell>
          <cell r="D745" t="str">
            <v>Día</v>
          </cell>
          <cell r="E745">
            <v>1</v>
          </cell>
          <cell r="F745">
            <v>679372</v>
          </cell>
          <cell r="G745">
            <v>0.58823529411764708</v>
          </cell>
          <cell r="H745">
            <v>399630.58823529416</v>
          </cell>
        </row>
        <row r="746">
          <cell r="A746" t="str">
            <v>EQUIPO</v>
          </cell>
          <cell r="B746" t="str">
            <v>EQU006</v>
          </cell>
          <cell r="C746" t="str">
            <v>Andamio certificado (% mano obra)</v>
          </cell>
          <cell r="D746" t="str">
            <v>%MO</v>
          </cell>
          <cell r="E746">
            <v>0.1</v>
          </cell>
          <cell r="F746">
            <v>399630.58823529416</v>
          </cell>
          <cell r="G746">
            <v>0</v>
          </cell>
          <cell r="H746">
            <v>39963.05882352942</v>
          </cell>
        </row>
        <row r="747">
          <cell r="B747" t="str">
            <v>EQU002</v>
          </cell>
          <cell r="C747" t="str">
            <v>Herramienta menor (% mano obra)</v>
          </cell>
          <cell r="D747" t="str">
            <v>%MO</v>
          </cell>
          <cell r="E747">
            <v>0.1</v>
          </cell>
          <cell r="F747">
            <v>399630.58823529416</v>
          </cell>
          <cell r="G747">
            <v>0</v>
          </cell>
          <cell r="H747">
            <v>39963.05882352942</v>
          </cell>
        </row>
        <row r="748">
          <cell r="B748" t="str">
            <v>EQU018</v>
          </cell>
          <cell r="C748" t="str">
            <v>Vibrador eléctrico o a gasolina</v>
          </cell>
          <cell r="D748" t="str">
            <v>Día</v>
          </cell>
          <cell r="E748">
            <v>1</v>
          </cell>
          <cell r="F748">
            <v>58310</v>
          </cell>
          <cell r="G748">
            <v>0.1</v>
          </cell>
          <cell r="H748">
            <v>5831</v>
          </cell>
        </row>
        <row r="749">
          <cell r="A749" t="str">
            <v>ENSAYOS</v>
          </cell>
          <cell r="B749" t="str">
            <v>ESY001</v>
          </cell>
          <cell r="C749" t="str">
            <v>Ensayo resistencia concretos</v>
          </cell>
          <cell r="D749" t="str">
            <v>Un</v>
          </cell>
          <cell r="E749">
            <v>0.5</v>
          </cell>
          <cell r="F749">
            <v>12852</v>
          </cell>
          <cell r="G749">
            <v>0</v>
          </cell>
          <cell r="H749">
            <v>6426</v>
          </cell>
        </row>
        <row r="750">
          <cell r="A750" t="str">
            <v>1-04-15</v>
          </cell>
          <cell r="C750" t="str">
            <v>Columna en concreto de 20,7 Mpa (3000 PSI) sección entre 1601 cm2 y 2500 cm2</v>
          </cell>
          <cell r="D750" t="str">
            <v>M3</v>
          </cell>
          <cell r="F750">
            <v>1203532</v>
          </cell>
        </row>
        <row r="751">
          <cell r="A751" t="str">
            <v>MATERIALES</v>
          </cell>
          <cell r="B751" t="str">
            <v>MAT,012</v>
          </cell>
          <cell r="C751" t="str">
            <v>ACPM</v>
          </cell>
          <cell r="D751" t="str">
            <v>Gl</v>
          </cell>
          <cell r="E751">
            <v>0.5</v>
          </cell>
          <cell r="F751">
            <v>10808</v>
          </cell>
          <cell r="G751">
            <v>0</v>
          </cell>
          <cell r="H751">
            <v>5404</v>
          </cell>
        </row>
        <row r="752">
          <cell r="B752" t="str">
            <v>MAT,039</v>
          </cell>
          <cell r="C752" t="str">
            <v>Antisol blanco o similar</v>
          </cell>
          <cell r="D752" t="str">
            <v>Kg</v>
          </cell>
          <cell r="E752">
            <v>2.5</v>
          </cell>
          <cell r="F752">
            <v>13045</v>
          </cell>
          <cell r="G752">
            <v>1.03</v>
          </cell>
          <cell r="H752">
            <v>33590.875</v>
          </cell>
        </row>
        <row r="753">
          <cell r="B753" t="str">
            <v>MAT,116</v>
          </cell>
          <cell r="C753" t="str">
            <v>Cuartón de sajo 2" x 4" x 2,9 m</v>
          </cell>
          <cell r="D753" t="str">
            <v>M</v>
          </cell>
          <cell r="E753">
            <v>23</v>
          </cell>
          <cell r="F753">
            <v>5285</v>
          </cell>
          <cell r="G753">
            <v>0.33333333333333331</v>
          </cell>
          <cell r="H753">
            <v>40518.333333333328</v>
          </cell>
        </row>
        <row r="754">
          <cell r="B754" t="str">
            <v>MAT,333</v>
          </cell>
          <cell r="C754" t="str">
            <v>Puntilla (Promedio)</v>
          </cell>
          <cell r="D754" t="str">
            <v>Lb</v>
          </cell>
          <cell r="E754">
            <v>2</v>
          </cell>
          <cell r="F754">
            <v>5650</v>
          </cell>
          <cell r="G754">
            <v>0</v>
          </cell>
          <cell r="H754">
            <v>11300</v>
          </cell>
        </row>
        <row r="755">
          <cell r="B755" t="str">
            <v>MAT,368</v>
          </cell>
          <cell r="C755" t="str">
            <v>Tabla para formaleta de 1" x 10" x 2,9 m</v>
          </cell>
          <cell r="D755" t="str">
            <v>M</v>
          </cell>
          <cell r="E755">
            <v>35</v>
          </cell>
          <cell r="F755">
            <v>10591</v>
          </cell>
          <cell r="G755">
            <v>0.33333333333333331</v>
          </cell>
          <cell r="H755">
            <v>123561.66666666666</v>
          </cell>
        </row>
        <row r="756">
          <cell r="B756" t="str">
            <v>MAT,487</v>
          </cell>
          <cell r="C756" t="str">
            <v>Varillón de sajo 3 x 3 cm</v>
          </cell>
          <cell r="D756" t="str">
            <v>M</v>
          </cell>
          <cell r="E756">
            <v>8</v>
          </cell>
          <cell r="F756">
            <v>360</v>
          </cell>
          <cell r="G756">
            <v>0.33333333333333331</v>
          </cell>
          <cell r="H756">
            <v>960</v>
          </cell>
        </row>
        <row r="757">
          <cell r="A757" t="str">
            <v>ÍTEMS</v>
          </cell>
          <cell r="B757" t="str">
            <v>G-01-04</v>
          </cell>
          <cell r="C757" t="str">
            <v xml:space="preserve">Concreto de 20,7 Mpa (Producción) </v>
          </cell>
          <cell r="D757" t="str">
            <v>M3</v>
          </cell>
          <cell r="E757">
            <v>1</v>
          </cell>
          <cell r="F757">
            <v>472746</v>
          </cell>
          <cell r="G757">
            <v>1.05</v>
          </cell>
          <cell r="H757">
            <v>496383.30000000005</v>
          </cell>
        </row>
        <row r="758">
          <cell r="A758" t="str">
            <v>M. O.</v>
          </cell>
          <cell r="B758" t="str">
            <v>MOB014</v>
          </cell>
          <cell r="C758" t="str">
            <v>Cuadrilla D 2 Of + 4 Ay (jornal + prestaciones)</v>
          </cell>
          <cell r="D758" t="str">
            <v>Día</v>
          </cell>
          <cell r="E758">
            <v>1</v>
          </cell>
          <cell r="F758">
            <v>679372</v>
          </cell>
          <cell r="G758">
            <v>0.58823529411764708</v>
          </cell>
          <cell r="H758">
            <v>399630.58823529416</v>
          </cell>
        </row>
        <row r="759">
          <cell r="A759" t="str">
            <v>EQUIPO</v>
          </cell>
          <cell r="B759" t="str">
            <v>EQU006</v>
          </cell>
          <cell r="C759" t="str">
            <v>Andamio certificado (% mano obra)</v>
          </cell>
          <cell r="D759" t="str">
            <v>%MO</v>
          </cell>
          <cell r="E759">
            <v>0.1</v>
          </cell>
          <cell r="F759">
            <v>399630.58823529416</v>
          </cell>
          <cell r="G759">
            <v>0</v>
          </cell>
          <cell r="H759">
            <v>39963.05882352942</v>
          </cell>
        </row>
        <row r="760">
          <cell r="B760" t="str">
            <v>EQU002</v>
          </cell>
          <cell r="C760" t="str">
            <v>Herramienta menor (% mano obra)</v>
          </cell>
          <cell r="D760" t="str">
            <v>%MO</v>
          </cell>
          <cell r="E760">
            <v>0.1</v>
          </cell>
          <cell r="F760">
            <v>399630.58823529416</v>
          </cell>
          <cell r="G760">
            <v>0</v>
          </cell>
          <cell r="H760">
            <v>39963.05882352942</v>
          </cell>
        </row>
        <row r="761">
          <cell r="B761" t="str">
            <v>EQU018</v>
          </cell>
          <cell r="C761" t="str">
            <v>Vibrador eléctrico o a gasolina</v>
          </cell>
          <cell r="D761" t="str">
            <v>Día</v>
          </cell>
          <cell r="E761">
            <v>1</v>
          </cell>
          <cell r="F761">
            <v>58310</v>
          </cell>
          <cell r="G761">
            <v>0.1</v>
          </cell>
          <cell r="H761">
            <v>5831</v>
          </cell>
        </row>
        <row r="762">
          <cell r="A762" t="str">
            <v>ENSAYOS</v>
          </cell>
          <cell r="B762" t="str">
            <v>ESY001</v>
          </cell>
          <cell r="C762" t="str">
            <v>Ensayo resistencia concretos</v>
          </cell>
          <cell r="D762" t="str">
            <v>Un</v>
          </cell>
          <cell r="E762">
            <v>0.5</v>
          </cell>
          <cell r="F762">
            <v>12852</v>
          </cell>
          <cell r="G762">
            <v>0</v>
          </cell>
          <cell r="H762">
            <v>6426</v>
          </cell>
        </row>
        <row r="763">
          <cell r="A763" t="str">
            <v>1-04-16</v>
          </cell>
          <cell r="C763" t="str">
            <v>Columna de amarre en concreto de 20,7 Mpa (3000 PSI) de 0,10 x 0,15 m, incluye refuerzo</v>
          </cell>
          <cell r="D763" t="str">
            <v>M</v>
          </cell>
          <cell r="F763">
            <v>91774</v>
          </cell>
        </row>
        <row r="764">
          <cell r="A764" t="str">
            <v>MAT</v>
          </cell>
          <cell r="B764" t="str">
            <v>MAT,012</v>
          </cell>
          <cell r="C764" t="str">
            <v>ACPM</v>
          </cell>
          <cell r="D764" t="str">
            <v>Gl</v>
          </cell>
          <cell r="E764">
            <v>0.05</v>
          </cell>
          <cell r="F764">
            <v>10808</v>
          </cell>
          <cell r="G764">
            <v>0</v>
          </cell>
          <cell r="H764">
            <v>540.4</v>
          </cell>
        </row>
        <row r="765">
          <cell r="B765" t="str">
            <v>MAT,039</v>
          </cell>
          <cell r="C765" t="str">
            <v>Antisol blanco o similar</v>
          </cell>
          <cell r="D765" t="str">
            <v>Kg</v>
          </cell>
          <cell r="E765">
            <v>0.1</v>
          </cell>
          <cell r="F765">
            <v>13045</v>
          </cell>
          <cell r="G765">
            <v>1.03</v>
          </cell>
          <cell r="H765">
            <v>1343.6350000000002</v>
          </cell>
        </row>
        <row r="766">
          <cell r="B766" t="str">
            <v>MAT,333</v>
          </cell>
          <cell r="C766" t="str">
            <v>Puntilla (Promedio)</v>
          </cell>
          <cell r="D766" t="str">
            <v>Lb</v>
          </cell>
          <cell r="E766">
            <v>0.25</v>
          </cell>
          <cell r="F766">
            <v>5650</v>
          </cell>
          <cell r="G766">
            <v>0</v>
          </cell>
          <cell r="H766">
            <v>1412.5</v>
          </cell>
        </row>
        <row r="767">
          <cell r="B767" t="str">
            <v>MAT,368</v>
          </cell>
          <cell r="C767" t="str">
            <v>Tabla para formaleta de 1" x 10" x 2,9 m</v>
          </cell>
          <cell r="D767" t="str">
            <v>M</v>
          </cell>
          <cell r="E767">
            <v>1</v>
          </cell>
          <cell r="F767">
            <v>10591</v>
          </cell>
          <cell r="G767">
            <v>0.33333333333333331</v>
          </cell>
          <cell r="H767">
            <v>3530.333333333333</v>
          </cell>
        </row>
        <row r="768">
          <cell r="B768" t="str">
            <v>MAT,487</v>
          </cell>
          <cell r="C768" t="str">
            <v>Varillón de sajo 3 x 3 cm</v>
          </cell>
          <cell r="D768" t="str">
            <v>M</v>
          </cell>
          <cell r="E768">
            <v>2</v>
          </cell>
          <cell r="F768">
            <v>360</v>
          </cell>
          <cell r="G768">
            <v>0.33333333333333331</v>
          </cell>
          <cell r="H768">
            <v>240</v>
          </cell>
        </row>
        <row r="769">
          <cell r="A769" t="str">
            <v>ÍTEMS</v>
          </cell>
          <cell r="B769" t="str">
            <v>G-01-04</v>
          </cell>
          <cell r="C769" t="str">
            <v xml:space="preserve">Concreto de 20,7 Mpa (Producción) </v>
          </cell>
          <cell r="D769" t="str">
            <v>M3</v>
          </cell>
          <cell r="E769">
            <v>1.4999999999999999E-2</v>
          </cell>
          <cell r="F769">
            <v>472746</v>
          </cell>
          <cell r="G769">
            <v>1.05</v>
          </cell>
          <cell r="H769">
            <v>7445.7495000000008</v>
          </cell>
        </row>
        <row r="770">
          <cell r="B770" t="str">
            <v>G-02-01</v>
          </cell>
          <cell r="C770" t="str">
            <v>Acero Fy = 37.000 PSI d ≤ 1/4"</v>
          </cell>
          <cell r="D770" t="str">
            <v>Kg</v>
          </cell>
          <cell r="E770">
            <v>4</v>
          </cell>
          <cell r="F770">
            <v>6894</v>
          </cell>
          <cell r="G770">
            <v>0</v>
          </cell>
          <cell r="H770">
            <v>27576</v>
          </cell>
        </row>
        <row r="771">
          <cell r="B771" t="str">
            <v>G-02-02</v>
          </cell>
          <cell r="C771" t="str">
            <v>Acero Fy = 60.000 PSI d &gt; 1/4"</v>
          </cell>
          <cell r="D771" t="str">
            <v>Kg</v>
          </cell>
          <cell r="E771">
            <v>2.2999999999999998</v>
          </cell>
          <cell r="F771">
            <v>7456</v>
          </cell>
          <cell r="G771">
            <v>0</v>
          </cell>
          <cell r="H771">
            <v>17148.8</v>
          </cell>
        </row>
        <row r="772">
          <cell r="A772" t="str">
            <v>M. O.</v>
          </cell>
          <cell r="B772" t="str">
            <v>MOB017</v>
          </cell>
          <cell r="C772" t="str">
            <v>Cuadrilla G 1 Of + 2 Ay (jornal + prestaciones)</v>
          </cell>
          <cell r="D772" t="str">
            <v>Día</v>
          </cell>
          <cell r="E772">
            <v>1</v>
          </cell>
          <cell r="F772">
            <v>339686</v>
          </cell>
          <cell r="G772">
            <v>0.08</v>
          </cell>
          <cell r="H772">
            <v>27174.880000000001</v>
          </cell>
        </row>
        <row r="773">
          <cell r="A773" t="str">
            <v>EQUIPO</v>
          </cell>
          <cell r="B773" t="str">
            <v>EQU006</v>
          </cell>
          <cell r="C773" t="str">
            <v>Andamio certificado (% mano obra)</v>
          </cell>
          <cell r="D773" t="str">
            <v>%MO</v>
          </cell>
          <cell r="E773">
            <v>0.05</v>
          </cell>
          <cell r="F773">
            <v>27174.880000000001</v>
          </cell>
          <cell r="G773">
            <v>0</v>
          </cell>
          <cell r="H773">
            <v>1358.7440000000001</v>
          </cell>
        </row>
        <row r="774">
          <cell r="B774" t="str">
            <v>EQU002</v>
          </cell>
          <cell r="C774" t="str">
            <v>Herramienta menor (% mano obra)</v>
          </cell>
          <cell r="D774" t="str">
            <v>%MO</v>
          </cell>
          <cell r="E774">
            <v>0.1</v>
          </cell>
          <cell r="F774">
            <v>27174.880000000001</v>
          </cell>
          <cell r="G774">
            <v>0</v>
          </cell>
          <cell r="H774">
            <v>2717.4880000000003</v>
          </cell>
        </row>
        <row r="775">
          <cell r="A775" t="str">
            <v>ENSAYOS</v>
          </cell>
          <cell r="B775" t="str">
            <v>ESY001</v>
          </cell>
          <cell r="C775" t="str">
            <v>Ensayo resistencia concretos</v>
          </cell>
          <cell r="D775" t="str">
            <v>Un</v>
          </cell>
          <cell r="E775">
            <v>0.1</v>
          </cell>
          <cell r="F775">
            <v>12852</v>
          </cell>
          <cell r="G775">
            <v>0</v>
          </cell>
          <cell r="H775">
            <v>1285.2</v>
          </cell>
        </row>
        <row r="776">
          <cell r="A776" t="str">
            <v>1-04-17</v>
          </cell>
          <cell r="C776" t="str">
            <v>Columna de amarre en concreto de 20,7 Mpa (3000 PSI) de 0,10 x 0,20 m, incluye refuerzo</v>
          </cell>
          <cell r="D776" t="str">
            <v>M</v>
          </cell>
          <cell r="F776">
            <v>94256</v>
          </cell>
        </row>
        <row r="777">
          <cell r="A777" t="str">
            <v>MAT</v>
          </cell>
          <cell r="B777" t="str">
            <v>MAT,012</v>
          </cell>
          <cell r="C777" t="str">
            <v>ACPM</v>
          </cell>
          <cell r="D777" t="str">
            <v>Gl</v>
          </cell>
          <cell r="E777">
            <v>0.05</v>
          </cell>
          <cell r="F777">
            <v>10808</v>
          </cell>
          <cell r="G777">
            <v>0</v>
          </cell>
          <cell r="H777">
            <v>540.4</v>
          </cell>
        </row>
        <row r="778">
          <cell r="B778" t="str">
            <v>MAT,039</v>
          </cell>
          <cell r="C778" t="str">
            <v>Antisol blanco o similar</v>
          </cell>
          <cell r="D778" t="str">
            <v>Kg</v>
          </cell>
          <cell r="E778">
            <v>0.1</v>
          </cell>
          <cell r="F778">
            <v>13045</v>
          </cell>
          <cell r="G778">
            <v>1.03</v>
          </cell>
          <cell r="H778">
            <v>1343.6350000000002</v>
          </cell>
        </row>
        <row r="779">
          <cell r="B779" t="str">
            <v>MAT,333</v>
          </cell>
          <cell r="C779" t="str">
            <v>Puntilla (Promedio)</v>
          </cell>
          <cell r="D779" t="str">
            <v>Lb</v>
          </cell>
          <cell r="E779">
            <v>0.25</v>
          </cell>
          <cell r="F779">
            <v>5650</v>
          </cell>
          <cell r="G779">
            <v>0</v>
          </cell>
          <cell r="H779">
            <v>1412.5</v>
          </cell>
        </row>
        <row r="780">
          <cell r="B780" t="str">
            <v>MAT,368</v>
          </cell>
          <cell r="C780" t="str">
            <v>Tabla para formaleta de 1" x 10" x 2,9 m</v>
          </cell>
          <cell r="D780" t="str">
            <v>M</v>
          </cell>
          <cell r="E780">
            <v>1</v>
          </cell>
          <cell r="F780">
            <v>10591</v>
          </cell>
          <cell r="G780">
            <v>0.33333333333333331</v>
          </cell>
          <cell r="H780">
            <v>3530.333333333333</v>
          </cell>
        </row>
        <row r="781">
          <cell r="B781" t="str">
            <v>MAT,487</v>
          </cell>
          <cell r="C781" t="str">
            <v>Varillón de sajo 3 x 3 cm</v>
          </cell>
          <cell r="D781" t="str">
            <v>M</v>
          </cell>
          <cell r="E781">
            <v>2</v>
          </cell>
          <cell r="F781">
            <v>360</v>
          </cell>
          <cell r="G781">
            <v>0.33333333333333331</v>
          </cell>
          <cell r="H781">
            <v>240</v>
          </cell>
        </row>
        <row r="782">
          <cell r="A782" t="str">
            <v>ÍTEMS</v>
          </cell>
          <cell r="B782" t="str">
            <v>G-01-04</v>
          </cell>
          <cell r="C782" t="str">
            <v xml:space="preserve">Concreto de 20,7 Mpa (Producción) </v>
          </cell>
          <cell r="D782" t="str">
            <v>M3</v>
          </cell>
          <cell r="E782">
            <v>2.0000000000000004E-2</v>
          </cell>
          <cell r="F782">
            <v>472746</v>
          </cell>
          <cell r="G782">
            <v>1.05</v>
          </cell>
          <cell r="H782">
            <v>9927.6660000000029</v>
          </cell>
        </row>
        <row r="783">
          <cell r="B783" t="str">
            <v>G-02-01</v>
          </cell>
          <cell r="C783" t="str">
            <v>Acero Fy = 37.000 PSI d ≤ 1/4"</v>
          </cell>
          <cell r="D783" t="str">
            <v>Kg</v>
          </cell>
          <cell r="E783">
            <v>4</v>
          </cell>
          <cell r="F783">
            <v>6894</v>
          </cell>
          <cell r="G783">
            <v>0</v>
          </cell>
          <cell r="H783">
            <v>27576</v>
          </cell>
        </row>
        <row r="784">
          <cell r="B784" t="str">
            <v>G-02-02</v>
          </cell>
          <cell r="C784" t="str">
            <v>Acero Fy = 60.000 PSI d &gt; 1/4"</v>
          </cell>
          <cell r="D784" t="str">
            <v>Kg</v>
          </cell>
          <cell r="E784">
            <v>2.2999999999999998</v>
          </cell>
          <cell r="F784">
            <v>7456</v>
          </cell>
          <cell r="G784">
            <v>0</v>
          </cell>
          <cell r="H784">
            <v>17148.8</v>
          </cell>
        </row>
        <row r="785">
          <cell r="A785" t="str">
            <v>M. O.</v>
          </cell>
          <cell r="B785" t="str">
            <v>MOB017</v>
          </cell>
          <cell r="C785" t="str">
            <v>Cuadrilla G 1 Of + 2 Ay (jornal + prestaciones)</v>
          </cell>
          <cell r="D785" t="str">
            <v>Día</v>
          </cell>
          <cell r="E785">
            <v>1</v>
          </cell>
          <cell r="F785">
            <v>339686</v>
          </cell>
          <cell r="G785">
            <v>0.08</v>
          </cell>
          <cell r="H785">
            <v>27174.880000000001</v>
          </cell>
        </row>
        <row r="786">
          <cell r="A786" t="str">
            <v>EQUIPO</v>
          </cell>
          <cell r="B786" t="str">
            <v>EQU006</v>
          </cell>
          <cell r="C786" t="str">
            <v>Andamio certificado (% mano obra)</v>
          </cell>
          <cell r="D786" t="str">
            <v>%MO</v>
          </cell>
          <cell r="E786">
            <v>0.05</v>
          </cell>
          <cell r="F786">
            <v>27174.880000000001</v>
          </cell>
          <cell r="G786">
            <v>0</v>
          </cell>
          <cell r="H786">
            <v>1358.7440000000001</v>
          </cell>
        </row>
        <row r="787">
          <cell r="B787" t="str">
            <v>EQU002</v>
          </cell>
          <cell r="C787" t="str">
            <v>Herramienta menor (% mano obra)</v>
          </cell>
          <cell r="D787" t="str">
            <v>%MO</v>
          </cell>
          <cell r="E787">
            <v>0.1</v>
          </cell>
          <cell r="F787">
            <v>27174.880000000001</v>
          </cell>
          <cell r="G787">
            <v>0</v>
          </cell>
          <cell r="H787">
            <v>2717.4880000000003</v>
          </cell>
        </row>
        <row r="788">
          <cell r="A788" t="str">
            <v>ENSAYOS</v>
          </cell>
          <cell r="B788" t="str">
            <v>ESY001</v>
          </cell>
          <cell r="C788" t="str">
            <v>Ensayo resistencia concretos</v>
          </cell>
          <cell r="D788" t="str">
            <v>Un</v>
          </cell>
          <cell r="E788">
            <v>0.1</v>
          </cell>
          <cell r="F788">
            <v>12852</v>
          </cell>
          <cell r="G788">
            <v>0</v>
          </cell>
          <cell r="H788">
            <v>1285.2</v>
          </cell>
        </row>
        <row r="789">
          <cell r="A789" t="str">
            <v>1-04-18</v>
          </cell>
          <cell r="C789" t="str">
            <v>Columna de amarre en concreto de 20,7 Mpa (3000 PSI) de 0,15 x 0,15 m, incluye refuerzo</v>
          </cell>
          <cell r="D789" t="str">
            <v>M</v>
          </cell>
          <cell r="F789">
            <v>98520</v>
          </cell>
        </row>
        <row r="790">
          <cell r="A790" t="str">
            <v>MAT</v>
          </cell>
          <cell r="B790" t="str">
            <v>MAT,012</v>
          </cell>
          <cell r="C790" t="str">
            <v>ACPM</v>
          </cell>
          <cell r="D790" t="str">
            <v>Gl</v>
          </cell>
          <cell r="E790">
            <v>0.05</v>
          </cell>
          <cell r="F790">
            <v>10808</v>
          </cell>
          <cell r="G790">
            <v>0</v>
          </cell>
          <cell r="H790">
            <v>540.4</v>
          </cell>
        </row>
        <row r="791">
          <cell r="B791" t="str">
            <v>MAT,039</v>
          </cell>
          <cell r="C791" t="str">
            <v>Antisol blanco o similar</v>
          </cell>
          <cell r="D791" t="str">
            <v>Kg</v>
          </cell>
          <cell r="E791">
            <v>0.1</v>
          </cell>
          <cell r="F791">
            <v>13045</v>
          </cell>
          <cell r="G791">
            <v>1.03</v>
          </cell>
          <cell r="H791">
            <v>1343.6350000000002</v>
          </cell>
        </row>
        <row r="792">
          <cell r="B792" t="str">
            <v>MAT,333</v>
          </cell>
          <cell r="C792" t="str">
            <v>Puntilla (Promedio)</v>
          </cell>
          <cell r="D792" t="str">
            <v>Lb</v>
          </cell>
          <cell r="E792">
            <v>0.25</v>
          </cell>
          <cell r="F792">
            <v>5650</v>
          </cell>
          <cell r="G792">
            <v>0</v>
          </cell>
          <cell r="H792">
            <v>1412.5</v>
          </cell>
        </row>
        <row r="793">
          <cell r="B793" t="str">
            <v>MAT,368</v>
          </cell>
          <cell r="C793" t="str">
            <v>Tabla para formaleta de 1" x 10" x 2,9 m</v>
          </cell>
          <cell r="D793" t="str">
            <v>M</v>
          </cell>
          <cell r="E793">
            <v>1</v>
          </cell>
          <cell r="F793">
            <v>10591</v>
          </cell>
          <cell r="G793">
            <v>0.33333333333333331</v>
          </cell>
          <cell r="H793">
            <v>3530.333333333333</v>
          </cell>
        </row>
        <row r="794">
          <cell r="B794" t="str">
            <v>MAT,487</v>
          </cell>
          <cell r="C794" t="str">
            <v>Varillón de sajo 3 x 3 cm</v>
          </cell>
          <cell r="D794" t="str">
            <v>M</v>
          </cell>
          <cell r="E794">
            <v>2</v>
          </cell>
          <cell r="F794">
            <v>360</v>
          </cell>
          <cell r="G794">
            <v>0.33333333333333331</v>
          </cell>
          <cell r="H794">
            <v>240</v>
          </cell>
        </row>
        <row r="795">
          <cell r="A795" t="str">
            <v>ÍTEMS</v>
          </cell>
          <cell r="B795" t="str">
            <v>G-01-04</v>
          </cell>
          <cell r="C795" t="str">
            <v xml:space="preserve">Concreto de 20,7 Mpa (Producción) </v>
          </cell>
          <cell r="D795" t="str">
            <v>M3</v>
          </cell>
          <cell r="E795">
            <v>2.2499999999999999E-2</v>
          </cell>
          <cell r="F795">
            <v>472746</v>
          </cell>
          <cell r="G795">
            <v>1.05</v>
          </cell>
          <cell r="H795">
            <v>11168.624250000001</v>
          </cell>
        </row>
        <row r="796">
          <cell r="B796" t="str">
            <v>G-02-02</v>
          </cell>
          <cell r="C796" t="str">
            <v>Acero Fy = 60.000 PSI d &gt; 1/4"</v>
          </cell>
          <cell r="D796" t="str">
            <v>Kg</v>
          </cell>
          <cell r="E796">
            <v>4</v>
          </cell>
          <cell r="F796">
            <v>7456</v>
          </cell>
          <cell r="G796">
            <v>0</v>
          </cell>
          <cell r="H796">
            <v>29824</v>
          </cell>
        </row>
        <row r="797">
          <cell r="B797" t="str">
            <v>G-02-01</v>
          </cell>
          <cell r="C797" t="str">
            <v>Acero Fy = 37.000 PSI d ≤ 1/4"</v>
          </cell>
          <cell r="D797" t="str">
            <v>Kg</v>
          </cell>
          <cell r="E797">
            <v>2.6</v>
          </cell>
          <cell r="F797">
            <v>6894</v>
          </cell>
          <cell r="G797">
            <v>0</v>
          </cell>
          <cell r="H797">
            <v>17924.400000000001</v>
          </cell>
        </row>
        <row r="798">
          <cell r="A798" t="str">
            <v>M. O.</v>
          </cell>
          <cell r="B798" t="str">
            <v>MOB017</v>
          </cell>
          <cell r="C798" t="str">
            <v>Cuadrilla G 1 Of + 2 Ay (jornal + prestaciones)</v>
          </cell>
          <cell r="D798" t="str">
            <v>Día</v>
          </cell>
          <cell r="E798">
            <v>1</v>
          </cell>
          <cell r="F798">
            <v>339686</v>
          </cell>
          <cell r="G798">
            <v>0.08</v>
          </cell>
          <cell r="H798">
            <v>27174.880000000001</v>
          </cell>
        </row>
        <row r="799">
          <cell r="A799" t="str">
            <v>EQUIPO</v>
          </cell>
          <cell r="B799" t="str">
            <v>EQU006</v>
          </cell>
          <cell r="C799" t="str">
            <v>Andamio certificado (% mano obra)</v>
          </cell>
          <cell r="D799" t="str">
            <v>%MO</v>
          </cell>
          <cell r="E799">
            <v>0.05</v>
          </cell>
          <cell r="F799">
            <v>27174.880000000001</v>
          </cell>
          <cell r="G799">
            <v>0</v>
          </cell>
          <cell r="H799">
            <v>1358.7440000000001</v>
          </cell>
        </row>
        <row r="800">
          <cell r="B800" t="str">
            <v>EQU002</v>
          </cell>
          <cell r="C800" t="str">
            <v>Herramienta menor (% mano obra)</v>
          </cell>
          <cell r="D800" t="str">
            <v>%MO</v>
          </cell>
          <cell r="E800">
            <v>0.1</v>
          </cell>
          <cell r="F800">
            <v>27174.880000000001</v>
          </cell>
          <cell r="G800">
            <v>0</v>
          </cell>
          <cell r="H800">
            <v>2717.4880000000003</v>
          </cell>
        </row>
        <row r="801">
          <cell r="A801" t="str">
            <v>ENSAYOS</v>
          </cell>
          <cell r="B801" t="str">
            <v>ESY001</v>
          </cell>
          <cell r="C801" t="str">
            <v>Ensayo resistencia concretos</v>
          </cell>
          <cell r="D801" t="str">
            <v>Un</v>
          </cell>
          <cell r="E801">
            <v>0.1</v>
          </cell>
          <cell r="F801">
            <v>12852</v>
          </cell>
          <cell r="G801">
            <v>0</v>
          </cell>
          <cell r="H801">
            <v>1285.2</v>
          </cell>
        </row>
        <row r="802">
          <cell r="A802" t="str">
            <v>1-04-19</v>
          </cell>
          <cell r="C802" t="str">
            <v>Columna de amarre en concreto de 20,7 Mpa (3000 PSI) de 0,15 x 0,20 m, incluye refuerzo</v>
          </cell>
          <cell r="D802" t="str">
            <v>M</v>
          </cell>
          <cell r="F802">
            <v>114627</v>
          </cell>
        </row>
        <row r="803">
          <cell r="A803" t="str">
            <v>MAT</v>
          </cell>
          <cell r="B803" t="str">
            <v>MAT,012</v>
          </cell>
          <cell r="C803" t="str">
            <v>ACPM</v>
          </cell>
          <cell r="D803" t="str">
            <v>Gl</v>
          </cell>
          <cell r="E803">
            <v>0.05</v>
          </cell>
          <cell r="F803">
            <v>10808</v>
          </cell>
          <cell r="G803">
            <v>0</v>
          </cell>
          <cell r="H803">
            <v>540.4</v>
          </cell>
        </row>
        <row r="804">
          <cell r="B804" t="str">
            <v>MAT,039</v>
          </cell>
          <cell r="C804" t="str">
            <v>Antisol blanco o similar</v>
          </cell>
          <cell r="D804" t="str">
            <v>Kg</v>
          </cell>
          <cell r="E804">
            <v>0.1</v>
          </cell>
          <cell r="F804">
            <v>13045</v>
          </cell>
          <cell r="G804">
            <v>1.03</v>
          </cell>
          <cell r="H804">
            <v>1343.6350000000002</v>
          </cell>
        </row>
        <row r="805">
          <cell r="B805" t="str">
            <v>MAT,333</v>
          </cell>
          <cell r="C805" t="str">
            <v>Puntilla (Promedio)</v>
          </cell>
          <cell r="D805" t="str">
            <v>Lb</v>
          </cell>
          <cell r="E805">
            <v>0.25</v>
          </cell>
          <cell r="F805">
            <v>5650</v>
          </cell>
          <cell r="G805">
            <v>0</v>
          </cell>
          <cell r="H805">
            <v>1412.5</v>
          </cell>
        </row>
        <row r="806">
          <cell r="B806" t="str">
            <v>MAT,368</v>
          </cell>
          <cell r="C806" t="str">
            <v>Tabla para formaleta de 1" x 10" x 2,9 m</v>
          </cell>
          <cell r="D806" t="str">
            <v>M</v>
          </cell>
          <cell r="E806">
            <v>4</v>
          </cell>
          <cell r="F806">
            <v>10591</v>
          </cell>
          <cell r="G806">
            <v>0.33333333333333331</v>
          </cell>
          <cell r="H806">
            <v>14121.333333333332</v>
          </cell>
        </row>
        <row r="807">
          <cell r="B807" t="str">
            <v>MAT,487</v>
          </cell>
          <cell r="C807" t="str">
            <v>Varillón de sajo 3 x 3 cm</v>
          </cell>
          <cell r="D807" t="str">
            <v>M</v>
          </cell>
          <cell r="E807">
            <v>2</v>
          </cell>
          <cell r="F807">
            <v>360</v>
          </cell>
          <cell r="G807">
            <v>0.33333333333333331</v>
          </cell>
          <cell r="H807">
            <v>240</v>
          </cell>
        </row>
        <row r="808">
          <cell r="A808" t="str">
            <v>ÍTEMS</v>
          </cell>
          <cell r="B808" t="str">
            <v>G-01-04</v>
          </cell>
          <cell r="C808" t="str">
            <v xml:space="preserve">Concreto de 20,7 Mpa (Producción) </v>
          </cell>
          <cell r="D808" t="str">
            <v>M3</v>
          </cell>
          <cell r="E808">
            <v>0.03</v>
          </cell>
          <cell r="F808">
            <v>472746</v>
          </cell>
          <cell r="G808">
            <v>1.05</v>
          </cell>
          <cell r="H808">
            <v>14891.499000000002</v>
          </cell>
        </row>
        <row r="809">
          <cell r="B809" t="str">
            <v>G-02-02</v>
          </cell>
          <cell r="C809" t="str">
            <v>Acero Fy = 60.000 PSI d &gt; 1/4"</v>
          </cell>
          <cell r="D809" t="str">
            <v>Kg</v>
          </cell>
          <cell r="E809">
            <v>4</v>
          </cell>
          <cell r="F809">
            <v>7456</v>
          </cell>
          <cell r="G809">
            <v>0</v>
          </cell>
          <cell r="H809">
            <v>29824</v>
          </cell>
        </row>
        <row r="810">
          <cell r="B810" t="str">
            <v>G-02-01</v>
          </cell>
          <cell r="C810" t="str">
            <v>Acero Fy = 37.000 PSI d ≤ 1/4"</v>
          </cell>
          <cell r="D810" t="str">
            <v>Kg</v>
          </cell>
          <cell r="E810">
            <v>2.86</v>
          </cell>
          <cell r="F810">
            <v>6894</v>
          </cell>
          <cell r="G810">
            <v>0</v>
          </cell>
          <cell r="H810">
            <v>19716.84</v>
          </cell>
        </row>
        <row r="811">
          <cell r="A811" t="str">
            <v>M. O.</v>
          </cell>
          <cell r="B811" t="str">
            <v>MOB017</v>
          </cell>
          <cell r="C811" t="str">
            <v>Cuadrilla G 1 Of + 2 Ay (jornal + prestaciones)</v>
          </cell>
          <cell r="D811" t="str">
            <v>Día</v>
          </cell>
          <cell r="E811">
            <v>1</v>
          </cell>
          <cell r="F811">
            <v>339686</v>
          </cell>
          <cell r="G811">
            <v>0.08</v>
          </cell>
          <cell r="H811">
            <v>27174.880000000001</v>
          </cell>
        </row>
        <row r="812">
          <cell r="A812" t="str">
            <v>EQUIPO</v>
          </cell>
          <cell r="B812" t="str">
            <v>EQU006</v>
          </cell>
          <cell r="C812" t="str">
            <v>Andamio certificado (% mano obra)</v>
          </cell>
          <cell r="D812" t="str">
            <v>%MO</v>
          </cell>
          <cell r="E812">
            <v>0.05</v>
          </cell>
          <cell r="F812">
            <v>27174.880000000001</v>
          </cell>
          <cell r="G812">
            <v>0</v>
          </cell>
          <cell r="H812">
            <v>1358.7440000000001</v>
          </cell>
        </row>
        <row r="813">
          <cell r="B813" t="str">
            <v>EQU002</v>
          </cell>
          <cell r="C813" t="str">
            <v>Herramienta menor (% mano obra)</v>
          </cell>
          <cell r="D813" t="str">
            <v>%MO</v>
          </cell>
          <cell r="E813">
            <v>0.1</v>
          </cell>
          <cell r="F813">
            <v>27174.880000000001</v>
          </cell>
          <cell r="G813">
            <v>0</v>
          </cell>
          <cell r="H813">
            <v>2717.4880000000003</v>
          </cell>
        </row>
        <row r="814">
          <cell r="A814" t="str">
            <v>ENSAYOS</v>
          </cell>
          <cell r="B814" t="str">
            <v>ESY001</v>
          </cell>
          <cell r="C814" t="str">
            <v>Ensayo resistencia concretos</v>
          </cell>
          <cell r="D814" t="str">
            <v>Un</v>
          </cell>
          <cell r="E814">
            <v>0.1</v>
          </cell>
          <cell r="F814">
            <v>12852</v>
          </cell>
          <cell r="G814">
            <v>0</v>
          </cell>
          <cell r="H814">
            <v>1285.2</v>
          </cell>
        </row>
        <row r="815">
          <cell r="A815" t="str">
            <v>1-04-20</v>
          </cell>
          <cell r="C815" t="str">
            <v>Columna circular en concreto visto de 20,7 Mpa (3000 PSI) d =  0,45 m, no incluye acero</v>
          </cell>
          <cell r="D815" t="str">
            <v>M3</v>
          </cell>
          <cell r="F815">
            <v>1687576</v>
          </cell>
        </row>
        <row r="816">
          <cell r="A816" t="str">
            <v>MATERIALES</v>
          </cell>
          <cell r="B816" t="str">
            <v>MAT,012</v>
          </cell>
          <cell r="C816" t="str">
            <v>ACPM</v>
          </cell>
          <cell r="D816" t="str">
            <v>Gl</v>
          </cell>
          <cell r="E816">
            <v>0.6</v>
          </cell>
          <cell r="F816">
            <v>10808</v>
          </cell>
          <cell r="G816">
            <v>0</v>
          </cell>
          <cell r="H816">
            <v>6484.8</v>
          </cell>
        </row>
        <row r="817">
          <cell r="B817" t="str">
            <v>MAT,039</v>
          </cell>
          <cell r="C817" t="str">
            <v>Antisol blanco o similar</v>
          </cell>
          <cell r="D817" t="str">
            <v>Kg</v>
          </cell>
          <cell r="E817">
            <v>2.5</v>
          </cell>
          <cell r="F817">
            <v>13045</v>
          </cell>
          <cell r="G817">
            <v>1.03</v>
          </cell>
          <cell r="H817">
            <v>33590.875</v>
          </cell>
        </row>
        <row r="818">
          <cell r="B818" t="str">
            <v>MAT,116</v>
          </cell>
          <cell r="C818" t="str">
            <v>Cuartón de sajo 2" x 4" x 2,9 m</v>
          </cell>
          <cell r="D818" t="str">
            <v>M</v>
          </cell>
          <cell r="E818">
            <v>12</v>
          </cell>
          <cell r="F818">
            <v>5285</v>
          </cell>
          <cell r="G818">
            <v>0.33333333333333331</v>
          </cell>
          <cell r="H818">
            <v>21140</v>
          </cell>
        </row>
        <row r="819">
          <cell r="B819" t="str">
            <v>MAT,176</v>
          </cell>
          <cell r="C819" t="str">
            <v>Guadua basa longitud promedio = 5 m</v>
          </cell>
          <cell r="D819" t="str">
            <v>Un</v>
          </cell>
          <cell r="E819">
            <v>8</v>
          </cell>
          <cell r="F819">
            <v>5250</v>
          </cell>
          <cell r="G819">
            <v>0.33333333333333331</v>
          </cell>
          <cell r="H819">
            <v>14000</v>
          </cell>
        </row>
        <row r="820">
          <cell r="B820" t="str">
            <v>MAT,222</v>
          </cell>
          <cell r="C820" t="str">
            <v>Listón sajo de 5 x 3 cm x 2,5 m (varilla)</v>
          </cell>
          <cell r="D820" t="str">
            <v>M</v>
          </cell>
          <cell r="E820">
            <v>25</v>
          </cell>
          <cell r="F820">
            <v>4704</v>
          </cell>
          <cell r="G820">
            <v>0.33333333333333331</v>
          </cell>
          <cell r="H820">
            <v>39200</v>
          </cell>
        </row>
        <row r="821">
          <cell r="B821" t="str">
            <v>MAT,333</v>
          </cell>
          <cell r="C821" t="str">
            <v>Puntilla (Promedio)</v>
          </cell>
          <cell r="D821" t="str">
            <v>Lb</v>
          </cell>
          <cell r="E821">
            <v>4</v>
          </cell>
          <cell r="F821">
            <v>5650</v>
          </cell>
          <cell r="G821">
            <v>0</v>
          </cell>
          <cell r="H821">
            <v>22600</v>
          </cell>
        </row>
        <row r="822">
          <cell r="B822" t="str">
            <v>MAT,368</v>
          </cell>
          <cell r="C822" t="str">
            <v>Tabla para formaleta de 1" x 10" x 2,9 m</v>
          </cell>
          <cell r="D822" t="str">
            <v>M</v>
          </cell>
          <cell r="E822">
            <v>36</v>
          </cell>
          <cell r="F822">
            <v>10591</v>
          </cell>
          <cell r="G822">
            <v>0.33333333333333331</v>
          </cell>
          <cell r="H822">
            <v>127091.99999999999</v>
          </cell>
        </row>
        <row r="823">
          <cell r="B823" t="str">
            <v>MAT,375</v>
          </cell>
          <cell r="C823" t="str">
            <v>Tablilla fina para piso (chanú)</v>
          </cell>
          <cell r="D823" t="str">
            <v>M2</v>
          </cell>
          <cell r="E823">
            <v>9</v>
          </cell>
          <cell r="F823">
            <v>87921</v>
          </cell>
          <cell r="G823">
            <v>0.33333333333333331</v>
          </cell>
          <cell r="H823">
            <v>263763</v>
          </cell>
        </row>
        <row r="824">
          <cell r="A824" t="str">
            <v>ÍTEMS</v>
          </cell>
          <cell r="B824" t="str">
            <v>G-01-04</v>
          </cell>
          <cell r="C824" t="str">
            <v xml:space="preserve">Concreto de 20,7 Mpa (Producción) </v>
          </cell>
          <cell r="D824" t="str">
            <v>M3</v>
          </cell>
          <cell r="E824">
            <v>1</v>
          </cell>
          <cell r="F824">
            <v>472746</v>
          </cell>
          <cell r="G824">
            <v>1.05</v>
          </cell>
          <cell r="H824">
            <v>496383.30000000005</v>
          </cell>
        </row>
        <row r="825">
          <cell r="A825" t="str">
            <v>M. O.</v>
          </cell>
          <cell r="B825" t="str">
            <v>MOB014</v>
          </cell>
          <cell r="C825" t="str">
            <v>Cuadrilla D 2 Of + 4 Ay (jornal + prestaciones)</v>
          </cell>
          <cell r="D825" t="str">
            <v>Día</v>
          </cell>
          <cell r="E825">
            <v>1</v>
          </cell>
          <cell r="F825">
            <v>679372</v>
          </cell>
          <cell r="G825">
            <v>0.83333333333333337</v>
          </cell>
          <cell r="H825">
            <v>566143.33333333337</v>
          </cell>
        </row>
        <row r="826">
          <cell r="A826" t="str">
            <v>EQUIPO</v>
          </cell>
          <cell r="B826" t="str">
            <v>EQU006</v>
          </cell>
          <cell r="C826" t="str">
            <v>Andamio certificado (% mano obra)</v>
          </cell>
          <cell r="D826" t="str">
            <v>%MO</v>
          </cell>
          <cell r="E826">
            <v>0.05</v>
          </cell>
          <cell r="F826">
            <v>566143.33333333337</v>
          </cell>
          <cell r="G826">
            <v>0</v>
          </cell>
          <cell r="H826">
            <v>28307.166666666672</v>
          </cell>
        </row>
        <row r="827">
          <cell r="B827" t="str">
            <v>EQU002</v>
          </cell>
          <cell r="C827" t="str">
            <v>Herramienta menor (% mano obra)</v>
          </cell>
          <cell r="D827" t="str">
            <v>%MO</v>
          </cell>
          <cell r="E827">
            <v>0.1</v>
          </cell>
          <cell r="F827">
            <v>566143.33333333337</v>
          </cell>
          <cell r="G827">
            <v>0</v>
          </cell>
          <cell r="H827">
            <v>56614.333333333343</v>
          </cell>
        </row>
        <row r="828">
          <cell r="B828" t="str">
            <v>EQU018</v>
          </cell>
          <cell r="C828" t="str">
            <v>Vibrador eléctrico o a gasolina</v>
          </cell>
          <cell r="D828" t="str">
            <v>Día</v>
          </cell>
          <cell r="E828">
            <v>1</v>
          </cell>
          <cell r="F828">
            <v>58310</v>
          </cell>
          <cell r="G828">
            <v>0.1</v>
          </cell>
          <cell r="H828">
            <v>5831</v>
          </cell>
        </row>
        <row r="829">
          <cell r="A829" t="str">
            <v>ENSAYOS</v>
          </cell>
          <cell r="B829" t="str">
            <v>ESY001</v>
          </cell>
          <cell r="C829" t="str">
            <v>Ensayo resistencia concretos</v>
          </cell>
          <cell r="D829" t="str">
            <v>Un</v>
          </cell>
          <cell r="E829">
            <v>0.5</v>
          </cell>
          <cell r="F829">
            <v>12852</v>
          </cell>
          <cell r="G829">
            <v>0</v>
          </cell>
          <cell r="H829">
            <v>6426</v>
          </cell>
        </row>
        <row r="830">
          <cell r="A830" t="str">
            <v>1-04-21</v>
          </cell>
          <cell r="C830" t="str">
            <v>Columna circular en concreto visto de 20,7 Mpa (3000 PSI) d = 0,65 m, no incluye acero</v>
          </cell>
          <cell r="D830" t="str">
            <v>M3</v>
          </cell>
          <cell r="F830">
            <v>1732106</v>
          </cell>
        </row>
        <row r="831">
          <cell r="A831" t="str">
            <v>MATERIALES</v>
          </cell>
          <cell r="B831" t="str">
            <v>MAT,012</v>
          </cell>
          <cell r="C831" t="str">
            <v>ACPM</v>
          </cell>
          <cell r="D831" t="str">
            <v>Gl</v>
          </cell>
          <cell r="E831">
            <v>0.6</v>
          </cell>
          <cell r="F831">
            <v>10808</v>
          </cell>
          <cell r="G831">
            <v>0</v>
          </cell>
          <cell r="H831">
            <v>6484.8</v>
          </cell>
        </row>
        <row r="832">
          <cell r="B832" t="str">
            <v>MAT,039</v>
          </cell>
          <cell r="C832" t="str">
            <v>Antisol blanco o similar</v>
          </cell>
          <cell r="D832" t="str">
            <v>Kg</v>
          </cell>
          <cell r="E832">
            <v>2.5</v>
          </cell>
          <cell r="F832">
            <v>13045</v>
          </cell>
          <cell r="G832">
            <v>1.03</v>
          </cell>
          <cell r="H832">
            <v>33590.875</v>
          </cell>
        </row>
        <row r="833">
          <cell r="B833" t="str">
            <v>MAT,116</v>
          </cell>
          <cell r="C833" t="str">
            <v>Cuartón de sajo 2" x 4" x 2,9 m</v>
          </cell>
          <cell r="D833" t="str">
            <v>M</v>
          </cell>
          <cell r="E833">
            <v>6</v>
          </cell>
          <cell r="F833">
            <v>5285</v>
          </cell>
          <cell r="G833">
            <v>0.33333333333333331</v>
          </cell>
          <cell r="H833">
            <v>10570</v>
          </cell>
        </row>
        <row r="834">
          <cell r="B834" t="str">
            <v>MAT,176</v>
          </cell>
          <cell r="C834" t="str">
            <v>Guadua basa longitud promedio = 5 m</v>
          </cell>
          <cell r="D834" t="str">
            <v>Un</v>
          </cell>
          <cell r="E834">
            <v>4</v>
          </cell>
          <cell r="F834">
            <v>5250</v>
          </cell>
          <cell r="G834">
            <v>0.33333333333333331</v>
          </cell>
          <cell r="H834">
            <v>7000</v>
          </cell>
        </row>
        <row r="835">
          <cell r="B835" t="str">
            <v>MAT,222</v>
          </cell>
          <cell r="C835" t="str">
            <v>Listón sajo de 5 x 3 cm x 2,5 m (varilla)</v>
          </cell>
          <cell r="D835" t="str">
            <v>M</v>
          </cell>
          <cell r="E835">
            <v>12</v>
          </cell>
          <cell r="F835">
            <v>4704</v>
          </cell>
          <cell r="G835">
            <v>0.33333333333333331</v>
          </cell>
          <cell r="H835">
            <v>18816</v>
          </cell>
        </row>
        <row r="836">
          <cell r="B836" t="str">
            <v>MAT,333</v>
          </cell>
          <cell r="C836" t="str">
            <v>Puntilla (Promedio)</v>
          </cell>
          <cell r="D836" t="str">
            <v>Lb</v>
          </cell>
          <cell r="E836">
            <v>2</v>
          </cell>
          <cell r="F836">
            <v>5650</v>
          </cell>
          <cell r="G836">
            <v>0</v>
          </cell>
          <cell r="H836">
            <v>11300</v>
          </cell>
        </row>
        <row r="837">
          <cell r="B837" t="str">
            <v>MAT,368</v>
          </cell>
          <cell r="C837" t="str">
            <v>Tabla para formaleta de 1" x 10" x 2,9 m</v>
          </cell>
          <cell r="D837" t="str">
            <v>M</v>
          </cell>
          <cell r="E837">
            <v>25</v>
          </cell>
          <cell r="F837">
            <v>10591</v>
          </cell>
          <cell r="G837">
            <v>0.33333333333333331</v>
          </cell>
          <cell r="H837">
            <v>88258.333333333328</v>
          </cell>
        </row>
        <row r="838">
          <cell r="B838" t="str">
            <v>MAT,375</v>
          </cell>
          <cell r="C838" t="str">
            <v>Tablilla fina para piso (chanú)</v>
          </cell>
          <cell r="D838" t="str">
            <v>M2</v>
          </cell>
          <cell r="E838">
            <v>6.12</v>
          </cell>
          <cell r="F838">
            <v>87921</v>
          </cell>
          <cell r="G838">
            <v>0.33333333333333331</v>
          </cell>
          <cell r="H838">
            <v>179358.84</v>
          </cell>
        </row>
        <row r="839">
          <cell r="A839" t="str">
            <v>ÍTEMS</v>
          </cell>
          <cell r="B839" t="str">
            <v>G-01-04</v>
          </cell>
          <cell r="C839" t="str">
            <v xml:space="preserve">Concreto de 20,7 Mpa (Producción) </v>
          </cell>
          <cell r="D839" t="str">
            <v>M3</v>
          </cell>
          <cell r="E839">
            <v>1</v>
          </cell>
          <cell r="F839">
            <v>472746</v>
          </cell>
          <cell r="G839">
            <v>1.05</v>
          </cell>
          <cell r="H839">
            <v>496383.30000000005</v>
          </cell>
        </row>
        <row r="840">
          <cell r="A840" t="str">
            <v>M. O.</v>
          </cell>
          <cell r="B840" t="str">
            <v>MOB014</v>
          </cell>
          <cell r="C840" t="str">
            <v>Cuadrilla D 2 Of + 4 Ay (jornal + prestaciones)</v>
          </cell>
          <cell r="D840" t="str">
            <v>Día</v>
          </cell>
          <cell r="E840">
            <v>1</v>
          </cell>
          <cell r="F840">
            <v>679372</v>
          </cell>
          <cell r="G840">
            <v>1.1111111111111112</v>
          </cell>
          <cell r="H840">
            <v>754857.77777777787</v>
          </cell>
        </row>
        <row r="841">
          <cell r="A841" t="str">
            <v>EQUIPO</v>
          </cell>
          <cell r="B841" t="str">
            <v>EQU006</v>
          </cell>
          <cell r="C841" t="str">
            <v>Andamio certificado (% mano obra)</v>
          </cell>
          <cell r="D841" t="str">
            <v>%MO</v>
          </cell>
          <cell r="E841">
            <v>0.05</v>
          </cell>
          <cell r="F841">
            <v>754857.77777777787</v>
          </cell>
          <cell r="G841">
            <v>0</v>
          </cell>
          <cell r="H841">
            <v>37742.888888888898</v>
          </cell>
        </row>
        <row r="842">
          <cell r="B842" t="str">
            <v>EQU002</v>
          </cell>
          <cell r="C842" t="str">
            <v>Herramienta menor (% mano obra)</v>
          </cell>
          <cell r="D842" t="str">
            <v>%MO</v>
          </cell>
          <cell r="E842">
            <v>0.1</v>
          </cell>
          <cell r="F842">
            <v>754857.77777777787</v>
          </cell>
          <cell r="G842">
            <v>0</v>
          </cell>
          <cell r="H842">
            <v>75485.777777777796</v>
          </cell>
        </row>
        <row r="843">
          <cell r="B843" t="str">
            <v>EQU018</v>
          </cell>
          <cell r="C843" t="str">
            <v>Vibrador eléctrico o a gasolina</v>
          </cell>
          <cell r="D843" t="str">
            <v>Día</v>
          </cell>
          <cell r="E843">
            <v>1</v>
          </cell>
          <cell r="F843">
            <v>58310</v>
          </cell>
          <cell r="G843">
            <v>0.1</v>
          </cell>
          <cell r="H843">
            <v>5831</v>
          </cell>
        </row>
        <row r="844">
          <cell r="A844" t="str">
            <v>ENSAYOS</v>
          </cell>
          <cell r="B844" t="str">
            <v>ESY001</v>
          </cell>
          <cell r="C844" t="str">
            <v>Ensayo resistencia concretos</v>
          </cell>
          <cell r="D844" t="str">
            <v>Un</v>
          </cell>
          <cell r="E844">
            <v>0.5</v>
          </cell>
          <cell r="F844">
            <v>12852</v>
          </cell>
          <cell r="G844">
            <v>0</v>
          </cell>
          <cell r="H844">
            <v>6426</v>
          </cell>
        </row>
        <row r="845">
          <cell r="A845" t="str">
            <v>1-04-22</v>
          </cell>
          <cell r="C845" t="str">
            <v>Escalera en concreto de 20,7 Mpa (3000 PSI) sobre terreno e = 0,12 m, incluye malla</v>
          </cell>
          <cell r="D845" t="str">
            <v>M2</v>
          </cell>
          <cell r="F845">
            <v>203141</v>
          </cell>
        </row>
        <row r="846">
          <cell r="A846" t="str">
            <v>MATERIALES</v>
          </cell>
          <cell r="B846" t="str">
            <v>MAT,012</v>
          </cell>
          <cell r="C846" t="str">
            <v>ACPM</v>
          </cell>
          <cell r="D846" t="str">
            <v>Gl</v>
          </cell>
          <cell r="E846">
            <v>0.05</v>
          </cell>
          <cell r="F846">
            <v>10808</v>
          </cell>
          <cell r="G846">
            <v>0</v>
          </cell>
          <cell r="H846">
            <v>540.4</v>
          </cell>
        </row>
        <row r="847">
          <cell r="B847" t="str">
            <v>MAT,039</v>
          </cell>
          <cell r="C847" t="str">
            <v>Antisol blanco o similar</v>
          </cell>
          <cell r="D847" t="str">
            <v>Kg</v>
          </cell>
          <cell r="E847">
            <v>0.2</v>
          </cell>
          <cell r="F847">
            <v>13045</v>
          </cell>
          <cell r="G847">
            <v>1.03</v>
          </cell>
          <cell r="H847">
            <v>2687.2700000000004</v>
          </cell>
        </row>
        <row r="848">
          <cell r="B848" t="str">
            <v>MAT,235</v>
          </cell>
          <cell r="C848" t="str">
            <v>Malla electrosoldada ojo 0,15 x 0,15 m 6,00 x 2,35 m de 5 mm</v>
          </cell>
          <cell r="D848" t="str">
            <v>M2</v>
          </cell>
          <cell r="E848">
            <v>1</v>
          </cell>
          <cell r="F848">
            <v>4992</v>
          </cell>
          <cell r="G848">
            <v>1.05</v>
          </cell>
          <cell r="H848">
            <v>5241.6000000000004</v>
          </cell>
        </row>
        <row r="849">
          <cell r="B849" t="str">
            <v>MAT,333</v>
          </cell>
          <cell r="C849" t="str">
            <v>Puntilla (Promedio)</v>
          </cell>
          <cell r="D849" t="str">
            <v>Lb</v>
          </cell>
          <cell r="E849">
            <v>0.2</v>
          </cell>
          <cell r="F849">
            <v>5650</v>
          </cell>
          <cell r="G849">
            <v>0</v>
          </cell>
          <cell r="H849">
            <v>1130</v>
          </cell>
        </row>
        <row r="850">
          <cell r="B850" t="str">
            <v>MAT,368</v>
          </cell>
          <cell r="C850" t="str">
            <v>Tabla para formaleta de 1" x 10" x 2,9 m</v>
          </cell>
          <cell r="D850" t="str">
            <v>M</v>
          </cell>
          <cell r="E850">
            <v>5</v>
          </cell>
          <cell r="F850">
            <v>10591</v>
          </cell>
          <cell r="G850">
            <v>0.33333333333333331</v>
          </cell>
          <cell r="H850">
            <v>17651.666666666664</v>
          </cell>
        </row>
        <row r="851">
          <cell r="B851" t="str">
            <v>MAT,487</v>
          </cell>
          <cell r="C851" t="str">
            <v>Varillón de sajo 3 x 3 cm</v>
          </cell>
          <cell r="D851" t="str">
            <v>M</v>
          </cell>
          <cell r="E851">
            <v>3</v>
          </cell>
          <cell r="F851">
            <v>360</v>
          </cell>
          <cell r="G851">
            <v>0.33333333333333331</v>
          </cell>
          <cell r="H851">
            <v>360</v>
          </cell>
        </row>
        <row r="852">
          <cell r="A852" t="str">
            <v>ÍTEMS</v>
          </cell>
          <cell r="B852" t="str">
            <v>G-01-04</v>
          </cell>
          <cell r="C852" t="str">
            <v xml:space="preserve">Concreto de 20,7 Mpa (Producción) </v>
          </cell>
          <cell r="D852" t="str">
            <v>M3</v>
          </cell>
          <cell r="E852">
            <v>0.21</v>
          </cell>
          <cell r="F852">
            <v>472746</v>
          </cell>
          <cell r="G852">
            <v>1.05</v>
          </cell>
          <cell r="H852">
            <v>104240.493</v>
          </cell>
        </row>
        <row r="853">
          <cell r="A853" t="str">
            <v>M. O.</v>
          </cell>
          <cell r="B853" t="str">
            <v>MOB005</v>
          </cell>
          <cell r="C853" t="str">
            <v>Cuadrilla A 1 Of + 4 Ay (jornal + prestaciones)</v>
          </cell>
          <cell r="D853" t="str">
            <v>Día</v>
          </cell>
          <cell r="E853">
            <v>1</v>
          </cell>
          <cell r="F853">
            <v>518468</v>
          </cell>
          <cell r="G853">
            <v>0.125</v>
          </cell>
          <cell r="H853">
            <v>64808.5</v>
          </cell>
        </row>
        <row r="854">
          <cell r="A854" t="str">
            <v>EQUIPO</v>
          </cell>
          <cell r="B854" t="str">
            <v>EQU002</v>
          </cell>
          <cell r="C854" t="str">
            <v>Herramienta menor (% mano obra)</v>
          </cell>
          <cell r="D854" t="str">
            <v>%MO</v>
          </cell>
          <cell r="E854">
            <v>0.1</v>
          </cell>
          <cell r="F854">
            <v>64808.5</v>
          </cell>
          <cell r="G854">
            <v>0</v>
          </cell>
          <cell r="H854">
            <v>6480.85</v>
          </cell>
        </row>
        <row r="855">
          <cell r="A855" t="str">
            <v>1-04-23</v>
          </cell>
          <cell r="C855" t="str">
            <v>Escalera en concreto 20,7 Mpa (3000 PSI) aéreas e = 0,15 m, incluye malla, no incluye refuerzo</v>
          </cell>
          <cell r="D855" t="str">
            <v>M2</v>
          </cell>
          <cell r="F855">
            <v>327631</v>
          </cell>
        </row>
        <row r="856">
          <cell r="A856" t="str">
            <v>MATERIALES</v>
          </cell>
          <cell r="B856" t="str">
            <v>MAT,012</v>
          </cell>
          <cell r="C856" t="str">
            <v>ACPM</v>
          </cell>
          <cell r="D856" t="str">
            <v>Gl</v>
          </cell>
          <cell r="E856">
            <v>0.05</v>
          </cell>
          <cell r="F856">
            <v>10808</v>
          </cell>
          <cell r="G856">
            <v>0</v>
          </cell>
          <cell r="H856">
            <v>540.4</v>
          </cell>
        </row>
        <row r="857">
          <cell r="B857" t="str">
            <v>MAT,039</v>
          </cell>
          <cell r="C857" t="str">
            <v>Antisol blanco o similar</v>
          </cell>
          <cell r="D857" t="str">
            <v>Kg</v>
          </cell>
          <cell r="E857">
            <v>0.2</v>
          </cell>
          <cell r="F857">
            <v>13045</v>
          </cell>
          <cell r="G857">
            <v>1.03</v>
          </cell>
          <cell r="H857">
            <v>2687.2700000000004</v>
          </cell>
        </row>
        <row r="858">
          <cell r="B858" t="str">
            <v>MAT,235</v>
          </cell>
          <cell r="C858" t="str">
            <v>Malla electrosoldada ojo 0,15 x 0,15 m 6,00 x 2,35 m de 5 mm</v>
          </cell>
          <cell r="D858" t="str">
            <v>M2</v>
          </cell>
          <cell r="E858">
            <v>1</v>
          </cell>
          <cell r="F858">
            <v>4992</v>
          </cell>
          <cell r="G858">
            <v>1.05</v>
          </cell>
          <cell r="H858">
            <v>5241.6000000000004</v>
          </cell>
        </row>
        <row r="859">
          <cell r="B859" t="str">
            <v>MAT,333</v>
          </cell>
          <cell r="C859" t="str">
            <v>Puntilla (Promedio)</v>
          </cell>
          <cell r="D859" t="str">
            <v>Lb</v>
          </cell>
          <cell r="E859">
            <v>0.2</v>
          </cell>
          <cell r="F859">
            <v>5650</v>
          </cell>
          <cell r="G859">
            <v>0</v>
          </cell>
          <cell r="H859">
            <v>1130</v>
          </cell>
        </row>
        <row r="860">
          <cell r="B860" t="str">
            <v>MAT,368</v>
          </cell>
          <cell r="C860" t="str">
            <v>Tabla para formaleta de 1" x 10" x 2,9 m</v>
          </cell>
          <cell r="D860" t="str">
            <v>M</v>
          </cell>
          <cell r="E860">
            <v>10</v>
          </cell>
          <cell r="F860">
            <v>10591</v>
          </cell>
          <cell r="G860">
            <v>0.33333333333333331</v>
          </cell>
          <cell r="H860">
            <v>35303.333333333328</v>
          </cell>
        </row>
        <row r="861">
          <cell r="B861" t="str">
            <v>MAT,487</v>
          </cell>
          <cell r="C861" t="str">
            <v>Varillón de sajo 3 x 3 cm</v>
          </cell>
          <cell r="D861" t="str">
            <v>M</v>
          </cell>
          <cell r="E861">
            <v>3</v>
          </cell>
          <cell r="F861">
            <v>360</v>
          </cell>
          <cell r="G861">
            <v>0.33333333333333331</v>
          </cell>
          <cell r="H861">
            <v>360</v>
          </cell>
        </row>
        <row r="862">
          <cell r="A862" t="str">
            <v>ÍTEMS</v>
          </cell>
          <cell r="B862" t="str">
            <v>G-01-04</v>
          </cell>
          <cell r="C862" t="str">
            <v xml:space="preserve">Concreto de 20,7 Mpa (Producción) </v>
          </cell>
          <cell r="D862" t="str">
            <v>M3</v>
          </cell>
          <cell r="E862">
            <v>0.24</v>
          </cell>
          <cell r="F862">
            <v>472746</v>
          </cell>
          <cell r="G862">
            <v>1.05</v>
          </cell>
          <cell r="H862">
            <v>119131.99200000001</v>
          </cell>
        </row>
        <row r="863">
          <cell r="B863" t="str">
            <v>1-01-24</v>
          </cell>
          <cell r="C863" t="str">
            <v>Formaleta placa (Básico)</v>
          </cell>
          <cell r="D863" t="str">
            <v>M2</v>
          </cell>
          <cell r="E863">
            <v>1</v>
          </cell>
          <cell r="F863">
            <v>56368</v>
          </cell>
          <cell r="G863">
            <v>0.33333333333333331</v>
          </cell>
          <cell r="H863">
            <v>18789.333333333332</v>
          </cell>
        </row>
        <row r="864">
          <cell r="A864" t="str">
            <v>M. O.</v>
          </cell>
          <cell r="B864" t="str">
            <v>MOB005</v>
          </cell>
          <cell r="C864" t="str">
            <v>Cuadrilla A 1 Of + 4 Ay (jornal + prestaciones)</v>
          </cell>
          <cell r="D864" t="str">
            <v>Día</v>
          </cell>
          <cell r="E864">
            <v>1</v>
          </cell>
          <cell r="F864">
            <v>518468</v>
          </cell>
          <cell r="G864">
            <v>0.25</v>
          </cell>
          <cell r="H864">
            <v>129617</v>
          </cell>
        </row>
        <row r="865">
          <cell r="A865" t="str">
            <v>EQUIPO</v>
          </cell>
          <cell r="B865" t="str">
            <v>EQU002</v>
          </cell>
          <cell r="C865" t="str">
            <v>Herramienta menor (% mano obra)</v>
          </cell>
          <cell r="D865" t="str">
            <v>%MO</v>
          </cell>
          <cell r="E865">
            <v>0.1</v>
          </cell>
          <cell r="F865">
            <v>129617</v>
          </cell>
          <cell r="G865">
            <v>0</v>
          </cell>
          <cell r="H865">
            <v>12961.7</v>
          </cell>
        </row>
        <row r="866">
          <cell r="B866" t="str">
            <v>EQU018</v>
          </cell>
          <cell r="C866" t="str">
            <v>Vibrador eléctrico o a gasolina</v>
          </cell>
          <cell r="D866" t="str">
            <v>Día</v>
          </cell>
          <cell r="E866">
            <v>1</v>
          </cell>
          <cell r="F866">
            <v>58310</v>
          </cell>
          <cell r="G866">
            <v>0.01</v>
          </cell>
          <cell r="H866">
            <v>583.1</v>
          </cell>
        </row>
        <row r="867">
          <cell r="A867" t="str">
            <v>ENSAYOS</v>
          </cell>
          <cell r="B867" t="str">
            <v>ESY001</v>
          </cell>
          <cell r="C867" t="str">
            <v>Ensayo resistencia concretos</v>
          </cell>
          <cell r="D867" t="str">
            <v>Un</v>
          </cell>
          <cell r="E867">
            <v>0.1</v>
          </cell>
          <cell r="F867">
            <v>12852</v>
          </cell>
          <cell r="G867">
            <v>0</v>
          </cell>
          <cell r="H867">
            <v>1285.2</v>
          </cell>
        </row>
        <row r="868">
          <cell r="A868" t="str">
            <v>1-04-24</v>
          </cell>
          <cell r="C868" t="str">
            <v>Placa maciza en concreto de 20,7 Mpa (3000 PSI) e = 0,10 m, no incluye refuerzo</v>
          </cell>
          <cell r="D868" t="str">
            <v>M2</v>
          </cell>
          <cell r="F868">
            <v>130555</v>
          </cell>
        </row>
        <row r="869">
          <cell r="A869" t="str">
            <v>MAT</v>
          </cell>
          <cell r="B869" t="str">
            <v>MAT,012</v>
          </cell>
          <cell r="C869" t="str">
            <v>ACPM</v>
          </cell>
          <cell r="D869" t="str">
            <v>Gl</v>
          </cell>
          <cell r="E869">
            <v>0.05</v>
          </cell>
          <cell r="F869">
            <v>10808</v>
          </cell>
          <cell r="G869">
            <v>0</v>
          </cell>
          <cell r="H869">
            <v>540.4</v>
          </cell>
        </row>
        <row r="870">
          <cell r="B870" t="str">
            <v>MAT,039</v>
          </cell>
          <cell r="C870" t="str">
            <v>Antisol blanco o similar</v>
          </cell>
          <cell r="D870" t="str">
            <v>Kg</v>
          </cell>
          <cell r="E870">
            <v>0.2</v>
          </cell>
          <cell r="F870">
            <v>13045</v>
          </cell>
          <cell r="G870">
            <v>1.03</v>
          </cell>
          <cell r="H870">
            <v>2687.2700000000004</v>
          </cell>
        </row>
        <row r="871">
          <cell r="A871" t="str">
            <v>ÍTEMS</v>
          </cell>
          <cell r="B871" t="str">
            <v>G-01-04</v>
          </cell>
          <cell r="C871" t="str">
            <v xml:space="preserve">Concreto de 20,7 Mpa (Producción) </v>
          </cell>
          <cell r="D871" t="str">
            <v>M3</v>
          </cell>
          <cell r="E871">
            <v>0.1</v>
          </cell>
          <cell r="F871">
            <v>472746</v>
          </cell>
          <cell r="G871">
            <v>1.05</v>
          </cell>
          <cell r="H871">
            <v>49638.330000000009</v>
          </cell>
        </row>
        <row r="872">
          <cell r="B872" t="str">
            <v>1-01-24</v>
          </cell>
          <cell r="C872" t="str">
            <v>Formaleta placa (Básico)</v>
          </cell>
          <cell r="D872" t="str">
            <v>M2</v>
          </cell>
          <cell r="E872">
            <v>1</v>
          </cell>
          <cell r="F872">
            <v>56368</v>
          </cell>
          <cell r="G872">
            <v>0.33333333333333331</v>
          </cell>
          <cell r="H872">
            <v>18789.333333333332</v>
          </cell>
        </row>
        <row r="873">
          <cell r="A873" t="str">
            <v>M. O.</v>
          </cell>
          <cell r="B873" t="str">
            <v>MOB005</v>
          </cell>
          <cell r="C873" t="str">
            <v>Cuadrilla A 1 Of + 4 Ay (jornal + prestaciones)</v>
          </cell>
          <cell r="D873" t="str">
            <v>Día</v>
          </cell>
          <cell r="E873">
            <v>1</v>
          </cell>
          <cell r="F873">
            <v>518468</v>
          </cell>
          <cell r="G873">
            <v>0.1</v>
          </cell>
          <cell r="H873">
            <v>51846.8</v>
          </cell>
        </row>
        <row r="874">
          <cell r="A874" t="str">
            <v>EQUIPO</v>
          </cell>
          <cell r="B874" t="str">
            <v>EQU002</v>
          </cell>
          <cell r="C874" t="str">
            <v>Herramienta menor (% mano obra)</v>
          </cell>
          <cell r="D874" t="str">
            <v>%MO</v>
          </cell>
          <cell r="E874">
            <v>0.1</v>
          </cell>
          <cell r="F874">
            <v>51846.8</v>
          </cell>
          <cell r="G874">
            <v>0</v>
          </cell>
          <cell r="H874">
            <v>5184.68</v>
          </cell>
        </row>
        <row r="875">
          <cell r="B875" t="str">
            <v>EQU018</v>
          </cell>
          <cell r="C875" t="str">
            <v>Vibrador eléctrico o a gasolina</v>
          </cell>
          <cell r="D875" t="str">
            <v>Día</v>
          </cell>
          <cell r="E875">
            <v>1</v>
          </cell>
          <cell r="F875">
            <v>58310</v>
          </cell>
          <cell r="G875">
            <v>0.01</v>
          </cell>
          <cell r="H875">
            <v>583.1</v>
          </cell>
        </row>
        <row r="876">
          <cell r="A876" t="str">
            <v>ENSAYOS</v>
          </cell>
          <cell r="B876" t="str">
            <v>ESY001</v>
          </cell>
          <cell r="C876" t="str">
            <v>Ensayo resistencia concretos</v>
          </cell>
          <cell r="D876" t="str">
            <v>Un</v>
          </cell>
          <cell r="E876">
            <v>0.1</v>
          </cell>
          <cell r="F876">
            <v>12852</v>
          </cell>
          <cell r="G876">
            <v>0</v>
          </cell>
          <cell r="H876">
            <v>1285.2</v>
          </cell>
        </row>
        <row r="877">
          <cell r="A877" t="str">
            <v>1-04-25</v>
          </cell>
          <cell r="C877" t="str">
            <v>Placa maciza en concreto de 20,7 Mpa (3000 PSI) e = 0,15 m, no incluye refuerzo</v>
          </cell>
          <cell r="D877" t="str">
            <v>M2</v>
          </cell>
          <cell r="F877">
            <v>155374</v>
          </cell>
        </row>
        <row r="878">
          <cell r="A878" t="str">
            <v>MAT</v>
          </cell>
          <cell r="B878" t="str">
            <v>MAT,012</v>
          </cell>
          <cell r="C878" t="str">
            <v>ACPM</v>
          </cell>
          <cell r="D878" t="str">
            <v>Gl</v>
          </cell>
          <cell r="E878">
            <v>0.05</v>
          </cell>
          <cell r="F878">
            <v>10808</v>
          </cell>
          <cell r="G878">
            <v>0</v>
          </cell>
          <cell r="H878">
            <v>540.4</v>
          </cell>
        </row>
        <row r="879">
          <cell r="B879" t="str">
            <v>MAT,039</v>
          </cell>
          <cell r="C879" t="str">
            <v>Antisol blanco o similar</v>
          </cell>
          <cell r="D879" t="str">
            <v>Kg</v>
          </cell>
          <cell r="E879">
            <v>0.2</v>
          </cell>
          <cell r="F879">
            <v>13045</v>
          </cell>
          <cell r="G879">
            <v>1.03</v>
          </cell>
          <cell r="H879">
            <v>2687.2700000000004</v>
          </cell>
        </row>
        <row r="880">
          <cell r="A880" t="str">
            <v>ÍTEMS</v>
          </cell>
          <cell r="B880" t="str">
            <v>G-01-04</v>
          </cell>
          <cell r="C880" t="str">
            <v xml:space="preserve">Concreto de 20,7 Mpa (Producción) </v>
          </cell>
          <cell r="D880" t="str">
            <v>M3</v>
          </cell>
          <cell r="E880">
            <v>0.15</v>
          </cell>
          <cell r="F880">
            <v>472746</v>
          </cell>
          <cell r="G880">
            <v>1.05</v>
          </cell>
          <cell r="H880">
            <v>74457.49500000001</v>
          </cell>
        </row>
        <row r="881">
          <cell r="B881" t="str">
            <v>1-01-24</v>
          </cell>
          <cell r="C881" t="str">
            <v>Formaleta placa (Básico)</v>
          </cell>
          <cell r="D881" t="str">
            <v>M2</v>
          </cell>
          <cell r="E881">
            <v>1</v>
          </cell>
          <cell r="F881">
            <v>56368</v>
          </cell>
          <cell r="G881">
            <v>0.33333333333333331</v>
          </cell>
          <cell r="H881">
            <v>18789.333333333332</v>
          </cell>
        </row>
        <row r="882">
          <cell r="A882" t="str">
            <v>M. O.</v>
          </cell>
          <cell r="B882" t="str">
            <v>MOB005</v>
          </cell>
          <cell r="C882" t="str">
            <v>Cuadrilla A 1 Of + 4 Ay (jornal + prestaciones)</v>
          </cell>
          <cell r="D882" t="str">
            <v>Día</v>
          </cell>
          <cell r="E882">
            <v>1</v>
          </cell>
          <cell r="F882">
            <v>518468</v>
          </cell>
          <cell r="G882">
            <v>0.1</v>
          </cell>
          <cell r="H882">
            <v>51846.8</v>
          </cell>
        </row>
        <row r="883">
          <cell r="A883" t="str">
            <v>EQUIPO</v>
          </cell>
          <cell r="B883" t="str">
            <v>EQU002</v>
          </cell>
          <cell r="C883" t="str">
            <v>Herramienta menor (% mano obra)</v>
          </cell>
          <cell r="D883" t="str">
            <v>%MO</v>
          </cell>
          <cell r="E883">
            <v>0.1</v>
          </cell>
          <cell r="F883">
            <v>51846.8</v>
          </cell>
          <cell r="G883">
            <v>0</v>
          </cell>
          <cell r="H883">
            <v>5184.68</v>
          </cell>
        </row>
        <row r="884">
          <cell r="B884" t="str">
            <v>EQU018</v>
          </cell>
          <cell r="C884" t="str">
            <v>Vibrador eléctrico o a gasolina</v>
          </cell>
          <cell r="D884" t="str">
            <v>Día</v>
          </cell>
          <cell r="E884">
            <v>1</v>
          </cell>
          <cell r="F884">
            <v>58310</v>
          </cell>
          <cell r="G884">
            <v>0.01</v>
          </cell>
          <cell r="H884">
            <v>583.1</v>
          </cell>
        </row>
        <row r="885">
          <cell r="A885" t="str">
            <v>ENSAYOS</v>
          </cell>
          <cell r="B885" t="str">
            <v>ESY001</v>
          </cell>
          <cell r="C885" t="str">
            <v>Ensayo resistencia concretos</v>
          </cell>
          <cell r="D885" t="str">
            <v>Un</v>
          </cell>
          <cell r="E885">
            <v>0.1</v>
          </cell>
          <cell r="F885">
            <v>12852</v>
          </cell>
          <cell r="G885">
            <v>0</v>
          </cell>
          <cell r="H885">
            <v>1285.2</v>
          </cell>
        </row>
        <row r="886">
          <cell r="A886" t="str">
            <v>1-04-26</v>
          </cell>
          <cell r="C886" t="str">
            <v>Placa maciza en concreto de 20,7 Mpa (3000 PSI) e = 0,20 m, no incluye refuerzo</v>
          </cell>
          <cell r="D886" t="str">
            <v>M2</v>
          </cell>
          <cell r="F886">
            <v>198457</v>
          </cell>
        </row>
        <row r="887">
          <cell r="A887" t="str">
            <v>MAT</v>
          </cell>
          <cell r="B887" t="str">
            <v>MAT,012</v>
          </cell>
          <cell r="C887" t="str">
            <v>ACPM</v>
          </cell>
          <cell r="D887" t="str">
            <v>Gl</v>
          </cell>
          <cell r="E887">
            <v>0.05</v>
          </cell>
          <cell r="F887">
            <v>10808</v>
          </cell>
          <cell r="G887">
            <v>0</v>
          </cell>
          <cell r="H887">
            <v>540.4</v>
          </cell>
        </row>
        <row r="888">
          <cell r="B888" t="str">
            <v>MAT,039</v>
          </cell>
          <cell r="C888" t="str">
            <v>Antisol blanco o similar</v>
          </cell>
          <cell r="D888" t="str">
            <v>Kg</v>
          </cell>
          <cell r="E888">
            <v>0.2</v>
          </cell>
          <cell r="F888">
            <v>13045</v>
          </cell>
          <cell r="G888">
            <v>1.03</v>
          </cell>
          <cell r="H888">
            <v>2687.2700000000004</v>
          </cell>
        </row>
        <row r="889">
          <cell r="A889" t="str">
            <v>ÍTEMS</v>
          </cell>
          <cell r="B889" t="str">
            <v>G-01-04</v>
          </cell>
          <cell r="C889" t="str">
            <v xml:space="preserve">Concreto de 20,7 Mpa (Producción) </v>
          </cell>
          <cell r="D889" t="str">
            <v>M3</v>
          </cell>
          <cell r="E889">
            <v>0.2</v>
          </cell>
          <cell r="F889">
            <v>472746</v>
          </cell>
          <cell r="G889">
            <v>1.05</v>
          </cell>
          <cell r="H889">
            <v>99276.660000000018</v>
          </cell>
        </row>
        <row r="890">
          <cell r="B890" t="str">
            <v>1-01-24</v>
          </cell>
          <cell r="C890" t="str">
            <v>Formaleta placa (básico)</v>
          </cell>
          <cell r="D890" t="str">
            <v>M2</v>
          </cell>
          <cell r="E890">
            <v>1</v>
          </cell>
          <cell r="F890">
            <v>56368</v>
          </cell>
          <cell r="G890">
            <v>0.33300000000000002</v>
          </cell>
          <cell r="H890">
            <v>18770.544000000002</v>
          </cell>
        </row>
        <row r="891">
          <cell r="A891" t="str">
            <v>M. O.</v>
          </cell>
          <cell r="B891" t="str">
            <v>MOB014</v>
          </cell>
          <cell r="C891" t="str">
            <v>Cuadrilla D 2 Of + 4 Ay (jornal + prestaciones)</v>
          </cell>
          <cell r="D891" t="str">
            <v>Día</v>
          </cell>
          <cell r="E891">
            <v>1</v>
          </cell>
          <cell r="F891">
            <v>679372</v>
          </cell>
          <cell r="G891">
            <v>0.1</v>
          </cell>
          <cell r="H891">
            <v>67937.2</v>
          </cell>
        </row>
        <row r="892">
          <cell r="A892" t="str">
            <v>EQUIPO</v>
          </cell>
          <cell r="B892" t="str">
            <v>EQU002</v>
          </cell>
          <cell r="C892" t="str">
            <v>Herramienta menor (% mano obra)</v>
          </cell>
          <cell r="D892" t="str">
            <v>%MO</v>
          </cell>
          <cell r="E892">
            <v>0.1</v>
          </cell>
          <cell r="F892">
            <v>67937.2</v>
          </cell>
          <cell r="G892">
            <v>0</v>
          </cell>
          <cell r="H892">
            <v>6793.72</v>
          </cell>
        </row>
        <row r="893">
          <cell r="B893" t="str">
            <v>EQU018</v>
          </cell>
          <cell r="C893" t="str">
            <v>Vibrador eléctrico o a gasolina</v>
          </cell>
          <cell r="D893" t="str">
            <v>Día</v>
          </cell>
          <cell r="E893">
            <v>1</v>
          </cell>
          <cell r="F893">
            <v>58310</v>
          </cell>
          <cell r="G893">
            <v>0.02</v>
          </cell>
          <cell r="H893">
            <v>1166.2</v>
          </cell>
        </row>
        <row r="894">
          <cell r="A894" t="str">
            <v>ENSAYOS</v>
          </cell>
          <cell r="B894" t="str">
            <v>ESY001</v>
          </cell>
          <cell r="C894" t="str">
            <v>Ensayo resistencia concretos</v>
          </cell>
          <cell r="D894" t="str">
            <v>Un</v>
          </cell>
          <cell r="E894">
            <v>0.1</v>
          </cell>
          <cell r="F894">
            <v>12852</v>
          </cell>
          <cell r="G894">
            <v>0</v>
          </cell>
          <cell r="H894">
            <v>1285.2</v>
          </cell>
        </row>
        <row r="895">
          <cell r="A895" t="str">
            <v>1-04-27</v>
          </cell>
          <cell r="C895" t="str">
            <v>Placa aligerada en concreto de 20,7 Mpa (3000 PSI) e = 0,20 m, incluye malla electrosoldada, casetón perdido de icopor, no incluye refuerzo</v>
          </cell>
          <cell r="D895" t="str">
            <v>M2</v>
          </cell>
          <cell r="F895">
            <v>108481</v>
          </cell>
        </row>
        <row r="896">
          <cell r="A896" t="str">
            <v>MATERIALES</v>
          </cell>
          <cell r="B896" t="str">
            <v>MAT,012</v>
          </cell>
          <cell r="C896" t="str">
            <v>ACPM</v>
          </cell>
          <cell r="D896" t="str">
            <v>Gl</v>
          </cell>
          <cell r="E896">
            <v>0.05</v>
          </cell>
          <cell r="F896">
            <v>10808</v>
          </cell>
          <cell r="G896">
            <v>0</v>
          </cell>
          <cell r="H896">
            <v>540.4</v>
          </cell>
        </row>
        <row r="897">
          <cell r="B897" t="str">
            <v>MAT,039</v>
          </cell>
          <cell r="C897" t="str">
            <v>Antisol blanco o similar</v>
          </cell>
          <cell r="D897" t="str">
            <v>Kg</v>
          </cell>
          <cell r="E897">
            <v>0.2</v>
          </cell>
          <cell r="F897">
            <v>13045</v>
          </cell>
          <cell r="G897">
            <v>1.03</v>
          </cell>
          <cell r="H897">
            <v>2687.2700000000004</v>
          </cell>
        </row>
        <row r="898">
          <cell r="B898" t="str">
            <v>MAT,520</v>
          </cell>
          <cell r="C898" t="str">
            <v>Casetón perdido icopor 50/50 de 1 x 1 x 0.20 m</v>
          </cell>
          <cell r="D898" t="str">
            <v>M2</v>
          </cell>
          <cell r="E898">
            <v>1.54</v>
          </cell>
          <cell r="F898">
            <v>19990</v>
          </cell>
          <cell r="G898">
            <v>0</v>
          </cell>
          <cell r="H898">
            <v>30784.600000000002</v>
          </cell>
        </row>
        <row r="899">
          <cell r="B899" t="str">
            <v>MAT,333</v>
          </cell>
          <cell r="C899" t="str">
            <v>Puntilla (Promedio)</v>
          </cell>
          <cell r="D899" t="str">
            <v>Lb</v>
          </cell>
          <cell r="E899">
            <v>0.1</v>
          </cell>
          <cell r="F899">
            <v>5650</v>
          </cell>
          <cell r="G899">
            <v>0</v>
          </cell>
          <cell r="H899">
            <v>565</v>
          </cell>
        </row>
        <row r="900">
          <cell r="B900" t="str">
            <v>MAT,368</v>
          </cell>
          <cell r="C900" t="str">
            <v>Tabla para formaleta de 1" x 10" x 2,9 m</v>
          </cell>
          <cell r="D900" t="str">
            <v>M</v>
          </cell>
          <cell r="E900">
            <v>1</v>
          </cell>
          <cell r="F900">
            <v>10591</v>
          </cell>
          <cell r="G900">
            <v>0.25</v>
          </cell>
          <cell r="H900">
            <v>2647.75</v>
          </cell>
        </row>
        <row r="901">
          <cell r="B901" t="str">
            <v>MAT,487</v>
          </cell>
          <cell r="C901" t="str">
            <v>Varillón de sajo 3 x 3 cm</v>
          </cell>
          <cell r="D901" t="str">
            <v>M</v>
          </cell>
          <cell r="E901">
            <v>3</v>
          </cell>
          <cell r="F901">
            <v>360</v>
          </cell>
          <cell r="G901">
            <v>0.25</v>
          </cell>
          <cell r="H901">
            <v>270</v>
          </cell>
        </row>
        <row r="902">
          <cell r="A902" t="str">
            <v>ÍTEMS</v>
          </cell>
          <cell r="B902" t="str">
            <v>G-01-04</v>
          </cell>
          <cell r="C902" t="str">
            <v xml:space="preserve">Concreto de 20,7 Mpa (Producción) </v>
          </cell>
          <cell r="D902" t="str">
            <v>M3</v>
          </cell>
          <cell r="E902">
            <v>0.1</v>
          </cell>
          <cell r="F902">
            <v>472746</v>
          </cell>
          <cell r="G902">
            <v>1.03</v>
          </cell>
          <cell r="H902">
            <v>48692.838000000003</v>
          </cell>
        </row>
        <row r="903">
          <cell r="B903" t="str">
            <v>1-01-24</v>
          </cell>
          <cell r="C903" t="str">
            <v>Formaleta placa (Básico)</v>
          </cell>
          <cell r="D903" t="str">
            <v>M2</v>
          </cell>
          <cell r="E903">
            <v>1</v>
          </cell>
          <cell r="F903">
            <v>56368</v>
          </cell>
          <cell r="G903">
            <v>0.12</v>
          </cell>
          <cell r="H903">
            <v>6764.16</v>
          </cell>
        </row>
        <row r="904">
          <cell r="B904" t="str">
            <v>G-02-03</v>
          </cell>
          <cell r="C904" t="str">
            <v>Malla electrosoldada M-188  Φ 6.00 mm c/0.15 m en ambos sentidos (incluye alambre negro, colocación y traslapo)</v>
          </cell>
          <cell r="D904" t="str">
            <v>M2</v>
          </cell>
          <cell r="E904">
            <v>1</v>
          </cell>
          <cell r="F904">
            <v>20857.916666666664</v>
          </cell>
          <cell r="G904">
            <v>0.12</v>
          </cell>
          <cell r="H904">
            <v>2502.9499999999998</v>
          </cell>
        </row>
        <row r="905">
          <cell r="A905" t="str">
            <v>M. O.</v>
          </cell>
          <cell r="B905" t="str">
            <v>MOB005</v>
          </cell>
          <cell r="C905" t="str">
            <v>Cuadrilla A 1 Of + 4 Ay (jornal + prestaciones)</v>
          </cell>
          <cell r="D905" t="str">
            <v>Día</v>
          </cell>
          <cell r="E905">
            <v>1</v>
          </cell>
          <cell r="F905">
            <v>518468</v>
          </cell>
          <cell r="G905">
            <v>1.6666666666666666E-2</v>
          </cell>
          <cell r="H905">
            <v>8641.1333333333332</v>
          </cell>
        </row>
        <row r="906">
          <cell r="A906" t="str">
            <v>EQUIPO</v>
          </cell>
          <cell r="B906" t="str">
            <v>EQU002</v>
          </cell>
          <cell r="C906" t="str">
            <v>Herramienta menor (% mano obra)</v>
          </cell>
          <cell r="D906" t="str">
            <v>%MO</v>
          </cell>
          <cell r="E906">
            <v>0.18</v>
          </cell>
          <cell r="F906">
            <v>8641.1333333333332</v>
          </cell>
          <cell r="G906">
            <v>0</v>
          </cell>
          <cell r="H906">
            <v>1555.404</v>
          </cell>
        </row>
        <row r="907">
          <cell r="B907" t="str">
            <v>EQU007</v>
          </cell>
          <cell r="C907" t="str">
            <v>Taco metálico de 2 - &gt; 3 m</v>
          </cell>
          <cell r="D907" t="str">
            <v>Día</v>
          </cell>
          <cell r="E907">
            <v>2</v>
          </cell>
          <cell r="F907">
            <v>286</v>
          </cell>
          <cell r="G907">
            <v>0</v>
          </cell>
          <cell r="H907">
            <v>572</v>
          </cell>
        </row>
        <row r="908">
          <cell r="B908" t="str">
            <v>EQU018</v>
          </cell>
          <cell r="C908" t="str">
            <v>Vibrador eléctrico o a gasolina</v>
          </cell>
          <cell r="D908" t="str">
            <v>Día</v>
          </cell>
          <cell r="E908">
            <v>1</v>
          </cell>
          <cell r="F908">
            <v>58310</v>
          </cell>
          <cell r="G908">
            <v>1.6666666666666666E-2</v>
          </cell>
          <cell r="H908">
            <v>971.83333333333337</v>
          </cell>
        </row>
        <row r="909">
          <cell r="A909" t="str">
            <v>ENSAYOS</v>
          </cell>
          <cell r="B909" t="str">
            <v>ESY001</v>
          </cell>
          <cell r="C909" t="str">
            <v>Ensayo resistencia concretos</v>
          </cell>
          <cell r="D909" t="str">
            <v>Un</v>
          </cell>
          <cell r="E909">
            <v>0.1</v>
          </cell>
          <cell r="F909">
            <v>12852</v>
          </cell>
          <cell r="G909">
            <v>0</v>
          </cell>
          <cell r="H909">
            <v>1285.2</v>
          </cell>
        </row>
        <row r="910">
          <cell r="A910" t="str">
            <v>1-04-28</v>
          </cell>
          <cell r="C910" t="str">
            <v>Placa aligerada en concreto de 20,7 Mpa (3000 PSI) e = 0,30 m, incluye  electrosoldada, casetón perdido de poliestireno, no incluye refuerzo</v>
          </cell>
          <cell r="D910" t="str">
            <v>M2</v>
          </cell>
          <cell r="F910">
            <v>147151</v>
          </cell>
        </row>
        <row r="911">
          <cell r="A911" t="str">
            <v>MATERIALES</v>
          </cell>
          <cell r="B911" t="str">
            <v>MAT,012</v>
          </cell>
          <cell r="C911" t="str">
            <v>ACPM</v>
          </cell>
          <cell r="D911" t="str">
            <v>Gl</v>
          </cell>
          <cell r="E911">
            <v>0.05</v>
          </cell>
          <cell r="F911">
            <v>10808</v>
          </cell>
          <cell r="G911">
            <v>0</v>
          </cell>
          <cell r="H911">
            <v>540.4</v>
          </cell>
        </row>
        <row r="912">
          <cell r="B912" t="str">
            <v>MAT,039</v>
          </cell>
          <cell r="C912" t="str">
            <v>Antisol blanco o similar</v>
          </cell>
          <cell r="D912" t="str">
            <v>Kg</v>
          </cell>
          <cell r="E912">
            <v>0.2</v>
          </cell>
          <cell r="F912">
            <v>13045</v>
          </cell>
          <cell r="G912">
            <v>1.03</v>
          </cell>
          <cell r="H912">
            <v>2687.2700000000004</v>
          </cell>
        </row>
        <row r="913">
          <cell r="B913" t="str">
            <v>MAT,525</v>
          </cell>
          <cell r="C913" t="str">
            <v>Casetón o bovedilla perdido de poliestireno de 1 x 1 x 0,30 m</v>
          </cell>
          <cell r="D913" t="str">
            <v>M2</v>
          </cell>
          <cell r="E913">
            <v>1.5</v>
          </cell>
          <cell r="F913">
            <v>29985</v>
          </cell>
          <cell r="G913">
            <v>0</v>
          </cell>
          <cell r="H913">
            <v>44977.5</v>
          </cell>
        </row>
        <row r="914">
          <cell r="B914" t="str">
            <v>MAT,333</v>
          </cell>
          <cell r="C914" t="str">
            <v>Puntilla (Promedio)</v>
          </cell>
          <cell r="D914" t="str">
            <v>Lb</v>
          </cell>
          <cell r="E914">
            <v>0.12</v>
          </cell>
          <cell r="F914">
            <v>5650</v>
          </cell>
          <cell r="G914">
            <v>0</v>
          </cell>
          <cell r="H914">
            <v>678</v>
          </cell>
        </row>
        <row r="915">
          <cell r="B915" t="str">
            <v>MAT,368</v>
          </cell>
          <cell r="C915" t="str">
            <v>Tabla para formaleta de 1" x 10" x 2,9 m</v>
          </cell>
          <cell r="D915" t="str">
            <v>M</v>
          </cell>
          <cell r="E915">
            <v>1</v>
          </cell>
          <cell r="F915">
            <v>10591</v>
          </cell>
          <cell r="G915">
            <v>0.25</v>
          </cell>
          <cell r="H915">
            <v>2647.75</v>
          </cell>
        </row>
        <row r="916">
          <cell r="B916" t="str">
            <v>MAT,487</v>
          </cell>
          <cell r="C916" t="str">
            <v>Varillón de sajo 3 x 3 cm</v>
          </cell>
          <cell r="D916" t="str">
            <v>M</v>
          </cell>
          <cell r="E916">
            <v>3.2</v>
          </cell>
          <cell r="F916">
            <v>360</v>
          </cell>
          <cell r="G916">
            <v>0.25</v>
          </cell>
          <cell r="H916">
            <v>288</v>
          </cell>
        </row>
        <row r="917">
          <cell r="A917" t="str">
            <v>ÍTEMS</v>
          </cell>
          <cell r="B917" t="str">
            <v>G-01-04</v>
          </cell>
          <cell r="C917" t="str">
            <v xml:space="preserve">Concreto de 20,7 Mpa (Producción) </v>
          </cell>
          <cell r="D917" t="str">
            <v>M3</v>
          </cell>
          <cell r="E917">
            <v>0.15</v>
          </cell>
          <cell r="F917">
            <v>472746</v>
          </cell>
          <cell r="G917">
            <v>1.03</v>
          </cell>
          <cell r="H917">
            <v>73039.256999999998</v>
          </cell>
        </row>
        <row r="918">
          <cell r="B918" t="str">
            <v>1-01-24</v>
          </cell>
          <cell r="C918" t="str">
            <v>Formaleta placa (Básico)</v>
          </cell>
          <cell r="D918" t="str">
            <v>M2</v>
          </cell>
          <cell r="E918">
            <v>1</v>
          </cell>
          <cell r="F918">
            <v>56368</v>
          </cell>
          <cell r="G918">
            <v>0.12</v>
          </cell>
          <cell r="H918">
            <v>6764.16</v>
          </cell>
        </row>
        <row r="919">
          <cell r="B919" t="str">
            <v>G-02-03</v>
          </cell>
          <cell r="C919" t="str">
            <v>Malla electrosoldada M-188  Φ 6.00 mm c/0.15 m en ambos sentidos (incluye alambre negro, colocación y traslapo)</v>
          </cell>
          <cell r="D919" t="str">
            <v>M2</v>
          </cell>
          <cell r="E919">
            <v>1</v>
          </cell>
          <cell r="F919">
            <v>20857.916666666664</v>
          </cell>
          <cell r="G919">
            <v>0.12</v>
          </cell>
          <cell r="H919">
            <v>2502.9499999999998</v>
          </cell>
        </row>
        <row r="920">
          <cell r="A920" t="str">
            <v>M. O.</v>
          </cell>
          <cell r="B920" t="str">
            <v>MOB005</v>
          </cell>
          <cell r="C920" t="str">
            <v>Cuadrilla A 1 Of + 4 Ay (jornal + prestaciones)</v>
          </cell>
          <cell r="D920" t="str">
            <v>Día</v>
          </cell>
          <cell r="E920">
            <v>1</v>
          </cell>
          <cell r="F920">
            <v>518468</v>
          </cell>
          <cell r="G920">
            <v>1.6666666666666666E-2</v>
          </cell>
          <cell r="H920">
            <v>8641.1333333333332</v>
          </cell>
        </row>
        <row r="921">
          <cell r="A921" t="str">
            <v>EQUIPO</v>
          </cell>
          <cell r="B921" t="str">
            <v>EQU002</v>
          </cell>
          <cell r="C921" t="str">
            <v>Herramienta menor (% mano obra)</v>
          </cell>
          <cell r="D921" t="str">
            <v>%MO</v>
          </cell>
          <cell r="E921">
            <v>0.18</v>
          </cell>
          <cell r="F921">
            <v>8641.1333333333332</v>
          </cell>
          <cell r="G921">
            <v>0</v>
          </cell>
          <cell r="H921">
            <v>1555.404</v>
          </cell>
        </row>
        <row r="922">
          <cell r="B922" t="str">
            <v>EQU007</v>
          </cell>
          <cell r="C922" t="str">
            <v>Taco metálico de 2 - &gt; 3 m</v>
          </cell>
          <cell r="D922" t="str">
            <v>Día</v>
          </cell>
          <cell r="E922">
            <v>2</v>
          </cell>
          <cell r="F922">
            <v>286</v>
          </cell>
          <cell r="G922">
            <v>0</v>
          </cell>
          <cell r="H922">
            <v>572</v>
          </cell>
        </row>
        <row r="923">
          <cell r="B923" t="str">
            <v>EQU018</v>
          </cell>
          <cell r="C923" t="str">
            <v>Vibrador eléctrico o a gasolina</v>
          </cell>
          <cell r="D923" t="str">
            <v>Día</v>
          </cell>
          <cell r="E923">
            <v>1</v>
          </cell>
          <cell r="F923">
            <v>58310</v>
          </cell>
          <cell r="G923">
            <v>1.6666666666666666E-2</v>
          </cell>
          <cell r="H923">
            <v>971.83333333333337</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061_CustomerContactList">
      <a:dk1>
        <a:srgbClr val="000000"/>
      </a:dk1>
      <a:lt1>
        <a:srgbClr val="FFFFFF"/>
      </a:lt1>
      <a:dk2>
        <a:srgbClr val="000000"/>
      </a:dk2>
      <a:lt2>
        <a:srgbClr val="F7F3E0"/>
      </a:lt2>
      <a:accent1>
        <a:srgbClr val="5EE2A7"/>
      </a:accent1>
      <a:accent2>
        <a:srgbClr val="6ECEDB"/>
      </a:accent2>
      <a:accent3>
        <a:srgbClr val="DE6E54"/>
      </a:accent3>
      <a:accent4>
        <a:srgbClr val="9779B1"/>
      </a:accent4>
      <a:accent5>
        <a:srgbClr val="CC6380"/>
      </a:accent5>
      <a:accent6>
        <a:srgbClr val="E7DD67"/>
      </a:accent6>
      <a:hlink>
        <a:srgbClr val="22B4C8"/>
      </a:hlink>
      <a:folHlink>
        <a:srgbClr val="9779B1"/>
      </a:folHlink>
    </a:clrScheme>
    <a:fontScheme name="061_CustomerContactList">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34998626667073579"/>
    <pageSetUpPr autoPageBreaks="0"/>
  </sheetPr>
  <dimension ref="A1:E1017"/>
  <sheetViews>
    <sheetView showGridLines="0" zoomScale="89" zoomScaleNormal="89" zoomScaleSheetLayoutView="86" zoomScalePageLayoutView="70" workbookViewId="0">
      <pane ySplit="4" topLeftCell="A5" activePane="bottomLeft" state="frozen"/>
      <selection activeCell="A2" sqref="A2"/>
      <selection pane="bottomLeft" activeCell="A5" sqref="A5:A6"/>
    </sheetView>
  </sheetViews>
  <sheetFormatPr baseColWidth="10" defaultColWidth="9.140625" defaultRowHeight="12.75" x14ac:dyDescent="0.2"/>
  <cols>
    <col min="1" max="1" width="11.42578125" style="45" customWidth="1"/>
    <col min="2" max="2" width="81.28515625" style="46" customWidth="1"/>
    <col min="3" max="3" width="13.42578125" style="10" bestFit="1" customWidth="1"/>
    <col min="4" max="4" width="13.42578125" style="10" hidden="1" customWidth="1"/>
    <col min="5" max="5" width="17.5703125" style="229" bestFit="1" customWidth="1"/>
  </cols>
  <sheetData>
    <row r="1" spans="1:5" ht="31.5" x14ac:dyDescent="0.2">
      <c r="A1" s="927" t="s">
        <v>264</v>
      </c>
      <c r="B1" s="927"/>
      <c r="C1" s="927"/>
      <c r="D1" s="927"/>
      <c r="E1" s="927"/>
    </row>
    <row r="2" spans="1:5" x14ac:dyDescent="0.2">
      <c r="A2" s="163"/>
      <c r="B2" s="164"/>
      <c r="C2" s="165"/>
      <c r="D2" s="165"/>
      <c r="E2" s="227"/>
    </row>
    <row r="3" spans="1:5" ht="23.25" x14ac:dyDescent="0.2">
      <c r="A3" s="928" t="s">
        <v>387</v>
      </c>
      <c r="B3" s="928"/>
      <c r="C3" s="928"/>
      <c r="D3" s="928"/>
      <c r="E3" s="928"/>
    </row>
    <row r="4" spans="1:5" ht="25.5" x14ac:dyDescent="0.2">
      <c r="A4" s="166" t="s">
        <v>265</v>
      </c>
      <c r="B4" s="166" t="s">
        <v>402</v>
      </c>
      <c r="C4" s="166" t="s">
        <v>403</v>
      </c>
      <c r="D4" s="166"/>
      <c r="E4" s="228" t="s">
        <v>3735</v>
      </c>
    </row>
    <row r="5" spans="1:5" x14ac:dyDescent="0.2">
      <c r="A5" s="583" t="s">
        <v>266</v>
      </c>
      <c r="B5" s="584" t="s">
        <v>267</v>
      </c>
      <c r="C5" s="222" t="s">
        <v>268</v>
      </c>
      <c r="D5" s="222"/>
      <c r="E5" s="887">
        <v>0</v>
      </c>
    </row>
    <row r="6" spans="1:5" x14ac:dyDescent="0.2">
      <c r="A6" s="583" t="s">
        <v>583</v>
      </c>
      <c r="B6" s="584" t="s">
        <v>584</v>
      </c>
      <c r="C6" s="222" t="s">
        <v>585</v>
      </c>
      <c r="D6" s="222"/>
      <c r="E6" s="887">
        <f>'ANÁLISIS MANO DE OBRA'!F32</f>
        <v>88679</v>
      </c>
    </row>
    <row r="7" spans="1:5" x14ac:dyDescent="0.2">
      <c r="A7" s="583" t="s">
        <v>397</v>
      </c>
      <c r="B7" s="584" t="s">
        <v>329</v>
      </c>
      <c r="C7" s="222" t="s">
        <v>585</v>
      </c>
      <c r="D7" s="222"/>
      <c r="E7" s="887">
        <f>+'ANÁLISIS MANO DE OBRA'!F47</f>
        <v>141887</v>
      </c>
    </row>
    <row r="8" spans="1:5" x14ac:dyDescent="0.2">
      <c r="A8" s="583" t="s">
        <v>331</v>
      </c>
      <c r="B8" s="584" t="s">
        <v>332</v>
      </c>
      <c r="C8" s="222" t="s">
        <v>585</v>
      </c>
      <c r="D8" s="222"/>
      <c r="E8" s="887">
        <f>'ANÁLISIS MANO DE OBRA'!F33</f>
        <v>124151</v>
      </c>
    </row>
    <row r="9" spans="1:5" x14ac:dyDescent="0.2">
      <c r="A9" s="583" t="s">
        <v>594</v>
      </c>
      <c r="B9" s="584" t="s">
        <v>4032</v>
      </c>
      <c r="C9" s="222" t="s">
        <v>585</v>
      </c>
      <c r="D9" s="222"/>
      <c r="E9" s="887">
        <f>'ANÁLISIS MANO DE OBRA'!F56</f>
        <v>375244</v>
      </c>
    </row>
    <row r="10" spans="1:5" x14ac:dyDescent="0.2">
      <c r="A10" s="583" t="s">
        <v>587</v>
      </c>
      <c r="B10" s="584" t="s">
        <v>588</v>
      </c>
      <c r="C10" s="222" t="s">
        <v>585</v>
      </c>
      <c r="D10" s="222"/>
      <c r="E10" s="887">
        <f>'ANÁLISIS MANO DE OBRA'!F52</f>
        <v>514339</v>
      </c>
    </row>
    <row r="11" spans="1:5" x14ac:dyDescent="0.2">
      <c r="A11" s="583" t="s">
        <v>611</v>
      </c>
      <c r="B11" s="584" t="s">
        <v>612</v>
      </c>
      <c r="C11" s="222" t="s">
        <v>585</v>
      </c>
      <c r="D11" s="222"/>
      <c r="E11" s="887">
        <f>'ANÁLISIS MANO DE OBRA'!F54</f>
        <v>372899</v>
      </c>
    </row>
    <row r="12" spans="1:5" x14ac:dyDescent="0.2">
      <c r="A12" s="583" t="s">
        <v>618</v>
      </c>
      <c r="B12" s="584" t="s">
        <v>619</v>
      </c>
      <c r="C12" s="222" t="s">
        <v>585</v>
      </c>
      <c r="D12" s="222"/>
      <c r="E12" s="887">
        <f>'ANÁLISIS MANO DE OBRA'!F57</f>
        <v>780376</v>
      </c>
    </row>
    <row r="13" spans="1:5" x14ac:dyDescent="0.2">
      <c r="A13" s="583" t="s">
        <v>2666</v>
      </c>
      <c r="B13" s="584" t="str">
        <f>+'ANÁLISIS MANO DE OBRA'!B58</f>
        <v>Cuadrilla CE (1 Of E + 7 Ay E) (jornal + prestaciones)</v>
      </c>
      <c r="C13" s="222" t="s">
        <v>585</v>
      </c>
      <c r="D13" s="222"/>
      <c r="E13" s="887">
        <f>+'ANÁLISIS MANO DE OBRA'!F58</f>
        <v>1170568</v>
      </c>
    </row>
    <row r="14" spans="1:5" x14ac:dyDescent="0.2">
      <c r="A14" s="583" t="s">
        <v>605</v>
      </c>
      <c r="B14" s="584" t="s">
        <v>606</v>
      </c>
      <c r="C14" s="222" t="s">
        <v>585</v>
      </c>
      <c r="D14" s="222"/>
      <c r="E14" s="887">
        <f>'ANÁLISIS MANO DE OBRA'!F59</f>
        <v>673962</v>
      </c>
    </row>
    <row r="15" spans="1:5" x14ac:dyDescent="0.2">
      <c r="A15" s="583" t="s">
        <v>644</v>
      </c>
      <c r="B15" s="584" t="s">
        <v>645</v>
      </c>
      <c r="C15" s="222" t="s">
        <v>585</v>
      </c>
      <c r="D15" s="222"/>
      <c r="E15" s="887">
        <f>'ANÁLISIS MANO DE OBRA'!F48</f>
        <v>248302</v>
      </c>
    </row>
    <row r="16" spans="1:5" x14ac:dyDescent="0.2">
      <c r="A16" s="583" t="s">
        <v>2667</v>
      </c>
      <c r="B16" s="584" t="str">
        <f>+'ANÁLISIS MANO DE OBRA'!B49</f>
        <v>Cuadrilla EE 1 Of E + 1 Ay E (jornal + prestaciones)</v>
      </c>
      <c r="C16" s="222" t="s">
        <v>585</v>
      </c>
      <c r="D16" s="222"/>
      <c r="E16" s="887">
        <f>+'ANÁLISIS MANO DE OBRA'!F49</f>
        <v>319246</v>
      </c>
    </row>
    <row r="17" spans="1:5" x14ac:dyDescent="0.2">
      <c r="A17" s="583" t="s">
        <v>271</v>
      </c>
      <c r="B17" s="584" t="s">
        <v>272</v>
      </c>
      <c r="C17" s="222" t="s">
        <v>585</v>
      </c>
      <c r="D17" s="222"/>
      <c r="E17" s="887">
        <f>'ANÁLISIS MANO DE OBRA'!F60</f>
        <v>1312454</v>
      </c>
    </row>
    <row r="18" spans="1:5" x14ac:dyDescent="0.2">
      <c r="A18" s="583" t="s">
        <v>607</v>
      </c>
      <c r="B18" s="584" t="s">
        <v>608</v>
      </c>
      <c r="C18" s="222" t="s">
        <v>585</v>
      </c>
      <c r="D18" s="222"/>
      <c r="E18" s="887">
        <f>'ANÁLISIS MANO DE OBRA'!F50</f>
        <v>336981</v>
      </c>
    </row>
    <row r="19" spans="1:5" x14ac:dyDescent="0.2">
      <c r="A19" s="583" t="s">
        <v>3166</v>
      </c>
      <c r="B19" s="584" t="s">
        <v>3659</v>
      </c>
      <c r="C19" s="222" t="s">
        <v>585</v>
      </c>
      <c r="D19" s="222"/>
      <c r="E19" s="887">
        <f>'ANÁLISIS MANO DE OBRA'!F41+2*'ANÁLISIS MANO DE OBRA'!F33</f>
        <v>425661</v>
      </c>
    </row>
    <row r="20" spans="1:5" x14ac:dyDescent="0.2">
      <c r="A20" s="583" t="s">
        <v>596</v>
      </c>
      <c r="B20" s="584" t="s">
        <v>597</v>
      </c>
      <c r="C20" s="222" t="s">
        <v>585</v>
      </c>
      <c r="D20" s="222"/>
      <c r="E20" s="887">
        <f>'ANÁLISIS MANO DE OBRA'!F61</f>
        <v>354716</v>
      </c>
    </row>
    <row r="21" spans="1:5" x14ac:dyDescent="0.2">
      <c r="A21" s="583" t="s">
        <v>252</v>
      </c>
      <c r="B21" s="584" t="s">
        <v>3660</v>
      </c>
      <c r="C21" s="222" t="s">
        <v>585</v>
      </c>
      <c r="D21" s="222"/>
      <c r="E21" s="887">
        <f>'ANÁLISIS MANO DE OBRA'!F62</f>
        <v>319246</v>
      </c>
    </row>
    <row r="22" spans="1:5" x14ac:dyDescent="0.2">
      <c r="A22" s="583" t="s">
        <v>253</v>
      </c>
      <c r="B22" s="584" t="s">
        <v>3661</v>
      </c>
      <c r="C22" s="222" t="s">
        <v>585</v>
      </c>
      <c r="D22" s="222"/>
      <c r="E22" s="887">
        <f>'ANÁLISIS MANO DE OBRA'!F63</f>
        <v>461133</v>
      </c>
    </row>
    <row r="23" spans="1:5" x14ac:dyDescent="0.2">
      <c r="A23" s="583" t="s">
        <v>687</v>
      </c>
      <c r="B23" s="584" t="s">
        <v>688</v>
      </c>
      <c r="C23" s="222" t="s">
        <v>585</v>
      </c>
      <c r="D23" s="222"/>
      <c r="E23" s="887">
        <f>'ANÁLISIS MANO DE OBRA'!F65</f>
        <v>1028678</v>
      </c>
    </row>
    <row r="24" spans="1:5" x14ac:dyDescent="0.2">
      <c r="A24" s="583" t="s">
        <v>81</v>
      </c>
      <c r="B24" s="584" t="s">
        <v>3658</v>
      </c>
      <c r="C24" s="222" t="s">
        <v>585</v>
      </c>
      <c r="D24" s="222"/>
      <c r="E24" s="887">
        <f>'ANÁLISIS MANO DE OBRA'!F64</f>
        <v>283774</v>
      </c>
    </row>
    <row r="25" spans="1:5" x14ac:dyDescent="0.2">
      <c r="A25" s="583" t="s">
        <v>3791</v>
      </c>
      <c r="B25" s="584" t="s">
        <v>3790</v>
      </c>
      <c r="C25" s="222" t="s">
        <v>585</v>
      </c>
      <c r="D25" s="222"/>
      <c r="E25" s="887">
        <f>'ANÁLISIS MANO DE OBRA'!F55</f>
        <v>284220</v>
      </c>
    </row>
    <row r="26" spans="1:5" x14ac:dyDescent="0.2">
      <c r="A26" s="583" t="s">
        <v>599</v>
      </c>
      <c r="B26" s="584" t="s">
        <v>600</v>
      </c>
      <c r="C26" s="222" t="s">
        <v>585</v>
      </c>
      <c r="D26" s="222"/>
      <c r="E26" s="887">
        <f>'ANÁLISIS MANO DE OBRA'!F34</f>
        <v>159623</v>
      </c>
    </row>
    <row r="27" spans="1:5" x14ac:dyDescent="0.2">
      <c r="A27" s="583" t="s">
        <v>398</v>
      </c>
      <c r="B27" s="584" t="s">
        <v>399</v>
      </c>
      <c r="C27" s="222" t="s">
        <v>585</v>
      </c>
      <c r="D27" s="222"/>
      <c r="E27" s="887">
        <f>'ANÁLISIS MANO DE OBRA'!F41</f>
        <v>177359</v>
      </c>
    </row>
    <row r="28" spans="1:5" x14ac:dyDescent="0.2">
      <c r="A28" s="583" t="s">
        <v>270</v>
      </c>
      <c r="B28" s="584" t="s">
        <v>167</v>
      </c>
      <c r="C28" s="222" t="s">
        <v>168</v>
      </c>
      <c r="D28" s="222"/>
      <c r="E28" s="887">
        <f>+'ANÁLISIS MANO DE OBRA'!E46</f>
        <v>6570193</v>
      </c>
    </row>
    <row r="29" spans="1:5" ht="12" x14ac:dyDescent="0.2">
      <c r="A29" s="929" t="s">
        <v>295</v>
      </c>
      <c r="B29" s="929"/>
      <c r="C29" s="929"/>
      <c r="D29" s="929"/>
      <c r="E29" s="929"/>
    </row>
    <row r="30" spans="1:5" ht="12" x14ac:dyDescent="0.2">
      <c r="A30" s="929"/>
      <c r="B30" s="929"/>
      <c r="C30" s="929"/>
      <c r="D30" s="929"/>
      <c r="E30" s="929"/>
    </row>
    <row r="31" spans="1:5" ht="25.5" x14ac:dyDescent="0.2">
      <c r="A31" s="602" t="s">
        <v>265</v>
      </c>
      <c r="B31" s="602" t="s">
        <v>402</v>
      </c>
      <c r="C31" s="602" t="s">
        <v>403</v>
      </c>
      <c r="D31" s="602"/>
      <c r="E31" s="228" t="s">
        <v>3735</v>
      </c>
    </row>
    <row r="32" spans="1:5" x14ac:dyDescent="0.2">
      <c r="A32" s="238" t="s">
        <v>1307</v>
      </c>
      <c r="B32" s="893" t="s">
        <v>2757</v>
      </c>
      <c r="C32" s="633" t="s">
        <v>411</v>
      </c>
      <c r="D32" s="633"/>
      <c r="E32" s="662">
        <v>1300</v>
      </c>
    </row>
    <row r="33" spans="1:5" x14ac:dyDescent="0.2">
      <c r="A33" s="238" t="s">
        <v>1256</v>
      </c>
      <c r="B33" s="893" t="s">
        <v>2572</v>
      </c>
      <c r="C33" s="633" t="s">
        <v>411</v>
      </c>
      <c r="D33" s="633"/>
      <c r="E33" s="662">
        <v>1600</v>
      </c>
    </row>
    <row r="34" spans="1:5" x14ac:dyDescent="0.2">
      <c r="A34" s="238" t="s">
        <v>1309</v>
      </c>
      <c r="B34" s="893" t="s">
        <v>2573</v>
      </c>
      <c r="C34" s="633" t="s">
        <v>411</v>
      </c>
      <c r="D34" s="633"/>
      <c r="E34" s="662">
        <v>2250</v>
      </c>
    </row>
    <row r="35" spans="1:5" x14ac:dyDescent="0.2">
      <c r="A35" s="238" t="s">
        <v>1255</v>
      </c>
      <c r="B35" s="894" t="s">
        <v>2574</v>
      </c>
      <c r="C35" s="633" t="s">
        <v>411</v>
      </c>
      <c r="D35" s="633"/>
      <c r="E35" s="662">
        <v>850</v>
      </c>
    </row>
    <row r="36" spans="1:5" x14ac:dyDescent="0.2">
      <c r="A36" s="238" t="s">
        <v>1334</v>
      </c>
      <c r="B36" s="893" t="s">
        <v>2575</v>
      </c>
      <c r="C36" s="633" t="s">
        <v>411</v>
      </c>
      <c r="D36" s="633"/>
      <c r="E36" s="662">
        <v>5734</v>
      </c>
    </row>
    <row r="37" spans="1:5" x14ac:dyDescent="0.2">
      <c r="A37" s="222" t="s">
        <v>2777</v>
      </c>
      <c r="B37" s="223" t="s">
        <v>3500</v>
      </c>
      <c r="C37" s="225" t="s">
        <v>411</v>
      </c>
      <c r="D37" s="225"/>
      <c r="E37" s="661">
        <v>8845</v>
      </c>
    </row>
    <row r="38" spans="1:5" x14ac:dyDescent="0.2">
      <c r="A38" s="222" t="s">
        <v>2776</v>
      </c>
      <c r="B38" s="223" t="s">
        <v>3499</v>
      </c>
      <c r="C38" s="225" t="s">
        <v>411</v>
      </c>
      <c r="D38" s="225"/>
      <c r="E38" s="661">
        <v>8845</v>
      </c>
    </row>
    <row r="39" spans="1:5" x14ac:dyDescent="0.2">
      <c r="A39" s="222" t="s">
        <v>2775</v>
      </c>
      <c r="B39" s="223" t="s">
        <v>3498</v>
      </c>
      <c r="C39" s="225" t="s">
        <v>411</v>
      </c>
      <c r="D39" s="225"/>
      <c r="E39" s="661">
        <v>12345</v>
      </c>
    </row>
    <row r="40" spans="1:5" x14ac:dyDescent="0.2">
      <c r="A40" s="222" t="s">
        <v>2771</v>
      </c>
      <c r="B40" s="223" t="s">
        <v>3494</v>
      </c>
      <c r="C40" s="225" t="s">
        <v>411</v>
      </c>
      <c r="D40" s="225"/>
      <c r="E40" s="661">
        <v>8845</v>
      </c>
    </row>
    <row r="41" spans="1:5" x14ac:dyDescent="0.2">
      <c r="A41" s="222" t="s">
        <v>2773</v>
      </c>
      <c r="B41" s="223" t="s">
        <v>3496</v>
      </c>
      <c r="C41" s="225" t="s">
        <v>411</v>
      </c>
      <c r="D41" s="225"/>
      <c r="E41" s="661">
        <v>12495</v>
      </c>
    </row>
    <row r="42" spans="1:5" x14ac:dyDescent="0.2">
      <c r="A42" s="222" t="s">
        <v>2774</v>
      </c>
      <c r="B42" s="223" t="s">
        <v>3497</v>
      </c>
      <c r="C42" s="225" t="s">
        <v>411</v>
      </c>
      <c r="D42" s="225"/>
      <c r="E42" s="661">
        <v>8845</v>
      </c>
    </row>
    <row r="43" spans="1:5" x14ac:dyDescent="0.2">
      <c r="A43" s="222" t="s">
        <v>2772</v>
      </c>
      <c r="B43" s="223" t="s">
        <v>3495</v>
      </c>
      <c r="C43" s="225" t="s">
        <v>411</v>
      </c>
      <c r="D43" s="225"/>
      <c r="E43" s="661">
        <v>12495</v>
      </c>
    </row>
    <row r="44" spans="1:5" x14ac:dyDescent="0.2">
      <c r="A44" s="238" t="s">
        <v>1310</v>
      </c>
      <c r="B44" s="628" t="s">
        <v>218</v>
      </c>
      <c r="C44" s="633" t="s">
        <v>217</v>
      </c>
      <c r="D44" s="633"/>
      <c r="E44" s="662">
        <v>0</v>
      </c>
    </row>
    <row r="45" spans="1:5" x14ac:dyDescent="0.2">
      <c r="A45" s="222" t="s">
        <v>1854</v>
      </c>
      <c r="B45" s="635" t="s">
        <v>3200</v>
      </c>
      <c r="C45" s="225" t="s">
        <v>3201</v>
      </c>
      <c r="D45" s="225"/>
      <c r="E45" s="661">
        <v>0</v>
      </c>
    </row>
    <row r="46" spans="1:5" x14ac:dyDescent="0.2">
      <c r="A46" s="222" t="s">
        <v>1871</v>
      </c>
      <c r="B46" s="635" t="s">
        <v>3204</v>
      </c>
      <c r="C46" s="225" t="s">
        <v>3205</v>
      </c>
      <c r="D46" s="225"/>
      <c r="E46" s="661">
        <v>0</v>
      </c>
    </row>
    <row r="47" spans="1:5" x14ac:dyDescent="0.2">
      <c r="A47" s="585" t="s">
        <v>1873</v>
      </c>
      <c r="B47" s="631" t="s">
        <v>2758</v>
      </c>
      <c r="C47" s="632" t="s">
        <v>2648</v>
      </c>
      <c r="D47" s="632"/>
      <c r="E47" s="662">
        <v>0</v>
      </c>
    </row>
    <row r="48" spans="1:5" x14ac:dyDescent="0.2">
      <c r="A48" s="222" t="s">
        <v>1870</v>
      </c>
      <c r="B48" s="635" t="s">
        <v>3202</v>
      </c>
      <c r="C48" s="225" t="s">
        <v>217</v>
      </c>
      <c r="D48" s="225"/>
      <c r="E48" s="661">
        <v>0</v>
      </c>
    </row>
    <row r="49" spans="1:5" x14ac:dyDescent="0.2">
      <c r="A49" s="585" t="s">
        <v>3991</v>
      </c>
      <c r="B49" s="894" t="s">
        <v>4137</v>
      </c>
      <c r="C49" s="633" t="s">
        <v>411</v>
      </c>
      <c r="D49" s="632"/>
      <c r="E49" s="661">
        <v>3000</v>
      </c>
    </row>
    <row r="50" spans="1:5" x14ac:dyDescent="0.2">
      <c r="A50" s="238" t="s">
        <v>1261</v>
      </c>
      <c r="B50" s="629" t="s">
        <v>3675</v>
      </c>
      <c r="C50" s="630" t="s">
        <v>411</v>
      </c>
      <c r="D50" s="630"/>
      <c r="E50" s="661">
        <v>13110</v>
      </c>
    </row>
    <row r="51" spans="1:5" x14ac:dyDescent="0.2">
      <c r="A51" s="238" t="s">
        <v>1254</v>
      </c>
      <c r="B51" s="629" t="s">
        <v>3921</v>
      </c>
      <c r="C51" s="630" t="s">
        <v>411</v>
      </c>
      <c r="D51" s="630"/>
      <c r="E51" s="661">
        <v>5875</v>
      </c>
    </row>
    <row r="52" spans="1:5" x14ac:dyDescent="0.2">
      <c r="A52" s="238" t="s">
        <v>1374</v>
      </c>
      <c r="B52" s="893" t="s">
        <v>3662</v>
      </c>
      <c r="C52" s="633" t="s">
        <v>411</v>
      </c>
      <c r="D52" s="633"/>
      <c r="E52" s="662">
        <v>150000</v>
      </c>
    </row>
    <row r="53" spans="1:5" x14ac:dyDescent="0.2">
      <c r="A53" s="238" t="s">
        <v>1369</v>
      </c>
      <c r="B53" s="629" t="s">
        <v>11</v>
      </c>
      <c r="C53" s="630" t="s">
        <v>217</v>
      </c>
      <c r="D53" s="630"/>
      <c r="E53" s="661">
        <v>0</v>
      </c>
    </row>
    <row r="54" spans="1:5" x14ac:dyDescent="0.2">
      <c r="A54" s="239" t="s">
        <v>1257</v>
      </c>
      <c r="B54" s="629" t="s">
        <v>2692</v>
      </c>
      <c r="C54" s="623" t="s">
        <v>411</v>
      </c>
      <c r="D54" s="623"/>
      <c r="E54" s="661">
        <v>7950</v>
      </c>
    </row>
    <row r="55" spans="1:5" x14ac:dyDescent="0.2">
      <c r="A55" s="238" t="s">
        <v>1258</v>
      </c>
      <c r="B55" s="629" t="s">
        <v>2693</v>
      </c>
      <c r="C55" s="630" t="s">
        <v>411</v>
      </c>
      <c r="D55" s="630"/>
      <c r="E55" s="661">
        <f>2900+7700</f>
        <v>10600</v>
      </c>
    </row>
    <row r="56" spans="1:5" x14ac:dyDescent="0.2">
      <c r="A56" s="238" t="s">
        <v>1259</v>
      </c>
      <c r="B56" s="629" t="s">
        <v>2694</v>
      </c>
      <c r="C56" s="630" t="s">
        <v>411</v>
      </c>
      <c r="D56" s="630"/>
      <c r="E56" s="661">
        <f>5650+10600</f>
        <v>16250</v>
      </c>
    </row>
    <row r="57" spans="1:5" x14ac:dyDescent="0.2">
      <c r="A57" s="238" t="s">
        <v>1260</v>
      </c>
      <c r="B57" s="629" t="s">
        <v>3916</v>
      </c>
      <c r="C57" s="630" t="s">
        <v>406</v>
      </c>
      <c r="D57" s="630"/>
      <c r="E57" s="661">
        <v>20348</v>
      </c>
    </row>
    <row r="58" spans="1:5" ht="14.25" x14ac:dyDescent="0.2">
      <c r="A58" s="238" t="s">
        <v>1262</v>
      </c>
      <c r="B58" s="636" t="s">
        <v>3810</v>
      </c>
      <c r="C58" s="623" t="s">
        <v>406</v>
      </c>
      <c r="D58" s="623"/>
      <c r="E58" s="661">
        <v>4500</v>
      </c>
    </row>
    <row r="59" spans="1:5" ht="14.25" x14ac:dyDescent="0.2">
      <c r="A59" s="238" t="s">
        <v>1263</v>
      </c>
      <c r="B59" s="636" t="s">
        <v>3811</v>
      </c>
      <c r="C59" s="623" t="s">
        <v>406</v>
      </c>
      <c r="D59" s="623"/>
      <c r="E59" s="661">
        <v>4545</v>
      </c>
    </row>
    <row r="60" spans="1:5" ht="38.25" x14ac:dyDescent="0.2">
      <c r="A60" s="238" t="s">
        <v>1881</v>
      </c>
      <c r="B60" s="230" t="s">
        <v>3359</v>
      </c>
      <c r="C60" s="623" t="s">
        <v>406</v>
      </c>
      <c r="D60" s="623"/>
      <c r="E60" s="661">
        <v>2414</v>
      </c>
    </row>
    <row r="61" spans="1:5" x14ac:dyDescent="0.2">
      <c r="A61" s="222" t="s">
        <v>1776</v>
      </c>
      <c r="B61" s="637" t="s">
        <v>3795</v>
      </c>
      <c r="C61" s="630" t="s">
        <v>411</v>
      </c>
      <c r="D61" s="630"/>
      <c r="E61" s="661">
        <v>14900</v>
      </c>
    </row>
    <row r="62" spans="1:5" x14ac:dyDescent="0.2">
      <c r="A62" s="222" t="s">
        <v>1296</v>
      </c>
      <c r="B62" s="637" t="s">
        <v>3813</v>
      </c>
      <c r="C62" s="630" t="s">
        <v>411</v>
      </c>
      <c r="D62" s="630"/>
      <c r="E62" s="661">
        <v>5300</v>
      </c>
    </row>
    <row r="63" spans="1:5" x14ac:dyDescent="0.2">
      <c r="A63" s="238" t="s">
        <v>1264</v>
      </c>
      <c r="B63" s="629" t="s">
        <v>641</v>
      </c>
      <c r="C63" s="630" t="s">
        <v>642</v>
      </c>
      <c r="D63" s="630"/>
      <c r="E63" s="661">
        <v>10959</v>
      </c>
    </row>
    <row r="64" spans="1:5" x14ac:dyDescent="0.2">
      <c r="A64" s="222" t="s">
        <v>1266</v>
      </c>
      <c r="B64" s="637" t="s">
        <v>3796</v>
      </c>
      <c r="C64" s="630" t="s">
        <v>411</v>
      </c>
      <c r="D64" s="630"/>
      <c r="E64" s="661">
        <f>203900/50</f>
        <v>4078</v>
      </c>
    </row>
    <row r="65" spans="1:5" x14ac:dyDescent="0.2">
      <c r="A65" s="238" t="s">
        <v>1267</v>
      </c>
      <c r="B65" s="629" t="s">
        <v>2789</v>
      </c>
      <c r="C65" s="630" t="s">
        <v>411</v>
      </c>
      <c r="D65" s="630"/>
      <c r="E65" s="661">
        <v>5400</v>
      </c>
    </row>
    <row r="66" spans="1:5" x14ac:dyDescent="0.2">
      <c r="A66" s="238" t="s">
        <v>1270</v>
      </c>
      <c r="B66" s="629" t="s">
        <v>2790</v>
      </c>
      <c r="C66" s="630" t="s">
        <v>411</v>
      </c>
      <c r="D66" s="630"/>
      <c r="E66" s="661">
        <v>350</v>
      </c>
    </row>
    <row r="67" spans="1:5" x14ac:dyDescent="0.2">
      <c r="A67" s="238" t="s">
        <v>1268</v>
      </c>
      <c r="B67" s="629" t="s">
        <v>2791</v>
      </c>
      <c r="C67" s="630" t="s">
        <v>411</v>
      </c>
      <c r="D67" s="630"/>
      <c r="E67" s="661">
        <v>5500</v>
      </c>
    </row>
    <row r="68" spans="1:5" x14ac:dyDescent="0.2">
      <c r="A68" s="238" t="s">
        <v>1269</v>
      </c>
      <c r="B68" s="629" t="s">
        <v>225</v>
      </c>
      <c r="C68" s="630" t="s">
        <v>411</v>
      </c>
      <c r="D68" s="630"/>
      <c r="E68" s="661">
        <v>2150</v>
      </c>
    </row>
    <row r="69" spans="1:5" x14ac:dyDescent="0.2">
      <c r="A69" s="238" t="s">
        <v>1271</v>
      </c>
      <c r="B69" s="629" t="s">
        <v>238</v>
      </c>
      <c r="C69" s="630" t="s">
        <v>411</v>
      </c>
      <c r="D69" s="630"/>
      <c r="E69" s="661">
        <v>7200</v>
      </c>
    </row>
    <row r="70" spans="1:5" x14ac:dyDescent="0.2">
      <c r="A70" s="238" t="s">
        <v>1272</v>
      </c>
      <c r="B70" s="629" t="s">
        <v>231</v>
      </c>
      <c r="C70" s="630" t="s">
        <v>411</v>
      </c>
      <c r="D70" s="630"/>
      <c r="E70" s="661">
        <v>1100</v>
      </c>
    </row>
    <row r="71" spans="1:5" x14ac:dyDescent="0.2">
      <c r="A71" s="623" t="s">
        <v>4112</v>
      </c>
      <c r="B71" s="894" t="s">
        <v>3642</v>
      </c>
      <c r="C71" s="633" t="s">
        <v>411</v>
      </c>
      <c r="D71" s="632"/>
      <c r="E71" s="661">
        <v>4500</v>
      </c>
    </row>
    <row r="72" spans="1:5" x14ac:dyDescent="0.2">
      <c r="A72" s="585" t="s">
        <v>1862</v>
      </c>
      <c r="B72" s="895" t="s">
        <v>2793</v>
      </c>
      <c r="C72" s="632" t="s">
        <v>411</v>
      </c>
      <c r="D72" s="632"/>
      <c r="E72" s="661">
        <v>400</v>
      </c>
    </row>
    <row r="73" spans="1:5" x14ac:dyDescent="0.2">
      <c r="A73" s="222" t="s">
        <v>1335</v>
      </c>
      <c r="B73" s="895" t="s">
        <v>2687</v>
      </c>
      <c r="C73" s="633" t="s">
        <v>411</v>
      </c>
      <c r="D73" s="633"/>
      <c r="E73" s="661">
        <f>46900/100</f>
        <v>469</v>
      </c>
    </row>
    <row r="74" spans="1:5" x14ac:dyDescent="0.2">
      <c r="A74" s="585" t="s">
        <v>1852</v>
      </c>
      <c r="B74" s="895" t="s">
        <v>2138</v>
      </c>
      <c r="C74" s="632" t="s">
        <v>411</v>
      </c>
      <c r="D74" s="632"/>
      <c r="E74" s="661">
        <v>2200</v>
      </c>
    </row>
    <row r="75" spans="1:5" ht="25.5" x14ac:dyDescent="0.2">
      <c r="A75" s="238" t="s">
        <v>1274</v>
      </c>
      <c r="B75" s="638" t="s">
        <v>3664</v>
      </c>
      <c r="C75" s="630" t="s">
        <v>406</v>
      </c>
      <c r="D75" s="630"/>
      <c r="E75" s="661">
        <v>195900</v>
      </c>
    </row>
    <row r="76" spans="1:5" ht="25.5" x14ac:dyDescent="0.2">
      <c r="A76" s="222" t="s">
        <v>1499</v>
      </c>
      <c r="B76" s="638" t="s">
        <v>2794</v>
      </c>
      <c r="C76" s="630" t="s">
        <v>411</v>
      </c>
      <c r="D76" s="630"/>
      <c r="E76" s="661">
        <v>99900</v>
      </c>
    </row>
    <row r="77" spans="1:5" x14ac:dyDescent="0.2">
      <c r="A77" s="222" t="s">
        <v>1273</v>
      </c>
      <c r="B77" s="629" t="s">
        <v>49</v>
      </c>
      <c r="C77" s="630" t="s">
        <v>406</v>
      </c>
      <c r="D77" s="630"/>
      <c r="E77" s="661">
        <v>25745</v>
      </c>
    </row>
    <row r="78" spans="1:5" x14ac:dyDescent="0.2">
      <c r="A78" s="238" t="s">
        <v>1275</v>
      </c>
      <c r="B78" s="629" t="s">
        <v>45</v>
      </c>
      <c r="C78" s="630" t="s">
        <v>411</v>
      </c>
      <c r="D78" s="630"/>
      <c r="E78" s="661">
        <v>90900</v>
      </c>
    </row>
    <row r="79" spans="1:5" x14ac:dyDescent="0.2">
      <c r="A79" s="222" t="s">
        <v>1872</v>
      </c>
      <c r="B79" s="635" t="s">
        <v>3246</v>
      </c>
      <c r="C79" s="225" t="s">
        <v>406</v>
      </c>
      <c r="D79" s="225"/>
      <c r="E79" s="661">
        <f>97900/5</f>
        <v>19580</v>
      </c>
    </row>
    <row r="80" spans="1:5" x14ac:dyDescent="0.2">
      <c r="A80" s="239" t="s">
        <v>2570</v>
      </c>
      <c r="B80" s="230" t="s">
        <v>2795</v>
      </c>
      <c r="C80" s="623" t="s">
        <v>406</v>
      </c>
      <c r="D80" s="623"/>
      <c r="E80" s="661">
        <v>13045</v>
      </c>
    </row>
    <row r="81" spans="1:5" ht="14.25" x14ac:dyDescent="0.2">
      <c r="A81" s="238" t="s">
        <v>1276</v>
      </c>
      <c r="B81" s="629" t="s">
        <v>2688</v>
      </c>
      <c r="C81" s="630" t="s">
        <v>288</v>
      </c>
      <c r="D81" s="630"/>
      <c r="E81" s="661">
        <v>75000</v>
      </c>
    </row>
    <row r="82" spans="1:5" ht="14.25" x14ac:dyDescent="0.2">
      <c r="A82" s="238" t="s">
        <v>1277</v>
      </c>
      <c r="B82" s="629" t="s">
        <v>2689</v>
      </c>
      <c r="C82" s="630" t="s">
        <v>288</v>
      </c>
      <c r="D82" s="630"/>
      <c r="E82" s="661">
        <f>1100*50</f>
        <v>55000</v>
      </c>
    </row>
    <row r="83" spans="1:5" ht="14.25" x14ac:dyDescent="0.2">
      <c r="A83" s="238" t="s">
        <v>1796</v>
      </c>
      <c r="B83" s="629" t="s">
        <v>1935</v>
      </c>
      <c r="C83" s="630" t="s">
        <v>288</v>
      </c>
      <c r="D83" s="630"/>
      <c r="E83" s="661">
        <f>800*50</f>
        <v>40000</v>
      </c>
    </row>
    <row r="84" spans="1:5" ht="14.25" x14ac:dyDescent="0.2">
      <c r="A84" s="222" t="s">
        <v>1278</v>
      </c>
      <c r="B84" s="639" t="s">
        <v>1890</v>
      </c>
      <c r="C84" s="225" t="s">
        <v>285</v>
      </c>
      <c r="D84" s="225"/>
      <c r="E84" s="661">
        <v>26610</v>
      </c>
    </row>
    <row r="85" spans="1:5" x14ac:dyDescent="0.2">
      <c r="A85" s="238" t="s">
        <v>1279</v>
      </c>
      <c r="B85" s="629" t="s">
        <v>349</v>
      </c>
      <c r="C85" s="630" t="s">
        <v>617</v>
      </c>
      <c r="D85" s="630"/>
      <c r="E85" s="661">
        <v>19</v>
      </c>
    </row>
    <row r="86" spans="1:5" x14ac:dyDescent="0.2">
      <c r="A86" s="585" t="s">
        <v>1825</v>
      </c>
      <c r="B86" s="896" t="s">
        <v>1238</v>
      </c>
      <c r="C86" s="641" t="s">
        <v>411</v>
      </c>
      <c r="D86" s="641"/>
      <c r="E86" s="661">
        <v>4000</v>
      </c>
    </row>
    <row r="87" spans="1:5" x14ac:dyDescent="0.2">
      <c r="A87" s="630" t="s">
        <v>1475</v>
      </c>
      <c r="B87" s="637" t="s">
        <v>3865</v>
      </c>
      <c r="C87" s="630" t="s">
        <v>642</v>
      </c>
      <c r="D87" s="630"/>
      <c r="E87" s="661">
        <v>50182</v>
      </c>
    </row>
    <row r="88" spans="1:5" ht="25.5" x14ac:dyDescent="0.2">
      <c r="A88" s="222" t="s">
        <v>2768</v>
      </c>
      <c r="B88" s="638" t="s">
        <v>3944</v>
      </c>
      <c r="C88" s="225" t="s">
        <v>642</v>
      </c>
      <c r="D88" s="225"/>
      <c r="E88" s="661">
        <v>74724</v>
      </c>
    </row>
    <row r="89" spans="1:5" x14ac:dyDescent="0.2">
      <c r="A89" s="238" t="s">
        <v>1280</v>
      </c>
      <c r="B89" s="629" t="s">
        <v>335</v>
      </c>
      <c r="C89" s="630" t="s">
        <v>405</v>
      </c>
      <c r="D89" s="630"/>
      <c r="E89" s="661">
        <v>584</v>
      </c>
    </row>
    <row r="90" spans="1:5" x14ac:dyDescent="0.2">
      <c r="A90" s="238" t="s">
        <v>1281</v>
      </c>
      <c r="B90" s="629" t="s">
        <v>633</v>
      </c>
      <c r="C90" s="630" t="s">
        <v>406</v>
      </c>
      <c r="D90" s="630"/>
      <c r="E90" s="661">
        <v>11400</v>
      </c>
    </row>
    <row r="91" spans="1:5" x14ac:dyDescent="0.2">
      <c r="A91" s="238" t="s">
        <v>1282</v>
      </c>
      <c r="B91" s="642" t="s">
        <v>604</v>
      </c>
      <c r="C91" s="623" t="s">
        <v>406</v>
      </c>
      <c r="D91" s="623"/>
      <c r="E91" s="661">
        <v>7790</v>
      </c>
    </row>
    <row r="92" spans="1:5" x14ac:dyDescent="0.2">
      <c r="A92" s="585" t="s">
        <v>2559</v>
      </c>
      <c r="B92" s="895" t="s">
        <v>2560</v>
      </c>
      <c r="C92" s="641" t="s">
        <v>405</v>
      </c>
      <c r="D92" s="641"/>
      <c r="E92" s="661">
        <v>3000</v>
      </c>
    </row>
    <row r="93" spans="1:5" x14ac:dyDescent="0.2">
      <c r="A93" s="585" t="s">
        <v>1845</v>
      </c>
      <c r="B93" s="895" t="s">
        <v>2206</v>
      </c>
      <c r="C93" s="632" t="s">
        <v>405</v>
      </c>
      <c r="D93" s="632"/>
      <c r="E93" s="661">
        <f>(4700+13950*1.19/3+5067)/3</f>
        <v>5100.166666666667</v>
      </c>
    </row>
    <row r="94" spans="1:5" x14ac:dyDescent="0.2">
      <c r="A94" s="238" t="s">
        <v>1253</v>
      </c>
      <c r="B94" s="629" t="s">
        <v>2695</v>
      </c>
      <c r="C94" s="630" t="s">
        <v>405</v>
      </c>
      <c r="D94" s="630"/>
      <c r="E94" s="661">
        <f>44900/2.5</f>
        <v>17960</v>
      </c>
    </row>
    <row r="95" spans="1:5" x14ac:dyDescent="0.2">
      <c r="A95" s="238" t="s">
        <v>1283</v>
      </c>
      <c r="B95" s="629" t="s">
        <v>2796</v>
      </c>
      <c r="C95" s="630" t="s">
        <v>405</v>
      </c>
      <c r="D95" s="630"/>
      <c r="E95" s="661">
        <f>8900/2.4</f>
        <v>3708.3333333333335</v>
      </c>
    </row>
    <row r="96" spans="1:5" x14ac:dyDescent="0.2">
      <c r="A96" s="238" t="s">
        <v>1284</v>
      </c>
      <c r="B96" s="629" t="s">
        <v>2696</v>
      </c>
      <c r="C96" s="630" t="s">
        <v>411</v>
      </c>
      <c r="D96" s="630"/>
      <c r="E96" s="661">
        <f>9900/20</f>
        <v>495</v>
      </c>
    </row>
    <row r="97" spans="1:5" x14ac:dyDescent="0.2">
      <c r="A97" s="222" t="s">
        <v>1699</v>
      </c>
      <c r="B97" s="897" t="s">
        <v>3168</v>
      </c>
      <c r="C97" s="225" t="s">
        <v>411</v>
      </c>
      <c r="D97" s="225"/>
      <c r="E97" s="661">
        <v>149</v>
      </c>
    </row>
    <row r="98" spans="1:5" x14ac:dyDescent="0.2">
      <c r="A98" s="623" t="s">
        <v>4065</v>
      </c>
      <c r="B98" s="894" t="s">
        <v>4155</v>
      </c>
      <c r="C98" s="633" t="s">
        <v>411</v>
      </c>
      <c r="D98" s="632"/>
      <c r="E98" s="661">
        <f>3600/100</f>
        <v>36</v>
      </c>
    </row>
    <row r="99" spans="1:5" ht="25.5" x14ac:dyDescent="0.2">
      <c r="A99" s="222" t="s">
        <v>3973</v>
      </c>
      <c r="B99" s="653" t="s">
        <v>3994</v>
      </c>
      <c r="C99" s="222" t="s">
        <v>411</v>
      </c>
      <c r="D99" s="222"/>
      <c r="E99" s="661">
        <v>4274</v>
      </c>
    </row>
    <row r="100" spans="1:5" x14ac:dyDescent="0.2">
      <c r="A100" s="238" t="s">
        <v>1338</v>
      </c>
      <c r="B100" s="893" t="s">
        <v>2797</v>
      </c>
      <c r="C100" s="633" t="s">
        <v>411</v>
      </c>
      <c r="D100" s="633"/>
      <c r="E100" s="662">
        <v>900</v>
      </c>
    </row>
    <row r="101" spans="1:5" x14ac:dyDescent="0.2">
      <c r="A101" s="222" t="s">
        <v>1339</v>
      </c>
      <c r="B101" s="893" t="s">
        <v>2798</v>
      </c>
      <c r="C101" s="633" t="s">
        <v>411</v>
      </c>
      <c r="D101" s="633"/>
      <c r="E101" s="662">
        <v>3700</v>
      </c>
    </row>
    <row r="102" spans="1:5" x14ac:dyDescent="0.2">
      <c r="A102" s="222" t="s">
        <v>1288</v>
      </c>
      <c r="B102" s="637" t="s">
        <v>3815</v>
      </c>
      <c r="C102" s="225" t="s">
        <v>411</v>
      </c>
      <c r="D102" s="225"/>
      <c r="E102" s="661">
        <f>ROUND(1105.74*2.44,0)</f>
        <v>2698</v>
      </c>
    </row>
    <row r="103" spans="1:5" x14ac:dyDescent="0.2">
      <c r="A103" s="238" t="s">
        <v>1285</v>
      </c>
      <c r="B103" s="629" t="s">
        <v>2799</v>
      </c>
      <c r="C103" s="630" t="s">
        <v>405</v>
      </c>
      <c r="D103" s="630"/>
      <c r="E103" s="661">
        <v>9383</v>
      </c>
    </row>
    <row r="104" spans="1:5" x14ac:dyDescent="0.2">
      <c r="A104" s="238" t="s">
        <v>1286</v>
      </c>
      <c r="B104" s="629" t="s">
        <v>664</v>
      </c>
      <c r="C104" s="630" t="s">
        <v>405</v>
      </c>
      <c r="D104" s="630"/>
      <c r="E104" s="661">
        <v>6817</v>
      </c>
    </row>
    <row r="105" spans="1:5" x14ac:dyDescent="0.2">
      <c r="A105" s="238" t="s">
        <v>1757</v>
      </c>
      <c r="B105" s="629" t="s">
        <v>144</v>
      </c>
      <c r="C105" s="630" t="s">
        <v>405</v>
      </c>
      <c r="D105" s="630"/>
      <c r="E105" s="661">
        <v>15817</v>
      </c>
    </row>
    <row r="106" spans="1:5" x14ac:dyDescent="0.2">
      <c r="A106" s="239" t="s">
        <v>1287</v>
      </c>
      <c r="B106" s="642" t="s">
        <v>2800</v>
      </c>
      <c r="C106" s="623" t="s">
        <v>405</v>
      </c>
      <c r="D106" s="623"/>
      <c r="E106" s="661">
        <v>22617</v>
      </c>
    </row>
    <row r="107" spans="1:5" x14ac:dyDescent="0.2">
      <c r="A107" s="623" t="s">
        <v>4063</v>
      </c>
      <c r="B107" s="894" t="s">
        <v>4064</v>
      </c>
      <c r="C107" s="633" t="s">
        <v>411</v>
      </c>
      <c r="D107" s="632"/>
      <c r="E107" s="661">
        <f>5557/100</f>
        <v>55.57</v>
      </c>
    </row>
    <row r="108" spans="1:5" x14ac:dyDescent="0.2">
      <c r="A108" s="623" t="s">
        <v>4102</v>
      </c>
      <c r="B108" s="894" t="s">
        <v>4103</v>
      </c>
      <c r="C108" s="633" t="s">
        <v>411</v>
      </c>
      <c r="D108" s="632"/>
      <c r="E108" s="661">
        <f>4323*1.19/100</f>
        <v>51.4437</v>
      </c>
    </row>
    <row r="109" spans="1:5" x14ac:dyDescent="0.2">
      <c r="A109" s="239" t="s">
        <v>1289</v>
      </c>
      <c r="B109" s="642" t="s">
        <v>3938</v>
      </c>
      <c r="C109" s="623" t="s">
        <v>642</v>
      </c>
      <c r="D109" s="623"/>
      <c r="E109" s="661">
        <v>69900</v>
      </c>
    </row>
    <row r="110" spans="1:5" x14ac:dyDescent="0.2">
      <c r="A110" s="238" t="s">
        <v>1290</v>
      </c>
      <c r="B110" s="629" t="s">
        <v>2697</v>
      </c>
      <c r="C110" s="630" t="s">
        <v>406</v>
      </c>
      <c r="D110" s="630"/>
      <c r="E110" s="661">
        <v>13045</v>
      </c>
    </row>
    <row r="111" spans="1:5" x14ac:dyDescent="0.2">
      <c r="A111" s="238" t="s">
        <v>1340</v>
      </c>
      <c r="B111" s="893" t="s">
        <v>2577</v>
      </c>
      <c r="C111" s="633" t="s">
        <v>411</v>
      </c>
      <c r="D111" s="633"/>
      <c r="E111" s="662">
        <v>800</v>
      </c>
    </row>
    <row r="112" spans="1:5" x14ac:dyDescent="0.2">
      <c r="A112" s="222" t="s">
        <v>1778</v>
      </c>
      <c r="B112" s="897" t="s">
        <v>3171</v>
      </c>
      <c r="C112" s="225" t="s">
        <v>411</v>
      </c>
      <c r="D112" s="225"/>
      <c r="E112" s="661">
        <v>250</v>
      </c>
    </row>
    <row r="113" spans="1:5" x14ac:dyDescent="0.2">
      <c r="A113" s="238" t="s">
        <v>1348</v>
      </c>
      <c r="B113" s="893" t="s">
        <v>2578</v>
      </c>
      <c r="C113" s="643" t="s">
        <v>411</v>
      </c>
      <c r="D113" s="643"/>
      <c r="E113" s="663">
        <v>550</v>
      </c>
    </row>
    <row r="114" spans="1:5" x14ac:dyDescent="0.2">
      <c r="A114" s="238" t="s">
        <v>1359</v>
      </c>
      <c r="B114" s="893" t="s">
        <v>2579</v>
      </c>
      <c r="C114" s="633" t="s">
        <v>411</v>
      </c>
      <c r="D114" s="633"/>
      <c r="E114" s="662">
        <v>250</v>
      </c>
    </row>
    <row r="115" spans="1:5" ht="14.25" x14ac:dyDescent="0.2">
      <c r="A115" s="238" t="s">
        <v>1291</v>
      </c>
      <c r="B115" s="629" t="s">
        <v>648</v>
      </c>
      <c r="C115" s="630" t="s">
        <v>285</v>
      </c>
      <c r="D115" s="630"/>
      <c r="E115" s="661">
        <v>71990</v>
      </c>
    </row>
    <row r="116" spans="1:5" ht="14.25" x14ac:dyDescent="0.2">
      <c r="A116" s="238" t="s">
        <v>1292</v>
      </c>
      <c r="B116" s="898" t="s">
        <v>638</v>
      </c>
      <c r="C116" s="623" t="s">
        <v>285</v>
      </c>
      <c r="D116" s="623"/>
      <c r="E116" s="661">
        <v>54900</v>
      </c>
    </row>
    <row r="117" spans="1:5" x14ac:dyDescent="0.2">
      <c r="A117" s="238" t="s">
        <v>1294</v>
      </c>
      <c r="B117" s="629" t="s">
        <v>280</v>
      </c>
      <c r="C117" s="630" t="s">
        <v>411</v>
      </c>
      <c r="D117" s="630"/>
      <c r="E117" s="661">
        <f>92000*1.19</f>
        <v>109480</v>
      </c>
    </row>
    <row r="118" spans="1:5" ht="51" x14ac:dyDescent="0.2">
      <c r="A118" s="238" t="s">
        <v>1293</v>
      </c>
      <c r="B118" s="642" t="s">
        <v>3666</v>
      </c>
      <c r="C118" s="623" t="s">
        <v>411</v>
      </c>
      <c r="D118" s="623"/>
      <c r="E118" s="661">
        <v>791900</v>
      </c>
    </row>
    <row r="119" spans="1:5" ht="14.25" x14ac:dyDescent="0.2">
      <c r="A119" s="222" t="s">
        <v>2760</v>
      </c>
      <c r="B119" s="635" t="s">
        <v>3905</v>
      </c>
      <c r="C119" s="623" t="s">
        <v>3676</v>
      </c>
      <c r="D119" s="225"/>
      <c r="E119" s="661">
        <f>ROUND(48579*1.052,0)</f>
        <v>51105</v>
      </c>
    </row>
    <row r="120" spans="1:5" x14ac:dyDescent="0.2">
      <c r="A120" s="238" t="s">
        <v>1295</v>
      </c>
      <c r="B120" s="642" t="s">
        <v>691</v>
      </c>
      <c r="C120" s="623" t="s">
        <v>642</v>
      </c>
      <c r="D120" s="623"/>
      <c r="E120" s="888">
        <v>23980</v>
      </c>
    </row>
    <row r="121" spans="1:5" x14ac:dyDescent="0.2">
      <c r="A121" s="222" t="s">
        <v>1754</v>
      </c>
      <c r="B121" s="636" t="s">
        <v>1250</v>
      </c>
      <c r="C121" s="644" t="s">
        <v>590</v>
      </c>
      <c r="D121" s="644"/>
      <c r="E121" s="661">
        <f>25686/2</f>
        <v>12843</v>
      </c>
    </row>
    <row r="122" spans="1:5" x14ac:dyDescent="0.2">
      <c r="A122" s="222" t="s">
        <v>1903</v>
      </c>
      <c r="B122" s="642" t="s">
        <v>2698</v>
      </c>
      <c r="C122" s="623" t="s">
        <v>411</v>
      </c>
      <c r="D122" s="623"/>
      <c r="E122" s="661">
        <v>44900</v>
      </c>
    </row>
    <row r="123" spans="1:5" x14ac:dyDescent="0.2">
      <c r="A123" s="238" t="s">
        <v>1848</v>
      </c>
      <c r="B123" s="629" t="s">
        <v>4033</v>
      </c>
      <c r="C123" s="630" t="s">
        <v>411</v>
      </c>
      <c r="D123" s="630"/>
      <c r="E123" s="661">
        <v>3000000</v>
      </c>
    </row>
    <row r="124" spans="1:5" x14ac:dyDescent="0.2">
      <c r="A124" s="222" t="s">
        <v>1380</v>
      </c>
      <c r="B124" s="893" t="s">
        <v>2801</v>
      </c>
      <c r="C124" s="633" t="s">
        <v>405</v>
      </c>
      <c r="D124" s="633"/>
      <c r="E124" s="662">
        <v>235485</v>
      </c>
    </row>
    <row r="125" spans="1:5" ht="51" x14ac:dyDescent="0.2">
      <c r="A125" s="222" t="s">
        <v>2792</v>
      </c>
      <c r="B125" s="629" t="s">
        <v>3965</v>
      </c>
      <c r="C125" s="633" t="s">
        <v>411</v>
      </c>
      <c r="D125" s="633"/>
      <c r="E125" s="661">
        <v>644900</v>
      </c>
    </row>
    <row r="126" spans="1:5" ht="51" x14ac:dyDescent="0.2">
      <c r="A126" s="222" t="s">
        <v>3961</v>
      </c>
      <c r="B126" s="653" t="s">
        <v>3995</v>
      </c>
      <c r="C126" s="222" t="s">
        <v>405</v>
      </c>
      <c r="D126" s="222"/>
      <c r="E126" s="661">
        <v>217000</v>
      </c>
    </row>
    <row r="127" spans="1:5" ht="51" x14ac:dyDescent="0.2">
      <c r="A127" s="222" t="s">
        <v>3974</v>
      </c>
      <c r="B127" s="653" t="s">
        <v>3996</v>
      </c>
      <c r="C127" s="222" t="s">
        <v>405</v>
      </c>
      <c r="D127" s="222"/>
      <c r="E127" s="661">
        <v>750854</v>
      </c>
    </row>
    <row r="128" spans="1:5" ht="51" x14ac:dyDescent="0.2">
      <c r="A128" s="222" t="s">
        <v>3975</v>
      </c>
      <c r="B128" s="653" t="s">
        <v>3998</v>
      </c>
      <c r="C128" s="222" t="s">
        <v>405</v>
      </c>
      <c r="D128" s="222"/>
      <c r="E128" s="661">
        <v>894460</v>
      </c>
    </row>
    <row r="129" spans="1:5" x14ac:dyDescent="0.2">
      <c r="A129" s="238" t="s">
        <v>1298</v>
      </c>
      <c r="B129" s="629" t="s">
        <v>181</v>
      </c>
      <c r="C129" s="630" t="s">
        <v>642</v>
      </c>
      <c r="D129" s="630"/>
      <c r="E129" s="661">
        <v>109900</v>
      </c>
    </row>
    <row r="130" spans="1:5" ht="25.5" x14ac:dyDescent="0.2">
      <c r="A130" s="222" t="s">
        <v>3788</v>
      </c>
      <c r="B130" s="629" t="s">
        <v>3964</v>
      </c>
      <c r="C130" s="222" t="s">
        <v>411</v>
      </c>
      <c r="D130" s="222"/>
      <c r="E130" s="661">
        <v>82700</v>
      </c>
    </row>
    <row r="131" spans="1:5" ht="38.25" x14ac:dyDescent="0.2">
      <c r="A131" s="222" t="s">
        <v>2640</v>
      </c>
      <c r="B131" s="629" t="s">
        <v>2699</v>
      </c>
      <c r="C131" s="630" t="s">
        <v>411</v>
      </c>
      <c r="D131" s="630"/>
      <c r="E131" s="661">
        <v>588900</v>
      </c>
    </row>
    <row r="132" spans="1:5" x14ac:dyDescent="0.2">
      <c r="A132" s="238" t="s">
        <v>1387</v>
      </c>
      <c r="B132" s="893" t="s">
        <v>4021</v>
      </c>
      <c r="C132" s="633" t="s">
        <v>411</v>
      </c>
      <c r="D132" s="633"/>
      <c r="E132" s="662">
        <v>37450</v>
      </c>
    </row>
    <row r="133" spans="1:5" x14ac:dyDescent="0.2">
      <c r="A133" s="238" t="s">
        <v>1381</v>
      </c>
      <c r="B133" s="899" t="s">
        <v>2802</v>
      </c>
      <c r="C133" s="633" t="s">
        <v>411</v>
      </c>
      <c r="D133" s="633"/>
      <c r="E133" s="889">
        <v>12881</v>
      </c>
    </row>
    <row r="134" spans="1:5" x14ac:dyDescent="0.2">
      <c r="A134" s="585" t="s">
        <v>1812</v>
      </c>
      <c r="B134" s="636" t="s">
        <v>1919</v>
      </c>
      <c r="C134" s="623" t="s">
        <v>406</v>
      </c>
      <c r="D134" s="623"/>
      <c r="E134" s="661">
        <v>16000</v>
      </c>
    </row>
    <row r="135" spans="1:5" x14ac:dyDescent="0.2">
      <c r="A135" s="222" t="s">
        <v>1303</v>
      </c>
      <c r="B135" s="637" t="s">
        <v>2608</v>
      </c>
      <c r="C135" s="630" t="s">
        <v>406</v>
      </c>
      <c r="D135" s="630"/>
      <c r="E135" s="661">
        <v>6700</v>
      </c>
    </row>
    <row r="136" spans="1:5" x14ac:dyDescent="0.2">
      <c r="A136" s="238" t="s">
        <v>1770</v>
      </c>
      <c r="B136" s="629" t="s">
        <v>2803</v>
      </c>
      <c r="C136" s="630" t="s">
        <v>411</v>
      </c>
      <c r="D136" s="630"/>
      <c r="E136" s="661">
        <v>6950</v>
      </c>
    </row>
    <row r="137" spans="1:5" x14ac:dyDescent="0.2">
      <c r="A137" s="238" t="s">
        <v>1879</v>
      </c>
      <c r="B137" s="629" t="s">
        <v>2804</v>
      </c>
      <c r="C137" s="630" t="s">
        <v>411</v>
      </c>
      <c r="D137" s="630"/>
      <c r="E137" s="661">
        <v>9450</v>
      </c>
    </row>
    <row r="138" spans="1:5" x14ac:dyDescent="0.2">
      <c r="A138" s="238" t="s">
        <v>1773</v>
      </c>
      <c r="B138" s="629" t="s">
        <v>2805</v>
      </c>
      <c r="C138" s="630" t="s">
        <v>411</v>
      </c>
      <c r="D138" s="630"/>
      <c r="E138" s="661">
        <v>19900</v>
      </c>
    </row>
    <row r="139" spans="1:5" x14ac:dyDescent="0.2">
      <c r="A139" s="238" t="s">
        <v>1299</v>
      </c>
      <c r="B139" s="645" t="s">
        <v>3797</v>
      </c>
      <c r="C139" s="630" t="s">
        <v>411</v>
      </c>
      <c r="D139" s="630"/>
      <c r="E139" s="661">
        <f>46900/2</f>
        <v>23450</v>
      </c>
    </row>
    <row r="140" spans="1:5" x14ac:dyDescent="0.2">
      <c r="A140" s="239" t="s">
        <v>1300</v>
      </c>
      <c r="B140" s="642" t="s">
        <v>173</v>
      </c>
      <c r="C140" s="623" t="s">
        <v>411</v>
      </c>
      <c r="D140" s="623"/>
      <c r="E140" s="661">
        <v>4900</v>
      </c>
    </row>
    <row r="141" spans="1:5" x14ac:dyDescent="0.2">
      <c r="A141" s="583" t="s">
        <v>1301</v>
      </c>
      <c r="B141" s="629" t="s">
        <v>179</v>
      </c>
      <c r="C141" s="623" t="s">
        <v>411</v>
      </c>
      <c r="D141" s="623"/>
      <c r="E141" s="661">
        <v>7208</v>
      </c>
    </row>
    <row r="142" spans="1:5" x14ac:dyDescent="0.2">
      <c r="A142" s="222" t="s">
        <v>1302</v>
      </c>
      <c r="B142" s="637" t="s">
        <v>3798</v>
      </c>
      <c r="C142" s="630" t="s">
        <v>411</v>
      </c>
      <c r="D142" s="630"/>
      <c r="E142" s="661">
        <v>12900</v>
      </c>
    </row>
    <row r="143" spans="1:5" x14ac:dyDescent="0.2">
      <c r="A143" s="238" t="s">
        <v>1306</v>
      </c>
      <c r="B143" s="629" t="s">
        <v>3817</v>
      </c>
      <c r="C143" s="630" t="s">
        <v>411</v>
      </c>
      <c r="D143" s="630"/>
      <c r="E143" s="661">
        <v>3800</v>
      </c>
    </row>
    <row r="144" spans="1:5" ht="14.25" x14ac:dyDescent="0.2">
      <c r="A144" s="238" t="s">
        <v>1305</v>
      </c>
      <c r="B144" s="642" t="s">
        <v>2752</v>
      </c>
      <c r="C144" s="623" t="s">
        <v>411</v>
      </c>
      <c r="D144" s="623"/>
      <c r="E144" s="661">
        <v>69000</v>
      </c>
    </row>
    <row r="145" spans="1:5" ht="14.25" x14ac:dyDescent="0.2">
      <c r="A145" s="238" t="s">
        <v>1304</v>
      </c>
      <c r="B145" s="642" t="s">
        <v>2751</v>
      </c>
      <c r="C145" s="623" t="s">
        <v>411</v>
      </c>
      <c r="D145" s="623"/>
      <c r="E145" s="661">
        <v>79500</v>
      </c>
    </row>
    <row r="146" spans="1:5" x14ac:dyDescent="0.2">
      <c r="A146" s="238" t="s">
        <v>1733</v>
      </c>
      <c r="B146" s="629" t="s">
        <v>1959</v>
      </c>
      <c r="C146" s="630" t="s">
        <v>406</v>
      </c>
      <c r="D146" s="630"/>
      <c r="E146" s="661">
        <v>20000</v>
      </c>
    </row>
    <row r="147" spans="1:5" x14ac:dyDescent="0.2">
      <c r="A147" s="238" t="s">
        <v>1755</v>
      </c>
      <c r="B147" s="636" t="s">
        <v>3690</v>
      </c>
      <c r="C147" s="644" t="s">
        <v>411</v>
      </c>
      <c r="D147" s="644"/>
      <c r="E147" s="661">
        <v>54145</v>
      </c>
    </row>
    <row r="148" spans="1:5" x14ac:dyDescent="0.2">
      <c r="A148" s="623" t="s">
        <v>4099</v>
      </c>
      <c r="B148" s="894" t="s">
        <v>4160</v>
      </c>
      <c r="C148" s="633" t="s">
        <v>411</v>
      </c>
      <c r="D148" s="632"/>
      <c r="E148" s="661">
        <v>2750</v>
      </c>
    </row>
    <row r="149" spans="1:5" x14ac:dyDescent="0.2">
      <c r="A149" s="238" t="s">
        <v>1389</v>
      </c>
      <c r="B149" s="894" t="s">
        <v>2806</v>
      </c>
      <c r="C149" s="633" t="s">
        <v>411</v>
      </c>
      <c r="D149" s="633"/>
      <c r="E149" s="662">
        <v>1420000</v>
      </c>
    </row>
    <row r="150" spans="1:5" ht="14.25" x14ac:dyDescent="0.2">
      <c r="A150" s="222" t="s">
        <v>1308</v>
      </c>
      <c r="B150" s="230" t="s">
        <v>2175</v>
      </c>
      <c r="C150" s="623" t="s">
        <v>411</v>
      </c>
      <c r="D150" s="623"/>
      <c r="E150" s="661">
        <v>299900</v>
      </c>
    </row>
    <row r="151" spans="1:5" x14ac:dyDescent="0.2">
      <c r="A151" s="238" t="s">
        <v>1800</v>
      </c>
      <c r="B151" s="629" t="s">
        <v>1797</v>
      </c>
      <c r="C151" s="630" t="s">
        <v>405</v>
      </c>
      <c r="D151" s="630"/>
      <c r="E151" s="661">
        <v>39900</v>
      </c>
    </row>
    <row r="152" spans="1:5" x14ac:dyDescent="0.2">
      <c r="A152" s="238" t="s">
        <v>1799</v>
      </c>
      <c r="B152" s="629" t="s">
        <v>1798</v>
      </c>
      <c r="C152" s="630" t="s">
        <v>405</v>
      </c>
      <c r="D152" s="630"/>
      <c r="E152" s="661">
        <f>38900*2</f>
        <v>77800</v>
      </c>
    </row>
    <row r="153" spans="1:5" x14ac:dyDescent="0.2">
      <c r="A153" s="222" t="s">
        <v>1311</v>
      </c>
      <c r="B153" s="637" t="s">
        <v>98</v>
      </c>
      <c r="C153" s="225" t="s">
        <v>405</v>
      </c>
      <c r="D153" s="225"/>
      <c r="E153" s="661">
        <v>50818</v>
      </c>
    </row>
    <row r="154" spans="1:5" x14ac:dyDescent="0.2">
      <c r="A154" s="222" t="s">
        <v>2808</v>
      </c>
      <c r="B154" s="894" t="s">
        <v>2809</v>
      </c>
      <c r="C154" s="633" t="s">
        <v>411</v>
      </c>
      <c r="D154" s="633"/>
      <c r="E154" s="663">
        <v>24990000</v>
      </c>
    </row>
    <row r="155" spans="1:5" x14ac:dyDescent="0.2">
      <c r="A155" s="586" t="s">
        <v>1417</v>
      </c>
      <c r="B155" s="893" t="s">
        <v>2810</v>
      </c>
      <c r="C155" s="633" t="s">
        <v>405</v>
      </c>
      <c r="D155" s="633"/>
      <c r="E155" s="663">
        <v>9450</v>
      </c>
    </row>
    <row r="156" spans="1:5" x14ac:dyDescent="0.2">
      <c r="A156" s="238" t="s">
        <v>1421</v>
      </c>
      <c r="B156" s="893" t="s">
        <v>2811</v>
      </c>
      <c r="C156" s="633" t="s">
        <v>405</v>
      </c>
      <c r="D156" s="633"/>
      <c r="E156" s="663">
        <v>8200</v>
      </c>
    </row>
    <row r="157" spans="1:5" x14ac:dyDescent="0.2">
      <c r="A157" s="238" t="s">
        <v>1425</v>
      </c>
      <c r="B157" s="893" t="s">
        <v>2812</v>
      </c>
      <c r="C157" s="633" t="s">
        <v>405</v>
      </c>
      <c r="D157" s="633"/>
      <c r="E157" s="663">
        <v>7050</v>
      </c>
    </row>
    <row r="158" spans="1:5" x14ac:dyDescent="0.2">
      <c r="A158" s="238" t="s">
        <v>1426</v>
      </c>
      <c r="B158" s="900" t="s">
        <v>2813</v>
      </c>
      <c r="C158" s="643" t="s">
        <v>405</v>
      </c>
      <c r="D158" s="643"/>
      <c r="E158" s="663">
        <v>11700</v>
      </c>
    </row>
    <row r="159" spans="1:5" x14ac:dyDescent="0.2">
      <c r="A159" s="238" t="s">
        <v>1431</v>
      </c>
      <c r="B159" s="900" t="s">
        <v>2814</v>
      </c>
      <c r="C159" s="633" t="s">
        <v>405</v>
      </c>
      <c r="D159" s="633"/>
      <c r="E159" s="663">
        <v>900</v>
      </c>
    </row>
    <row r="160" spans="1:5" x14ac:dyDescent="0.2">
      <c r="A160" s="238" t="s">
        <v>1435</v>
      </c>
      <c r="B160" s="900" t="s">
        <v>2815</v>
      </c>
      <c r="C160" s="633" t="s">
        <v>405</v>
      </c>
      <c r="D160" s="633"/>
      <c r="E160" s="663">
        <v>42100</v>
      </c>
    </row>
    <row r="161" spans="1:5" x14ac:dyDescent="0.2">
      <c r="A161" s="239" t="s">
        <v>1444</v>
      </c>
      <c r="B161" s="900" t="s">
        <v>2816</v>
      </c>
      <c r="C161" s="633" t="s">
        <v>405</v>
      </c>
      <c r="D161" s="633"/>
      <c r="E161" s="663">
        <v>3446</v>
      </c>
    </row>
    <row r="162" spans="1:5" x14ac:dyDescent="0.2">
      <c r="A162" s="222" t="s">
        <v>1447</v>
      </c>
      <c r="B162" s="900" t="s">
        <v>2817</v>
      </c>
      <c r="C162" s="633" t="s">
        <v>405</v>
      </c>
      <c r="D162" s="633"/>
      <c r="E162" s="663">
        <f>132500/50</f>
        <v>2650</v>
      </c>
    </row>
    <row r="163" spans="1:5" x14ac:dyDescent="0.2">
      <c r="A163" s="222" t="s">
        <v>1449</v>
      </c>
      <c r="B163" s="900" t="s">
        <v>2818</v>
      </c>
      <c r="C163" s="633" t="s">
        <v>405</v>
      </c>
      <c r="D163" s="633"/>
      <c r="E163" s="663">
        <v>2150</v>
      </c>
    </row>
    <row r="164" spans="1:5" x14ac:dyDescent="0.2">
      <c r="A164" s="239" t="s">
        <v>1450</v>
      </c>
      <c r="B164" s="900" t="s">
        <v>2819</v>
      </c>
      <c r="C164" s="633" t="s">
        <v>405</v>
      </c>
      <c r="D164" s="633"/>
      <c r="E164" s="663">
        <v>28200</v>
      </c>
    </row>
    <row r="165" spans="1:5" x14ac:dyDescent="0.2">
      <c r="A165" s="238" t="s">
        <v>1489</v>
      </c>
      <c r="B165" s="900" t="s">
        <v>2820</v>
      </c>
      <c r="C165" s="633" t="s">
        <v>405</v>
      </c>
      <c r="D165" s="633"/>
      <c r="E165" s="663">
        <v>24150</v>
      </c>
    </row>
    <row r="166" spans="1:5" x14ac:dyDescent="0.2">
      <c r="A166" s="222" t="s">
        <v>1498</v>
      </c>
      <c r="B166" s="900" t="s">
        <v>2821</v>
      </c>
      <c r="C166" s="633" t="s">
        <v>405</v>
      </c>
      <c r="D166" s="633"/>
      <c r="E166" s="663">
        <v>55500</v>
      </c>
    </row>
    <row r="167" spans="1:5" x14ac:dyDescent="0.2">
      <c r="A167" s="222" t="s">
        <v>1500</v>
      </c>
      <c r="B167" s="900" t="s">
        <v>2822</v>
      </c>
      <c r="C167" s="633" t="s">
        <v>405</v>
      </c>
      <c r="D167" s="633"/>
      <c r="E167" s="663">
        <v>132950</v>
      </c>
    </row>
    <row r="168" spans="1:5" x14ac:dyDescent="0.2">
      <c r="A168" s="222" t="s">
        <v>1738</v>
      </c>
      <c r="B168" s="900" t="s">
        <v>2823</v>
      </c>
      <c r="C168" s="633" t="s">
        <v>405</v>
      </c>
      <c r="D168" s="633"/>
      <c r="E168" s="663">
        <v>16800</v>
      </c>
    </row>
    <row r="169" spans="1:5" x14ac:dyDescent="0.2">
      <c r="A169" s="583" t="s">
        <v>1363</v>
      </c>
      <c r="B169" s="900" t="s">
        <v>2824</v>
      </c>
      <c r="C169" s="633" t="s">
        <v>405</v>
      </c>
      <c r="D169" s="633"/>
      <c r="E169" s="663">
        <v>82500</v>
      </c>
    </row>
    <row r="170" spans="1:5" x14ac:dyDescent="0.2">
      <c r="A170" s="583" t="s">
        <v>1518</v>
      </c>
      <c r="B170" s="900" t="s">
        <v>2825</v>
      </c>
      <c r="C170" s="633" t="s">
        <v>405</v>
      </c>
      <c r="D170" s="633"/>
      <c r="E170" s="663">
        <v>11300</v>
      </c>
    </row>
    <row r="171" spans="1:5" x14ac:dyDescent="0.2">
      <c r="A171" s="238" t="s">
        <v>1540</v>
      </c>
      <c r="B171" s="900" t="s">
        <v>2826</v>
      </c>
      <c r="C171" s="633" t="s">
        <v>405</v>
      </c>
      <c r="D171" s="633"/>
      <c r="E171" s="663">
        <v>10200</v>
      </c>
    </row>
    <row r="172" spans="1:5" x14ac:dyDescent="0.2">
      <c r="A172" s="222" t="s">
        <v>1542</v>
      </c>
      <c r="B172" s="900" t="s">
        <v>2827</v>
      </c>
      <c r="C172" s="633" t="s">
        <v>405</v>
      </c>
      <c r="D172" s="633"/>
      <c r="E172" s="663">
        <v>6950</v>
      </c>
    </row>
    <row r="173" spans="1:5" x14ac:dyDescent="0.2">
      <c r="A173" s="238" t="s">
        <v>1541</v>
      </c>
      <c r="B173" s="900" t="s">
        <v>2828</v>
      </c>
      <c r="C173" s="633" t="s">
        <v>405</v>
      </c>
      <c r="D173" s="633"/>
      <c r="E173" s="663">
        <v>6700</v>
      </c>
    </row>
    <row r="174" spans="1:5" x14ac:dyDescent="0.2">
      <c r="A174" s="585" t="s">
        <v>1813</v>
      </c>
      <c r="B174" s="895" t="s">
        <v>2829</v>
      </c>
      <c r="C174" s="632" t="s">
        <v>405</v>
      </c>
      <c r="D174" s="632"/>
      <c r="E174" s="661">
        <v>6950</v>
      </c>
    </row>
    <row r="175" spans="1:5" x14ac:dyDescent="0.2">
      <c r="A175" s="585" t="s">
        <v>1860</v>
      </c>
      <c r="B175" s="895" t="s">
        <v>2830</v>
      </c>
      <c r="C175" s="632" t="s">
        <v>405</v>
      </c>
      <c r="D175" s="632"/>
      <c r="E175" s="661">
        <v>2600</v>
      </c>
    </row>
    <row r="176" spans="1:5" x14ac:dyDescent="0.2">
      <c r="A176" s="585" t="s">
        <v>2553</v>
      </c>
      <c r="B176" s="895" t="s">
        <v>1225</v>
      </c>
      <c r="C176" s="632" t="s">
        <v>405</v>
      </c>
      <c r="D176" s="632"/>
      <c r="E176" s="661">
        <v>2900</v>
      </c>
    </row>
    <row r="177" spans="1:5" x14ac:dyDescent="0.2">
      <c r="A177" s="585" t="s">
        <v>1857</v>
      </c>
      <c r="B177" s="895" t="s">
        <v>1225</v>
      </c>
      <c r="C177" s="632" t="s">
        <v>405</v>
      </c>
      <c r="D177" s="632"/>
      <c r="E177" s="661">
        <v>2900</v>
      </c>
    </row>
    <row r="178" spans="1:5" x14ac:dyDescent="0.2">
      <c r="A178" s="585" t="s">
        <v>1823</v>
      </c>
      <c r="B178" s="896" t="s">
        <v>2831</v>
      </c>
      <c r="C178" s="641" t="s">
        <v>405</v>
      </c>
      <c r="D178" s="641"/>
      <c r="E178" s="661">
        <v>25150</v>
      </c>
    </row>
    <row r="179" spans="1:5" x14ac:dyDescent="0.2">
      <c r="A179" s="238" t="s">
        <v>1544</v>
      </c>
      <c r="B179" s="901" t="s">
        <v>2832</v>
      </c>
      <c r="C179" s="643" t="s">
        <v>405</v>
      </c>
      <c r="D179" s="643"/>
      <c r="E179" s="663">
        <v>24300</v>
      </c>
    </row>
    <row r="180" spans="1:5" x14ac:dyDescent="0.2">
      <c r="A180" s="238" t="s">
        <v>1545</v>
      </c>
      <c r="B180" s="901" t="s">
        <v>2833</v>
      </c>
      <c r="C180" s="643" t="s">
        <v>405</v>
      </c>
      <c r="D180" s="643"/>
      <c r="E180" s="663">
        <v>45950</v>
      </c>
    </row>
    <row r="181" spans="1:5" x14ac:dyDescent="0.2">
      <c r="A181" s="238" t="s">
        <v>1546</v>
      </c>
      <c r="B181" s="901" t="s">
        <v>2834</v>
      </c>
      <c r="C181" s="643" t="s">
        <v>405</v>
      </c>
      <c r="D181" s="643"/>
      <c r="E181" s="890">
        <v>5700</v>
      </c>
    </row>
    <row r="182" spans="1:5" x14ac:dyDescent="0.2">
      <c r="A182" s="585" t="s">
        <v>1843</v>
      </c>
      <c r="B182" s="895" t="s">
        <v>2835</v>
      </c>
      <c r="C182" s="632" t="s">
        <v>405</v>
      </c>
      <c r="D182" s="632"/>
      <c r="E182" s="661">
        <v>37750</v>
      </c>
    </row>
    <row r="183" spans="1:5" x14ac:dyDescent="0.2">
      <c r="A183" s="238" t="s">
        <v>1552</v>
      </c>
      <c r="B183" s="901" t="s">
        <v>2836</v>
      </c>
      <c r="C183" s="643" t="s">
        <v>405</v>
      </c>
      <c r="D183" s="643"/>
      <c r="E183" s="663">
        <v>9000</v>
      </c>
    </row>
    <row r="184" spans="1:5" x14ac:dyDescent="0.2">
      <c r="A184" s="238" t="s">
        <v>1556</v>
      </c>
      <c r="B184" s="901" t="s">
        <v>2837</v>
      </c>
      <c r="C184" s="643" t="s">
        <v>405</v>
      </c>
      <c r="D184" s="643"/>
      <c r="E184" s="663">
        <v>6000</v>
      </c>
    </row>
    <row r="185" spans="1:5" x14ac:dyDescent="0.2">
      <c r="A185" s="238" t="s">
        <v>1739</v>
      </c>
      <c r="B185" s="903" t="s">
        <v>2700</v>
      </c>
      <c r="C185" s="632" t="s">
        <v>405</v>
      </c>
      <c r="D185" s="632"/>
      <c r="E185" s="661">
        <v>10850</v>
      </c>
    </row>
    <row r="186" spans="1:5" x14ac:dyDescent="0.2">
      <c r="A186" s="238" t="s">
        <v>1557</v>
      </c>
      <c r="B186" s="901" t="s">
        <v>2838</v>
      </c>
      <c r="C186" s="643" t="s">
        <v>411</v>
      </c>
      <c r="D186" s="643"/>
      <c r="E186" s="663">
        <v>22375</v>
      </c>
    </row>
    <row r="187" spans="1:5" x14ac:dyDescent="0.2">
      <c r="A187" s="238" t="s">
        <v>1560</v>
      </c>
      <c r="B187" s="901" t="s">
        <v>2839</v>
      </c>
      <c r="C187" s="643" t="s">
        <v>405</v>
      </c>
      <c r="D187" s="643"/>
      <c r="E187" s="663">
        <v>2530</v>
      </c>
    </row>
    <row r="188" spans="1:5" x14ac:dyDescent="0.2">
      <c r="A188" s="585" t="s">
        <v>1861</v>
      </c>
      <c r="B188" s="903" t="s">
        <v>2129</v>
      </c>
      <c r="C188" s="632" t="s">
        <v>411</v>
      </c>
      <c r="D188" s="632"/>
      <c r="E188" s="661">
        <v>1890</v>
      </c>
    </row>
    <row r="189" spans="1:5" x14ac:dyDescent="0.2">
      <c r="A189" s="222" t="s">
        <v>1740</v>
      </c>
      <c r="B189" s="893" t="s">
        <v>2840</v>
      </c>
      <c r="C189" s="633" t="s">
        <v>411</v>
      </c>
      <c r="D189" s="633"/>
      <c r="E189" s="662">
        <v>73800</v>
      </c>
    </row>
    <row r="190" spans="1:5" x14ac:dyDescent="0.2">
      <c r="A190" s="238" t="s">
        <v>2841</v>
      </c>
      <c r="B190" s="893" t="s">
        <v>2842</v>
      </c>
      <c r="C190" s="633" t="s">
        <v>411</v>
      </c>
      <c r="D190" s="633"/>
      <c r="E190" s="889">
        <v>2100</v>
      </c>
    </row>
    <row r="191" spans="1:5" x14ac:dyDescent="0.2">
      <c r="A191" s="238" t="s">
        <v>1749</v>
      </c>
      <c r="B191" s="893" t="s">
        <v>2843</v>
      </c>
      <c r="C191" s="633" t="s">
        <v>411</v>
      </c>
      <c r="D191" s="633"/>
      <c r="E191" s="662">
        <f>75000*1.19</f>
        <v>89250</v>
      </c>
    </row>
    <row r="192" spans="1:5" ht="25.5" x14ac:dyDescent="0.2">
      <c r="A192" s="238" t="s">
        <v>2714</v>
      </c>
      <c r="B192" s="900" t="s">
        <v>4230</v>
      </c>
      <c r="C192" s="632" t="s">
        <v>411</v>
      </c>
      <c r="D192" s="632"/>
      <c r="E192" s="661">
        <v>234500</v>
      </c>
    </row>
    <row r="193" spans="1:5" x14ac:dyDescent="0.2">
      <c r="A193" s="238" t="s">
        <v>1751</v>
      </c>
      <c r="B193" s="893" t="s">
        <v>2844</v>
      </c>
      <c r="C193" s="633" t="s">
        <v>411</v>
      </c>
      <c r="D193" s="633"/>
      <c r="E193" s="662">
        <v>600</v>
      </c>
    </row>
    <row r="194" spans="1:5" x14ac:dyDescent="0.2">
      <c r="A194" s="585" t="s">
        <v>1851</v>
      </c>
      <c r="B194" s="903" t="s">
        <v>2845</v>
      </c>
      <c r="C194" s="632" t="s">
        <v>411</v>
      </c>
      <c r="D194" s="632"/>
      <c r="E194" s="661">
        <v>6500</v>
      </c>
    </row>
    <row r="195" spans="1:5" x14ac:dyDescent="0.2">
      <c r="A195" s="222" t="s">
        <v>2846</v>
      </c>
      <c r="B195" s="893" t="s">
        <v>2847</v>
      </c>
      <c r="C195" s="633" t="s">
        <v>411</v>
      </c>
      <c r="D195" s="633"/>
      <c r="E195" s="662">
        <v>19300</v>
      </c>
    </row>
    <row r="196" spans="1:5" x14ac:dyDescent="0.2">
      <c r="A196" s="238" t="s">
        <v>1572</v>
      </c>
      <c r="B196" s="893" t="s">
        <v>2848</v>
      </c>
      <c r="C196" s="633" t="s">
        <v>411</v>
      </c>
      <c r="D196" s="633"/>
      <c r="E196" s="662">
        <v>19300</v>
      </c>
    </row>
    <row r="197" spans="1:5" x14ac:dyDescent="0.2">
      <c r="A197" s="585" t="s">
        <v>1839</v>
      </c>
      <c r="B197" s="895" t="s">
        <v>2849</v>
      </c>
      <c r="C197" s="632" t="s">
        <v>411</v>
      </c>
      <c r="D197" s="632"/>
      <c r="E197" s="661">
        <v>19300</v>
      </c>
    </row>
    <row r="198" spans="1:5" x14ac:dyDescent="0.2">
      <c r="A198" s="238" t="s">
        <v>1312</v>
      </c>
      <c r="B198" s="629" t="s">
        <v>3691</v>
      </c>
      <c r="C198" s="630" t="s">
        <v>411</v>
      </c>
      <c r="D198" s="630"/>
      <c r="E198" s="661">
        <v>3400</v>
      </c>
    </row>
    <row r="199" spans="1:5" ht="14.25" x14ac:dyDescent="0.2">
      <c r="A199" s="238" t="s">
        <v>1801</v>
      </c>
      <c r="B199" s="629" t="s">
        <v>3692</v>
      </c>
      <c r="C199" s="630" t="s">
        <v>288</v>
      </c>
      <c r="D199" s="630"/>
      <c r="E199" s="661">
        <v>147836</v>
      </c>
    </row>
    <row r="200" spans="1:5" x14ac:dyDescent="0.2">
      <c r="A200" s="222" t="s">
        <v>1573</v>
      </c>
      <c r="B200" s="900" t="s">
        <v>2703</v>
      </c>
      <c r="C200" s="630" t="s">
        <v>406</v>
      </c>
      <c r="D200" s="630"/>
      <c r="E200" s="661">
        <f>46200/50</f>
        <v>924</v>
      </c>
    </row>
    <row r="201" spans="1:5" x14ac:dyDescent="0.2">
      <c r="A201" s="238" t="s">
        <v>1574</v>
      </c>
      <c r="B201" s="893" t="s">
        <v>3799</v>
      </c>
      <c r="C201" s="633" t="s">
        <v>411</v>
      </c>
      <c r="D201" s="633"/>
      <c r="E201" s="662">
        <v>1354000</v>
      </c>
    </row>
    <row r="202" spans="1:5" x14ac:dyDescent="0.2">
      <c r="A202" s="587" t="s">
        <v>1763</v>
      </c>
      <c r="B202" s="637" t="s">
        <v>2704</v>
      </c>
      <c r="C202" s="225" t="s">
        <v>405</v>
      </c>
      <c r="D202" s="225"/>
      <c r="E202" s="661">
        <v>15000</v>
      </c>
    </row>
    <row r="203" spans="1:5" x14ac:dyDescent="0.2">
      <c r="A203" s="238" t="s">
        <v>1315</v>
      </c>
      <c r="B203" s="629" t="s">
        <v>2850</v>
      </c>
      <c r="C203" s="630" t="s">
        <v>405</v>
      </c>
      <c r="D203" s="630"/>
      <c r="E203" s="661">
        <v>22800</v>
      </c>
    </row>
    <row r="204" spans="1:5" x14ac:dyDescent="0.2">
      <c r="A204" s="238" t="s">
        <v>1314</v>
      </c>
      <c r="B204" s="629" t="s">
        <v>3800</v>
      </c>
      <c r="C204" s="630" t="s">
        <v>411</v>
      </c>
      <c r="D204" s="630"/>
      <c r="E204" s="661">
        <v>6600</v>
      </c>
    </row>
    <row r="205" spans="1:5" x14ac:dyDescent="0.2">
      <c r="A205" s="238" t="s">
        <v>1316</v>
      </c>
      <c r="B205" s="230" t="s">
        <v>3801</v>
      </c>
      <c r="C205" s="623" t="s">
        <v>411</v>
      </c>
      <c r="D205" s="623"/>
      <c r="E205" s="661">
        <v>34900</v>
      </c>
    </row>
    <row r="206" spans="1:5" x14ac:dyDescent="0.2">
      <c r="A206" s="238" t="s">
        <v>1579</v>
      </c>
      <c r="B206" s="893" t="s">
        <v>3818</v>
      </c>
      <c r="C206" s="633" t="s">
        <v>411</v>
      </c>
      <c r="D206" s="633"/>
      <c r="E206" s="661">
        <v>62700</v>
      </c>
    </row>
    <row r="207" spans="1:5" x14ac:dyDescent="0.2">
      <c r="A207" s="585" t="s">
        <v>1819</v>
      </c>
      <c r="B207" s="895" t="s">
        <v>2705</v>
      </c>
      <c r="C207" s="632" t="s">
        <v>411</v>
      </c>
      <c r="D207" s="632"/>
      <c r="E207" s="661">
        <v>4750</v>
      </c>
    </row>
    <row r="208" spans="1:5" x14ac:dyDescent="0.2">
      <c r="A208" s="222" t="s">
        <v>2613</v>
      </c>
      <c r="B208" s="642" t="s">
        <v>3802</v>
      </c>
      <c r="C208" s="623" t="s">
        <v>411</v>
      </c>
      <c r="D208" s="623"/>
      <c r="E208" s="661">
        <v>10809</v>
      </c>
    </row>
    <row r="209" spans="1:5" x14ac:dyDescent="0.2">
      <c r="A209" s="238" t="s">
        <v>1317</v>
      </c>
      <c r="B209" s="629" t="s">
        <v>3803</v>
      </c>
      <c r="C209" s="630" t="s">
        <v>406</v>
      </c>
      <c r="D209" s="630"/>
      <c r="E209" s="661">
        <v>1990</v>
      </c>
    </row>
    <row r="210" spans="1:5" x14ac:dyDescent="0.2">
      <c r="A210" s="222" t="s">
        <v>1313</v>
      </c>
      <c r="B210" s="230" t="s">
        <v>2706</v>
      </c>
      <c r="C210" s="623" t="s">
        <v>411</v>
      </c>
      <c r="D210" s="623"/>
      <c r="E210" s="661">
        <v>31900</v>
      </c>
    </row>
    <row r="211" spans="1:5" ht="14.25" x14ac:dyDescent="0.2">
      <c r="A211" s="238" t="s">
        <v>1766</v>
      </c>
      <c r="B211" s="629" t="s">
        <v>3805</v>
      </c>
      <c r="C211" s="630" t="s">
        <v>288</v>
      </c>
      <c r="D211" s="630"/>
      <c r="E211" s="888">
        <v>29985</v>
      </c>
    </row>
    <row r="212" spans="1:5" ht="14.25" x14ac:dyDescent="0.2">
      <c r="A212" s="238" t="s">
        <v>1792</v>
      </c>
      <c r="B212" s="629" t="s">
        <v>3806</v>
      </c>
      <c r="C212" s="630" t="s">
        <v>288</v>
      </c>
      <c r="D212" s="630"/>
      <c r="E212" s="888">
        <v>34983</v>
      </c>
    </row>
    <row r="213" spans="1:5" ht="14.25" x14ac:dyDescent="0.2">
      <c r="A213" s="238" t="s">
        <v>1793</v>
      </c>
      <c r="B213" s="629" t="s">
        <v>3807</v>
      </c>
      <c r="C213" s="630" t="s">
        <v>288</v>
      </c>
      <c r="D213" s="630"/>
      <c r="E213" s="888">
        <f>19990/(1*1*0.2)*0.4</f>
        <v>39980</v>
      </c>
    </row>
    <row r="214" spans="1:5" ht="14.25" x14ac:dyDescent="0.2">
      <c r="A214" s="222" t="s">
        <v>1761</v>
      </c>
      <c r="B214" s="230" t="s">
        <v>3804</v>
      </c>
      <c r="C214" s="623" t="s">
        <v>288</v>
      </c>
      <c r="D214" s="623"/>
      <c r="E214" s="661">
        <v>19990</v>
      </c>
    </row>
    <row r="215" spans="1:5" x14ac:dyDescent="0.2">
      <c r="A215" s="238" t="s">
        <v>1318</v>
      </c>
      <c r="B215" s="629" t="s">
        <v>677</v>
      </c>
      <c r="C215" s="630" t="s">
        <v>406</v>
      </c>
      <c r="D215" s="630"/>
      <c r="E215" s="661">
        <v>1675</v>
      </c>
    </row>
    <row r="216" spans="1:5" x14ac:dyDescent="0.2">
      <c r="A216" s="222" t="s">
        <v>3711</v>
      </c>
      <c r="B216" s="584" t="s">
        <v>3789</v>
      </c>
      <c r="C216" s="222" t="s">
        <v>406</v>
      </c>
      <c r="D216" s="222"/>
      <c r="E216" s="888">
        <f>100000/20</f>
        <v>5000</v>
      </c>
    </row>
    <row r="217" spans="1:5" x14ac:dyDescent="0.2">
      <c r="A217" s="238" t="s">
        <v>1319</v>
      </c>
      <c r="B217" s="642" t="s">
        <v>2569</v>
      </c>
      <c r="C217" s="630" t="s">
        <v>616</v>
      </c>
      <c r="D217" s="630"/>
      <c r="E217" s="661">
        <v>32900</v>
      </c>
    </row>
    <row r="218" spans="1:5" x14ac:dyDescent="0.2">
      <c r="A218" s="238" t="s">
        <v>1320</v>
      </c>
      <c r="B218" s="629" t="s">
        <v>263</v>
      </c>
      <c r="C218" s="727" t="s">
        <v>590</v>
      </c>
      <c r="D218" s="630"/>
      <c r="E218" s="661">
        <f>34900</f>
        <v>34900</v>
      </c>
    </row>
    <row r="219" spans="1:5" x14ac:dyDescent="0.2">
      <c r="A219" s="222" t="s">
        <v>2623</v>
      </c>
      <c r="B219" s="629" t="s">
        <v>2621</v>
      </c>
      <c r="C219" s="630" t="s">
        <v>411</v>
      </c>
      <c r="D219" s="630"/>
      <c r="E219" s="661">
        <v>24900</v>
      </c>
    </row>
    <row r="220" spans="1:5" x14ac:dyDescent="0.2">
      <c r="A220" s="238" t="s">
        <v>1321</v>
      </c>
      <c r="B220" s="629" t="s">
        <v>2707</v>
      </c>
      <c r="C220" s="630" t="s">
        <v>617</v>
      </c>
      <c r="D220" s="630"/>
      <c r="E220" s="661">
        <v>3190</v>
      </c>
    </row>
    <row r="221" spans="1:5" ht="14.25" x14ac:dyDescent="0.2">
      <c r="A221" s="238" t="s">
        <v>1322</v>
      </c>
      <c r="B221" s="629" t="s">
        <v>2050</v>
      </c>
      <c r="C221" s="630" t="s">
        <v>288</v>
      </c>
      <c r="D221" s="630"/>
      <c r="E221" s="661">
        <v>39900</v>
      </c>
    </row>
    <row r="222" spans="1:5" ht="14.25" x14ac:dyDescent="0.2">
      <c r="A222" s="238" t="s">
        <v>1325</v>
      </c>
      <c r="B222" s="629" t="s">
        <v>2049</v>
      </c>
      <c r="C222" s="630" t="s">
        <v>288</v>
      </c>
      <c r="D222" s="630"/>
      <c r="E222" s="661">
        <f>59662/1.76</f>
        <v>33898.86363636364</v>
      </c>
    </row>
    <row r="223" spans="1:5" ht="14.25" x14ac:dyDescent="0.2">
      <c r="A223" s="238" t="s">
        <v>1326</v>
      </c>
      <c r="B223" s="629" t="s">
        <v>3819</v>
      </c>
      <c r="C223" s="630" t="s">
        <v>288</v>
      </c>
      <c r="D223" s="630"/>
      <c r="E223" s="661">
        <v>30600</v>
      </c>
    </row>
    <row r="224" spans="1:5" ht="14.25" x14ac:dyDescent="0.2">
      <c r="A224" s="238" t="s">
        <v>1327</v>
      </c>
      <c r="B224" s="629" t="s">
        <v>3822</v>
      </c>
      <c r="C224" s="630" t="s">
        <v>288</v>
      </c>
      <c r="D224" s="630"/>
      <c r="E224" s="661">
        <v>39999</v>
      </c>
    </row>
    <row r="225" spans="1:5" ht="14.25" x14ac:dyDescent="0.2">
      <c r="A225" s="238" t="s">
        <v>1323</v>
      </c>
      <c r="B225" s="629" t="s">
        <v>3824</v>
      </c>
      <c r="C225" s="630" t="s">
        <v>288</v>
      </c>
      <c r="D225" s="630"/>
      <c r="E225" s="661">
        <v>33100</v>
      </c>
    </row>
    <row r="226" spans="1:5" ht="14.25" x14ac:dyDescent="0.2">
      <c r="A226" s="238" t="s">
        <v>1328</v>
      </c>
      <c r="B226" s="629" t="s">
        <v>2708</v>
      </c>
      <c r="C226" s="630" t="s">
        <v>288</v>
      </c>
      <c r="D226" s="630"/>
      <c r="E226" s="661">
        <v>48451</v>
      </c>
    </row>
    <row r="227" spans="1:5" ht="14.25" x14ac:dyDescent="0.2">
      <c r="A227" s="222" t="s">
        <v>1329</v>
      </c>
      <c r="B227" s="629" t="s">
        <v>3828</v>
      </c>
      <c r="C227" s="630" t="s">
        <v>288</v>
      </c>
      <c r="D227" s="630"/>
      <c r="E227" s="661">
        <v>78600</v>
      </c>
    </row>
    <row r="228" spans="1:5" x14ac:dyDescent="0.2">
      <c r="A228" s="238" t="s">
        <v>1330</v>
      </c>
      <c r="B228" s="629" t="s">
        <v>88</v>
      </c>
      <c r="C228" s="630" t="s">
        <v>405</v>
      </c>
      <c r="D228" s="630"/>
      <c r="E228" s="661">
        <v>137535</v>
      </c>
    </row>
    <row r="229" spans="1:5" x14ac:dyDescent="0.2">
      <c r="A229" s="222" t="s">
        <v>2851</v>
      </c>
      <c r="B229" s="893" t="s">
        <v>2852</v>
      </c>
      <c r="C229" s="633" t="s">
        <v>411</v>
      </c>
      <c r="D229" s="633"/>
      <c r="E229" s="662">
        <v>8000</v>
      </c>
    </row>
    <row r="230" spans="1:5" x14ac:dyDescent="0.2">
      <c r="A230" s="238" t="s">
        <v>1331</v>
      </c>
      <c r="B230" s="230" t="s">
        <v>3587</v>
      </c>
      <c r="C230" s="623" t="s">
        <v>411</v>
      </c>
      <c r="D230" s="623"/>
      <c r="E230" s="661">
        <f>291900/12</f>
        <v>24325</v>
      </c>
    </row>
    <row r="231" spans="1:5" x14ac:dyDescent="0.2">
      <c r="A231" s="238" t="s">
        <v>1332</v>
      </c>
      <c r="B231" s="629" t="s">
        <v>3833</v>
      </c>
      <c r="C231" s="630" t="s">
        <v>411</v>
      </c>
      <c r="D231" s="630"/>
      <c r="E231" s="661">
        <v>66900</v>
      </c>
    </row>
    <row r="232" spans="1:5" x14ac:dyDescent="0.2">
      <c r="A232" s="238" t="s">
        <v>1324</v>
      </c>
      <c r="B232" s="629" t="s">
        <v>3834</v>
      </c>
      <c r="C232" s="225" t="s">
        <v>411</v>
      </c>
      <c r="D232" s="225"/>
      <c r="E232" s="661">
        <v>78900</v>
      </c>
    </row>
    <row r="233" spans="1:5" x14ac:dyDescent="0.2">
      <c r="A233" s="222" t="s">
        <v>1333</v>
      </c>
      <c r="B233" s="629" t="s">
        <v>3835</v>
      </c>
      <c r="C233" s="225" t="s">
        <v>411</v>
      </c>
      <c r="D233" s="225"/>
      <c r="E233" s="661">
        <v>199900</v>
      </c>
    </row>
    <row r="234" spans="1:5" x14ac:dyDescent="0.2">
      <c r="A234" s="222" t="s">
        <v>1896</v>
      </c>
      <c r="B234" s="629" t="s">
        <v>2853</v>
      </c>
      <c r="C234" s="630" t="s">
        <v>411</v>
      </c>
      <c r="D234" s="630"/>
      <c r="E234" s="661">
        <v>20900</v>
      </c>
    </row>
    <row r="235" spans="1:5" x14ac:dyDescent="0.2">
      <c r="A235" s="238" t="s">
        <v>1898</v>
      </c>
      <c r="B235" s="629" t="s">
        <v>2854</v>
      </c>
      <c r="C235" s="630" t="s">
        <v>411</v>
      </c>
      <c r="D235" s="630"/>
      <c r="E235" s="661">
        <v>374900</v>
      </c>
    </row>
    <row r="236" spans="1:5" x14ac:dyDescent="0.2">
      <c r="A236" s="583" t="s">
        <v>1897</v>
      </c>
      <c r="B236" s="642" t="s">
        <v>1887</v>
      </c>
      <c r="C236" s="623" t="s">
        <v>411</v>
      </c>
      <c r="D236" s="623"/>
      <c r="E236" s="661">
        <v>129900</v>
      </c>
    </row>
    <row r="237" spans="1:5" x14ac:dyDescent="0.2">
      <c r="A237" s="588" t="s">
        <v>1895</v>
      </c>
      <c r="B237" s="629" t="s">
        <v>1894</v>
      </c>
      <c r="C237" s="630" t="s">
        <v>411</v>
      </c>
      <c r="D237" s="630"/>
      <c r="E237" s="661">
        <v>57900</v>
      </c>
    </row>
    <row r="238" spans="1:5" x14ac:dyDescent="0.2">
      <c r="A238" s="585" t="s">
        <v>1342</v>
      </c>
      <c r="B238" s="895" t="s">
        <v>2131</v>
      </c>
      <c r="C238" s="632" t="s">
        <v>256</v>
      </c>
      <c r="D238" s="632"/>
      <c r="E238" s="661">
        <v>28050</v>
      </c>
    </row>
    <row r="239" spans="1:5" x14ac:dyDescent="0.2">
      <c r="A239" s="238" t="s">
        <v>1343</v>
      </c>
      <c r="B239" s="629" t="s">
        <v>4042</v>
      </c>
      <c r="C239" s="630" t="s">
        <v>405</v>
      </c>
      <c r="D239" s="630"/>
      <c r="E239" s="661">
        <v>20000</v>
      </c>
    </row>
    <row r="240" spans="1:5" x14ac:dyDescent="0.2">
      <c r="A240" s="585" t="s">
        <v>1344</v>
      </c>
      <c r="B240" s="631" t="s">
        <v>3836</v>
      </c>
      <c r="C240" s="632" t="s">
        <v>405</v>
      </c>
      <c r="D240" s="632"/>
      <c r="E240" s="661">
        <v>3730</v>
      </c>
    </row>
    <row r="241" spans="1:5" x14ac:dyDescent="0.2">
      <c r="A241" s="238" t="s">
        <v>1597</v>
      </c>
      <c r="B241" s="628" t="s">
        <v>2581</v>
      </c>
      <c r="C241" s="633" t="s">
        <v>405</v>
      </c>
      <c r="D241" s="633"/>
      <c r="E241" s="662">
        <v>4033</v>
      </c>
    </row>
    <row r="242" spans="1:5" x14ac:dyDescent="0.2">
      <c r="A242" s="222" t="s">
        <v>1345</v>
      </c>
      <c r="B242" s="637" t="s">
        <v>2855</v>
      </c>
      <c r="C242" s="225" t="s">
        <v>405</v>
      </c>
      <c r="D242" s="225"/>
      <c r="E242" s="661">
        <f>9900/75</f>
        <v>132</v>
      </c>
    </row>
    <row r="243" spans="1:5" x14ac:dyDescent="0.2">
      <c r="A243" s="238" t="s">
        <v>1346</v>
      </c>
      <c r="B243" s="629" t="s">
        <v>3837</v>
      </c>
      <c r="C243" s="630" t="s">
        <v>405</v>
      </c>
      <c r="D243" s="630"/>
      <c r="E243" s="661">
        <v>68</v>
      </c>
    </row>
    <row r="244" spans="1:5" x14ac:dyDescent="0.2">
      <c r="A244" s="238" t="s">
        <v>1347</v>
      </c>
      <c r="B244" s="629" t="s">
        <v>2856</v>
      </c>
      <c r="C244" s="630" t="s">
        <v>405</v>
      </c>
      <c r="D244" s="630"/>
      <c r="E244" s="661">
        <v>290</v>
      </c>
    </row>
    <row r="245" spans="1:5" x14ac:dyDescent="0.2">
      <c r="A245" s="238" t="s">
        <v>1349</v>
      </c>
      <c r="B245" s="629" t="s">
        <v>428</v>
      </c>
      <c r="C245" s="630" t="s">
        <v>405</v>
      </c>
      <c r="D245" s="630"/>
      <c r="E245" s="661">
        <v>30697</v>
      </c>
    </row>
    <row r="246" spans="1:5" x14ac:dyDescent="0.2">
      <c r="A246" s="238" t="s">
        <v>1350</v>
      </c>
      <c r="B246" s="629" t="s">
        <v>429</v>
      </c>
      <c r="C246" s="630" t="s">
        <v>405</v>
      </c>
      <c r="D246" s="630"/>
      <c r="E246" s="661">
        <v>54630</v>
      </c>
    </row>
    <row r="247" spans="1:5" x14ac:dyDescent="0.2">
      <c r="A247" s="238" t="s">
        <v>1802</v>
      </c>
      <c r="B247" s="629" t="s">
        <v>3141</v>
      </c>
      <c r="C247" s="630" t="s">
        <v>411</v>
      </c>
      <c r="D247" s="630"/>
      <c r="E247" s="661">
        <v>79900</v>
      </c>
    </row>
    <row r="248" spans="1:5" x14ac:dyDescent="0.2">
      <c r="A248" s="238" t="s">
        <v>1600</v>
      </c>
      <c r="B248" s="893" t="s">
        <v>2857</v>
      </c>
      <c r="C248" s="633" t="s">
        <v>411</v>
      </c>
      <c r="D248" s="633"/>
      <c r="E248" s="662">
        <v>188900</v>
      </c>
    </row>
    <row r="249" spans="1:5" x14ac:dyDescent="0.2">
      <c r="A249" s="238" t="s">
        <v>1601</v>
      </c>
      <c r="B249" s="903" t="s">
        <v>1997</v>
      </c>
      <c r="C249" s="632" t="s">
        <v>411</v>
      </c>
      <c r="D249" s="632"/>
      <c r="E249" s="661">
        <v>2300</v>
      </c>
    </row>
    <row r="250" spans="1:5" x14ac:dyDescent="0.2">
      <c r="A250" s="222" t="s">
        <v>2766</v>
      </c>
      <c r="B250" s="635" t="s">
        <v>3838</v>
      </c>
      <c r="C250" s="225" t="s">
        <v>411</v>
      </c>
      <c r="D250" s="225"/>
      <c r="E250" s="661">
        <f>11900/50</f>
        <v>238</v>
      </c>
    </row>
    <row r="251" spans="1:5" x14ac:dyDescent="0.2">
      <c r="A251" s="238" t="s">
        <v>1602</v>
      </c>
      <c r="B251" s="904" t="s">
        <v>2858</v>
      </c>
      <c r="C251" s="633" t="s">
        <v>411</v>
      </c>
      <c r="D251" s="633"/>
      <c r="E251" s="662">
        <f>103690/25</f>
        <v>4147.6000000000004</v>
      </c>
    </row>
    <row r="252" spans="1:5" x14ac:dyDescent="0.2">
      <c r="A252" s="238" t="s">
        <v>1351</v>
      </c>
      <c r="B252" s="642" t="s">
        <v>202</v>
      </c>
      <c r="C252" s="623" t="s">
        <v>411</v>
      </c>
      <c r="D252" s="623"/>
      <c r="E252" s="661">
        <v>19000</v>
      </c>
    </row>
    <row r="253" spans="1:5" x14ac:dyDescent="0.2">
      <c r="A253" s="238" t="s">
        <v>1352</v>
      </c>
      <c r="B253" s="642" t="s">
        <v>205</v>
      </c>
      <c r="C253" s="623" t="s">
        <v>411</v>
      </c>
      <c r="D253" s="623"/>
      <c r="E253" s="661">
        <v>65000</v>
      </c>
    </row>
    <row r="254" spans="1:5" x14ac:dyDescent="0.2">
      <c r="A254" s="238" t="s">
        <v>1353</v>
      </c>
      <c r="B254" s="629" t="s">
        <v>2859</v>
      </c>
      <c r="C254" s="630" t="s">
        <v>411</v>
      </c>
      <c r="D254" s="630"/>
      <c r="E254" s="661">
        <v>22905</v>
      </c>
    </row>
    <row r="255" spans="1:5" x14ac:dyDescent="0.2">
      <c r="A255" s="238" t="s">
        <v>1354</v>
      </c>
      <c r="B255" s="629" t="s">
        <v>2860</v>
      </c>
      <c r="C255" s="630" t="s">
        <v>411</v>
      </c>
      <c r="D255" s="630"/>
      <c r="E255" s="661">
        <v>12557</v>
      </c>
    </row>
    <row r="256" spans="1:5" x14ac:dyDescent="0.2">
      <c r="A256" s="238" t="s">
        <v>1355</v>
      </c>
      <c r="B256" s="629" t="s">
        <v>2861</v>
      </c>
      <c r="C256" s="630" t="s">
        <v>411</v>
      </c>
      <c r="D256" s="630"/>
      <c r="E256" s="661">
        <v>18616</v>
      </c>
    </row>
    <row r="257" spans="1:5" x14ac:dyDescent="0.2">
      <c r="A257" s="238" t="s">
        <v>1356</v>
      </c>
      <c r="B257" s="629" t="s">
        <v>2862</v>
      </c>
      <c r="C257" s="630" t="s">
        <v>411</v>
      </c>
      <c r="D257" s="630"/>
      <c r="E257" s="661">
        <v>21139</v>
      </c>
    </row>
    <row r="258" spans="1:5" x14ac:dyDescent="0.2">
      <c r="A258" s="238" t="s">
        <v>1603</v>
      </c>
      <c r="B258" s="893" t="s">
        <v>2582</v>
      </c>
      <c r="C258" s="633" t="s">
        <v>411</v>
      </c>
      <c r="D258" s="633"/>
      <c r="E258" s="662">
        <v>19550</v>
      </c>
    </row>
    <row r="259" spans="1:5" x14ac:dyDescent="0.2">
      <c r="A259" s="238" t="s">
        <v>1604</v>
      </c>
      <c r="B259" s="893" t="s">
        <v>2594</v>
      </c>
      <c r="C259" s="643" t="s">
        <v>411</v>
      </c>
      <c r="D259" s="643"/>
      <c r="E259" s="663">
        <v>20400</v>
      </c>
    </row>
    <row r="260" spans="1:5" x14ac:dyDescent="0.2">
      <c r="A260" s="238" t="s">
        <v>1605</v>
      </c>
      <c r="B260" s="893" t="s">
        <v>2583</v>
      </c>
      <c r="C260" s="633" t="s">
        <v>411</v>
      </c>
      <c r="D260" s="633"/>
      <c r="E260" s="662">
        <v>19750</v>
      </c>
    </row>
    <row r="261" spans="1:5" x14ac:dyDescent="0.2">
      <c r="A261" s="222" t="s">
        <v>2761</v>
      </c>
      <c r="B261" s="635" t="s">
        <v>3294</v>
      </c>
      <c r="C261" s="225" t="s">
        <v>406</v>
      </c>
      <c r="D261" s="225"/>
      <c r="E261" s="661">
        <v>2700</v>
      </c>
    </row>
    <row r="262" spans="1:5" ht="25.5" x14ac:dyDescent="0.2">
      <c r="A262" s="238" t="s">
        <v>1357</v>
      </c>
      <c r="B262" s="638" t="s">
        <v>3693</v>
      </c>
      <c r="C262" s="630" t="s">
        <v>411</v>
      </c>
      <c r="D262" s="630"/>
      <c r="E262" s="661">
        <v>800000</v>
      </c>
    </row>
    <row r="263" spans="1:5" ht="25.5" x14ac:dyDescent="0.2">
      <c r="A263" s="238" t="s">
        <v>1358</v>
      </c>
      <c r="B263" s="629" t="s">
        <v>3694</v>
      </c>
      <c r="C263" s="630" t="s">
        <v>411</v>
      </c>
      <c r="D263" s="630"/>
      <c r="E263" s="661">
        <v>938000</v>
      </c>
    </row>
    <row r="264" spans="1:5" ht="14.25" x14ac:dyDescent="0.2">
      <c r="A264" s="222" t="s">
        <v>1609</v>
      </c>
      <c r="B264" s="631" t="s">
        <v>2464</v>
      </c>
      <c r="C264" s="632" t="s">
        <v>1996</v>
      </c>
      <c r="D264" s="632"/>
      <c r="E264" s="661">
        <v>48660</v>
      </c>
    </row>
    <row r="265" spans="1:5" x14ac:dyDescent="0.2">
      <c r="A265" s="238" t="s">
        <v>1731</v>
      </c>
      <c r="B265" s="629" t="s">
        <v>3586</v>
      </c>
      <c r="C265" s="630" t="s">
        <v>405</v>
      </c>
      <c r="D265" s="630"/>
      <c r="E265" s="661">
        <v>11750</v>
      </c>
    </row>
    <row r="266" spans="1:5" ht="14.25" x14ac:dyDescent="0.2">
      <c r="A266" s="238" t="s">
        <v>1729</v>
      </c>
      <c r="B266" s="646" t="s">
        <v>353</v>
      </c>
      <c r="C266" s="644" t="s">
        <v>285</v>
      </c>
      <c r="D266" s="644"/>
      <c r="E266" s="661">
        <v>528309</v>
      </c>
    </row>
    <row r="267" spans="1:5" ht="14.25" x14ac:dyDescent="0.2">
      <c r="A267" s="238" t="s">
        <v>1721</v>
      </c>
      <c r="B267" s="647" t="s">
        <v>1904</v>
      </c>
      <c r="C267" s="226" t="s">
        <v>285</v>
      </c>
      <c r="D267" s="226"/>
      <c r="E267" s="661">
        <v>661459</v>
      </c>
    </row>
    <row r="268" spans="1:5" x14ac:dyDescent="0.2">
      <c r="A268" s="238" t="s">
        <v>1620</v>
      </c>
      <c r="B268" s="893" t="s">
        <v>2863</v>
      </c>
      <c r="C268" s="633" t="s">
        <v>405</v>
      </c>
      <c r="D268" s="633"/>
      <c r="E268" s="663">
        <v>23200</v>
      </c>
    </row>
    <row r="269" spans="1:5" x14ac:dyDescent="0.2">
      <c r="A269" s="238" t="s">
        <v>1640</v>
      </c>
      <c r="B269" s="893" t="s">
        <v>2864</v>
      </c>
      <c r="C269" s="633" t="s">
        <v>405</v>
      </c>
      <c r="D269" s="633"/>
      <c r="E269" s="663">
        <v>45650</v>
      </c>
    </row>
    <row r="270" spans="1:5" x14ac:dyDescent="0.2">
      <c r="A270" s="222" t="s">
        <v>1657</v>
      </c>
      <c r="B270" s="893" t="s">
        <v>2865</v>
      </c>
      <c r="C270" s="633" t="s">
        <v>411</v>
      </c>
      <c r="D270" s="633"/>
      <c r="E270" s="663">
        <v>17948</v>
      </c>
    </row>
    <row r="271" spans="1:5" x14ac:dyDescent="0.2">
      <c r="A271" s="583" t="s">
        <v>1700</v>
      </c>
      <c r="B271" s="893" t="s">
        <v>2866</v>
      </c>
      <c r="C271" s="633" t="s">
        <v>411</v>
      </c>
      <c r="D271" s="633"/>
      <c r="E271" s="663">
        <v>9150</v>
      </c>
    </row>
    <row r="272" spans="1:5" x14ac:dyDescent="0.2">
      <c r="A272" s="238" t="s">
        <v>2867</v>
      </c>
      <c r="B272" s="893" t="s">
        <v>2868</v>
      </c>
      <c r="C272" s="633" t="s">
        <v>411</v>
      </c>
      <c r="D272" s="633"/>
      <c r="E272" s="663">
        <v>1200</v>
      </c>
    </row>
    <row r="273" spans="1:5" x14ac:dyDescent="0.2">
      <c r="A273" s="222" t="s">
        <v>2869</v>
      </c>
      <c r="B273" s="893" t="s">
        <v>3125</v>
      </c>
      <c r="C273" s="633" t="s">
        <v>411</v>
      </c>
      <c r="D273" s="633"/>
      <c r="E273" s="663">
        <v>18450</v>
      </c>
    </row>
    <row r="274" spans="1:5" x14ac:dyDescent="0.2">
      <c r="A274" s="238" t="s">
        <v>1759</v>
      </c>
      <c r="B274" s="893" t="s">
        <v>3126</v>
      </c>
      <c r="C274" s="633" t="s">
        <v>411</v>
      </c>
      <c r="D274" s="633"/>
      <c r="E274" s="663">
        <v>7300</v>
      </c>
    </row>
    <row r="275" spans="1:5" x14ac:dyDescent="0.2">
      <c r="A275" s="585" t="s">
        <v>1824</v>
      </c>
      <c r="B275" s="896" t="s">
        <v>1239</v>
      </c>
      <c r="C275" s="641" t="s">
        <v>411</v>
      </c>
      <c r="D275" s="641"/>
      <c r="E275" s="888">
        <v>19680</v>
      </c>
    </row>
    <row r="276" spans="1:5" x14ac:dyDescent="0.2">
      <c r="A276" s="238" t="s">
        <v>1764</v>
      </c>
      <c r="B276" s="893" t="s">
        <v>2870</v>
      </c>
      <c r="C276" s="633" t="s">
        <v>411</v>
      </c>
      <c r="D276" s="633"/>
      <c r="E276" s="663">
        <v>29950</v>
      </c>
    </row>
    <row r="277" spans="1:5" x14ac:dyDescent="0.2">
      <c r="A277" s="239" t="s">
        <v>1771</v>
      </c>
      <c r="B277" s="893" t="s">
        <v>3127</v>
      </c>
      <c r="C277" s="633" t="s">
        <v>411</v>
      </c>
      <c r="D277" s="633"/>
      <c r="E277" s="663">
        <v>7850</v>
      </c>
    </row>
    <row r="278" spans="1:5" x14ac:dyDescent="0.2">
      <c r="A278" s="585" t="s">
        <v>1815</v>
      </c>
      <c r="B278" s="900" t="s">
        <v>1242</v>
      </c>
      <c r="C278" s="632" t="s">
        <v>411</v>
      </c>
      <c r="D278" s="632"/>
      <c r="E278" s="661">
        <v>4750</v>
      </c>
    </row>
    <row r="279" spans="1:5" x14ac:dyDescent="0.2">
      <c r="A279" s="585" t="s">
        <v>1859</v>
      </c>
      <c r="B279" s="895" t="s">
        <v>2130</v>
      </c>
      <c r="C279" s="632" t="s">
        <v>411</v>
      </c>
      <c r="D279" s="632"/>
      <c r="E279" s="661">
        <v>2350</v>
      </c>
    </row>
    <row r="280" spans="1:5" x14ac:dyDescent="0.2">
      <c r="A280" s="238" t="s">
        <v>1360</v>
      </c>
      <c r="B280" s="629" t="s">
        <v>2871</v>
      </c>
      <c r="C280" s="630" t="s">
        <v>411</v>
      </c>
      <c r="D280" s="630"/>
      <c r="E280" s="661">
        <f>19900+17900</f>
        <v>37800</v>
      </c>
    </row>
    <row r="281" spans="1:5" x14ac:dyDescent="0.2">
      <c r="A281" s="222" t="s">
        <v>1361</v>
      </c>
      <c r="B281" s="637" t="s">
        <v>106</v>
      </c>
      <c r="C281" s="225" t="s">
        <v>411</v>
      </c>
      <c r="D281" s="225"/>
      <c r="E281" s="661">
        <v>379</v>
      </c>
    </row>
    <row r="282" spans="1:5" x14ac:dyDescent="0.2">
      <c r="A282" s="222" t="s">
        <v>1362</v>
      </c>
      <c r="B282" s="636" t="s">
        <v>2711</v>
      </c>
      <c r="C282" s="623" t="s">
        <v>411</v>
      </c>
      <c r="D282" s="623"/>
      <c r="E282" s="661">
        <v>74900</v>
      </c>
    </row>
    <row r="283" spans="1:5" x14ac:dyDescent="0.2">
      <c r="A283" s="222" t="s">
        <v>2872</v>
      </c>
      <c r="B283" s="893" t="s">
        <v>2873</v>
      </c>
      <c r="C283" s="633" t="s">
        <v>405</v>
      </c>
      <c r="D283" s="633"/>
      <c r="E283" s="662">
        <v>8745</v>
      </c>
    </row>
    <row r="284" spans="1:5" x14ac:dyDescent="0.2">
      <c r="A284" s="585" t="s">
        <v>1816</v>
      </c>
      <c r="B284" s="896" t="s">
        <v>2001</v>
      </c>
      <c r="C284" s="641" t="s">
        <v>405</v>
      </c>
      <c r="D284" s="641"/>
      <c r="E284" s="661">
        <v>12495</v>
      </c>
    </row>
    <row r="285" spans="1:5" x14ac:dyDescent="0.2">
      <c r="A285" s="238" t="s">
        <v>1364</v>
      </c>
      <c r="B285" s="900" t="s">
        <v>368</v>
      </c>
      <c r="C285" s="630" t="s">
        <v>405</v>
      </c>
      <c r="D285" s="630"/>
      <c r="E285" s="661">
        <f>76812*1.0506</f>
        <v>80698.6872</v>
      </c>
    </row>
    <row r="286" spans="1:5" x14ac:dyDescent="0.2">
      <c r="A286" s="623" t="s">
        <v>4080</v>
      </c>
      <c r="B286" s="894" t="s">
        <v>4081</v>
      </c>
      <c r="C286" s="633" t="s">
        <v>411</v>
      </c>
      <c r="D286" s="632"/>
      <c r="E286" s="661">
        <v>97800</v>
      </c>
    </row>
    <row r="287" spans="1:5" x14ac:dyDescent="0.2">
      <c r="A287" s="623" t="s">
        <v>4066</v>
      </c>
      <c r="B287" s="894" t="s">
        <v>4067</v>
      </c>
      <c r="C287" s="633" t="s">
        <v>411</v>
      </c>
      <c r="D287" s="632"/>
      <c r="E287" s="661">
        <v>49900</v>
      </c>
    </row>
    <row r="288" spans="1:5" x14ac:dyDescent="0.2">
      <c r="A288" s="623" t="s">
        <v>4068</v>
      </c>
      <c r="B288" s="894" t="s">
        <v>4069</v>
      </c>
      <c r="C288" s="633" t="s">
        <v>411</v>
      </c>
      <c r="D288" s="632"/>
      <c r="E288" s="661">
        <v>49900</v>
      </c>
    </row>
    <row r="289" spans="1:5" x14ac:dyDescent="0.2">
      <c r="A289" s="623" t="s">
        <v>4070</v>
      </c>
      <c r="B289" s="894" t="s">
        <v>4071</v>
      </c>
      <c r="C289" s="633" t="s">
        <v>411</v>
      </c>
      <c r="D289" s="632"/>
      <c r="E289" s="661">
        <v>61900</v>
      </c>
    </row>
    <row r="290" spans="1:5" x14ac:dyDescent="0.2">
      <c r="A290" s="623" t="s">
        <v>4072</v>
      </c>
      <c r="B290" s="894" t="s">
        <v>4073</v>
      </c>
      <c r="C290" s="633" t="s">
        <v>411</v>
      </c>
      <c r="D290" s="632"/>
      <c r="E290" s="661">
        <v>61900</v>
      </c>
    </row>
    <row r="291" spans="1:5" x14ac:dyDescent="0.2">
      <c r="A291" s="623" t="s">
        <v>4074</v>
      </c>
      <c r="B291" s="894" t="s">
        <v>4075</v>
      </c>
      <c r="C291" s="633" t="s">
        <v>411</v>
      </c>
      <c r="D291" s="632"/>
      <c r="E291" s="661">
        <v>62600</v>
      </c>
    </row>
    <row r="292" spans="1:5" x14ac:dyDescent="0.2">
      <c r="A292" s="623" t="s">
        <v>4076</v>
      </c>
      <c r="B292" s="894" t="s">
        <v>4077</v>
      </c>
      <c r="C292" s="633" t="s">
        <v>411</v>
      </c>
      <c r="D292" s="632"/>
      <c r="E292" s="661">
        <v>97800</v>
      </c>
    </row>
    <row r="293" spans="1:5" x14ac:dyDescent="0.2">
      <c r="A293" s="623" t="s">
        <v>4078</v>
      </c>
      <c r="B293" s="894" t="s">
        <v>4079</v>
      </c>
      <c r="C293" s="633" t="s">
        <v>411</v>
      </c>
      <c r="D293" s="632"/>
      <c r="E293" s="661">
        <v>97800</v>
      </c>
    </row>
    <row r="294" spans="1:5" x14ac:dyDescent="0.2">
      <c r="A294" s="623" t="s">
        <v>4061</v>
      </c>
      <c r="B294" s="894" t="s">
        <v>4062</v>
      </c>
      <c r="C294" s="633" t="s">
        <v>411</v>
      </c>
      <c r="D294" s="632"/>
      <c r="E294" s="661">
        <v>52900</v>
      </c>
    </row>
    <row r="295" spans="1:5" x14ac:dyDescent="0.2">
      <c r="A295" s="623" t="s">
        <v>4047</v>
      </c>
      <c r="B295" s="894" t="s">
        <v>4048</v>
      </c>
      <c r="C295" s="633" t="s">
        <v>411</v>
      </c>
      <c r="D295" s="632"/>
      <c r="E295" s="661">
        <v>17900</v>
      </c>
    </row>
    <row r="296" spans="1:5" x14ac:dyDescent="0.2">
      <c r="A296" s="239" t="s">
        <v>1397</v>
      </c>
      <c r="B296" s="905" t="s">
        <v>4039</v>
      </c>
      <c r="C296" s="633" t="s">
        <v>411</v>
      </c>
      <c r="D296" s="633"/>
      <c r="E296" s="662">
        <v>17500</v>
      </c>
    </row>
    <row r="297" spans="1:5" x14ac:dyDescent="0.2">
      <c r="A297" s="623" t="s">
        <v>4049</v>
      </c>
      <c r="B297" s="894" t="s">
        <v>4050</v>
      </c>
      <c r="C297" s="633" t="s">
        <v>411</v>
      </c>
      <c r="D297" s="632"/>
      <c r="E297" s="661">
        <v>22900</v>
      </c>
    </row>
    <row r="298" spans="1:5" x14ac:dyDescent="0.2">
      <c r="A298" s="623" t="s">
        <v>4051</v>
      </c>
      <c r="B298" s="894" t="s">
        <v>4052</v>
      </c>
      <c r="C298" s="633" t="s">
        <v>411</v>
      </c>
      <c r="D298" s="632"/>
      <c r="E298" s="661">
        <v>22900</v>
      </c>
    </row>
    <row r="299" spans="1:5" x14ac:dyDescent="0.2">
      <c r="A299" s="623" t="s">
        <v>4053</v>
      </c>
      <c r="B299" s="894" t="s">
        <v>4054</v>
      </c>
      <c r="C299" s="633" t="s">
        <v>411</v>
      </c>
      <c r="D299" s="632"/>
      <c r="E299" s="661">
        <v>20900</v>
      </c>
    </row>
    <row r="300" spans="1:5" x14ac:dyDescent="0.2">
      <c r="A300" s="623" t="s">
        <v>4055</v>
      </c>
      <c r="B300" s="894" t="s">
        <v>4056</v>
      </c>
      <c r="C300" s="633" t="s">
        <v>411</v>
      </c>
      <c r="D300" s="632"/>
      <c r="E300" s="661">
        <v>20900</v>
      </c>
    </row>
    <row r="301" spans="1:5" x14ac:dyDescent="0.2">
      <c r="A301" s="623" t="s">
        <v>4057</v>
      </c>
      <c r="B301" s="894" t="s">
        <v>4058</v>
      </c>
      <c r="C301" s="633" t="s">
        <v>411</v>
      </c>
      <c r="D301" s="632"/>
      <c r="E301" s="661">
        <v>52900</v>
      </c>
    </row>
    <row r="302" spans="1:5" x14ac:dyDescent="0.2">
      <c r="A302" s="623" t="s">
        <v>4059</v>
      </c>
      <c r="B302" s="894" t="s">
        <v>4060</v>
      </c>
      <c r="C302" s="633" t="s">
        <v>411</v>
      </c>
      <c r="D302" s="632"/>
      <c r="E302" s="661">
        <v>52900</v>
      </c>
    </row>
    <row r="303" spans="1:5" x14ac:dyDescent="0.2">
      <c r="A303" s="623" t="s">
        <v>4095</v>
      </c>
      <c r="B303" s="894" t="s">
        <v>4096</v>
      </c>
      <c r="C303" s="633" t="s">
        <v>411</v>
      </c>
      <c r="D303" s="632"/>
      <c r="E303" s="661">
        <v>153900</v>
      </c>
    </row>
    <row r="304" spans="1:5" x14ac:dyDescent="0.2">
      <c r="A304" s="623" t="s">
        <v>4082</v>
      </c>
      <c r="B304" s="894" t="s">
        <v>4083</v>
      </c>
      <c r="C304" s="633" t="s">
        <v>411</v>
      </c>
      <c r="D304" s="632"/>
      <c r="E304" s="661">
        <v>114300</v>
      </c>
    </row>
    <row r="305" spans="1:5" x14ac:dyDescent="0.2">
      <c r="A305" s="222" t="s">
        <v>1399</v>
      </c>
      <c r="B305" s="905" t="s">
        <v>4040</v>
      </c>
      <c r="C305" s="633" t="s">
        <v>411</v>
      </c>
      <c r="D305" s="633"/>
      <c r="E305" s="662">
        <v>114900</v>
      </c>
    </row>
    <row r="306" spans="1:5" x14ac:dyDescent="0.2">
      <c r="A306" s="623" t="s">
        <v>4084</v>
      </c>
      <c r="B306" s="894" t="s">
        <v>4085</v>
      </c>
      <c r="C306" s="633" t="s">
        <v>411</v>
      </c>
      <c r="D306" s="632"/>
      <c r="E306" s="661">
        <v>114300</v>
      </c>
    </row>
    <row r="307" spans="1:5" x14ac:dyDescent="0.2">
      <c r="A307" s="623" t="s">
        <v>4086</v>
      </c>
      <c r="B307" s="894" t="s">
        <v>4087</v>
      </c>
      <c r="C307" s="633" t="s">
        <v>411</v>
      </c>
      <c r="D307" s="632"/>
      <c r="E307" s="661">
        <v>114300</v>
      </c>
    </row>
    <row r="308" spans="1:5" x14ac:dyDescent="0.2">
      <c r="A308" s="623" t="s">
        <v>4089</v>
      </c>
      <c r="B308" s="894" t="s">
        <v>4090</v>
      </c>
      <c r="C308" s="633" t="s">
        <v>411</v>
      </c>
      <c r="D308" s="632"/>
      <c r="E308" s="661">
        <v>119900</v>
      </c>
    </row>
    <row r="309" spans="1:5" x14ac:dyDescent="0.2">
      <c r="A309" s="623" t="s">
        <v>4091</v>
      </c>
      <c r="B309" s="894" t="s">
        <v>4092</v>
      </c>
      <c r="C309" s="633" t="s">
        <v>411</v>
      </c>
      <c r="D309" s="632"/>
      <c r="E309" s="661">
        <v>153900</v>
      </c>
    </row>
    <row r="310" spans="1:5" x14ac:dyDescent="0.2">
      <c r="A310" s="623" t="s">
        <v>4093</v>
      </c>
      <c r="B310" s="894" t="s">
        <v>4094</v>
      </c>
      <c r="C310" s="633" t="s">
        <v>411</v>
      </c>
      <c r="D310" s="632"/>
      <c r="E310" s="661">
        <v>153900</v>
      </c>
    </row>
    <row r="311" spans="1:5" x14ac:dyDescent="0.2">
      <c r="A311" s="238" t="s">
        <v>1772</v>
      </c>
      <c r="B311" s="893" t="s">
        <v>2584</v>
      </c>
      <c r="C311" s="633" t="s">
        <v>411</v>
      </c>
      <c r="D311" s="633"/>
      <c r="E311" s="662">
        <v>176550</v>
      </c>
    </row>
    <row r="312" spans="1:5" x14ac:dyDescent="0.2">
      <c r="A312" s="238" t="s">
        <v>1391</v>
      </c>
      <c r="B312" s="905" t="s">
        <v>4038</v>
      </c>
      <c r="C312" s="633" t="s">
        <v>411</v>
      </c>
      <c r="D312" s="633"/>
      <c r="E312" s="662">
        <v>49900</v>
      </c>
    </row>
    <row r="313" spans="1:5" x14ac:dyDescent="0.2">
      <c r="A313" s="238" t="s">
        <v>1783</v>
      </c>
      <c r="B313" s="642" t="s">
        <v>3839</v>
      </c>
      <c r="C313" s="623" t="s">
        <v>411</v>
      </c>
      <c r="D313" s="623"/>
      <c r="E313" s="661">
        <v>4300</v>
      </c>
    </row>
    <row r="314" spans="1:5" x14ac:dyDescent="0.2">
      <c r="A314" s="238" t="s">
        <v>1365</v>
      </c>
      <c r="B314" s="642" t="s">
        <v>201</v>
      </c>
      <c r="C314" s="623" t="s">
        <v>411</v>
      </c>
      <c r="D314" s="623"/>
      <c r="E314" s="661">
        <v>50575</v>
      </c>
    </row>
    <row r="315" spans="1:5" x14ac:dyDescent="0.2">
      <c r="A315" s="238" t="s">
        <v>1366</v>
      </c>
      <c r="B315" s="230" t="s">
        <v>369</v>
      </c>
      <c r="C315" s="623" t="s">
        <v>411</v>
      </c>
      <c r="D315" s="623"/>
      <c r="E315" s="661">
        <v>130900</v>
      </c>
    </row>
    <row r="316" spans="1:5" x14ac:dyDescent="0.2">
      <c r="A316" s="238" t="s">
        <v>1791</v>
      </c>
      <c r="B316" s="893" t="s">
        <v>2585</v>
      </c>
      <c r="C316" s="633" t="s">
        <v>411</v>
      </c>
      <c r="D316" s="633"/>
      <c r="E316" s="663">
        <v>90726</v>
      </c>
    </row>
    <row r="317" spans="1:5" x14ac:dyDescent="0.2">
      <c r="A317" s="238" t="s">
        <v>1794</v>
      </c>
      <c r="B317" s="893" t="s">
        <v>2874</v>
      </c>
      <c r="C317" s="633" t="s">
        <v>411</v>
      </c>
      <c r="D317" s="633"/>
      <c r="E317" s="663">
        <v>182850</v>
      </c>
    </row>
    <row r="318" spans="1:5" x14ac:dyDescent="0.2">
      <c r="A318" s="585" t="s">
        <v>2875</v>
      </c>
      <c r="B318" s="901" t="s">
        <v>2595</v>
      </c>
      <c r="C318" s="643" t="s">
        <v>411</v>
      </c>
      <c r="D318" s="643"/>
      <c r="E318" s="663">
        <v>301681</v>
      </c>
    </row>
    <row r="319" spans="1:5" x14ac:dyDescent="0.2">
      <c r="A319" s="222" t="s">
        <v>2876</v>
      </c>
      <c r="B319" s="629" t="s">
        <v>2877</v>
      </c>
      <c r="C319" s="630" t="s">
        <v>411</v>
      </c>
      <c r="D319" s="630"/>
      <c r="E319" s="661">
        <v>36</v>
      </c>
    </row>
    <row r="320" spans="1:5" x14ac:dyDescent="0.2">
      <c r="A320" s="238" t="s">
        <v>1367</v>
      </c>
      <c r="B320" s="629" t="s">
        <v>592</v>
      </c>
      <c r="C320" s="630" t="s">
        <v>405</v>
      </c>
      <c r="D320" s="630"/>
      <c r="E320" s="661">
        <v>6534</v>
      </c>
    </row>
    <row r="321" spans="1:5" ht="25.5" x14ac:dyDescent="0.2">
      <c r="A321" s="238" t="s">
        <v>1804</v>
      </c>
      <c r="B321" s="629" t="s">
        <v>2712</v>
      </c>
      <c r="C321" s="630" t="s">
        <v>405</v>
      </c>
      <c r="D321" s="630"/>
      <c r="E321" s="661">
        <v>620700</v>
      </c>
    </row>
    <row r="322" spans="1:5" x14ac:dyDescent="0.2">
      <c r="A322" s="585" t="s">
        <v>2878</v>
      </c>
      <c r="B322" s="893" t="s">
        <v>2879</v>
      </c>
      <c r="C322" s="633" t="s">
        <v>411</v>
      </c>
      <c r="D322" s="633"/>
      <c r="E322" s="662">
        <v>3150</v>
      </c>
    </row>
    <row r="323" spans="1:5" x14ac:dyDescent="0.2">
      <c r="A323" s="623" t="s">
        <v>4113</v>
      </c>
      <c r="B323" s="894" t="s">
        <v>3643</v>
      </c>
      <c r="C323" s="633" t="s">
        <v>411</v>
      </c>
      <c r="D323" s="632"/>
      <c r="E323" s="661">
        <v>1050</v>
      </c>
    </row>
    <row r="324" spans="1:5" x14ac:dyDescent="0.2">
      <c r="A324" s="585" t="s">
        <v>1803</v>
      </c>
      <c r="B324" s="895" t="s">
        <v>2135</v>
      </c>
      <c r="C324" s="632" t="s">
        <v>411</v>
      </c>
      <c r="D324" s="632"/>
      <c r="E324" s="662">
        <v>2800</v>
      </c>
    </row>
    <row r="325" spans="1:5" x14ac:dyDescent="0.2">
      <c r="A325" s="585" t="s">
        <v>2880</v>
      </c>
      <c r="B325" s="893" t="s">
        <v>2881</v>
      </c>
      <c r="C325" s="633" t="s">
        <v>411</v>
      </c>
      <c r="D325" s="633"/>
      <c r="E325" s="662">
        <v>10500</v>
      </c>
    </row>
    <row r="326" spans="1:5" x14ac:dyDescent="0.2">
      <c r="A326" s="585" t="s">
        <v>1805</v>
      </c>
      <c r="B326" s="895" t="s">
        <v>2713</v>
      </c>
      <c r="C326" s="632" t="s">
        <v>411</v>
      </c>
      <c r="D326" s="632"/>
      <c r="E326" s="661">
        <v>1100</v>
      </c>
    </row>
    <row r="327" spans="1:5" x14ac:dyDescent="0.2">
      <c r="A327" s="585" t="s">
        <v>1827</v>
      </c>
      <c r="B327" s="895" t="s">
        <v>2139</v>
      </c>
      <c r="C327" s="632" t="s">
        <v>411</v>
      </c>
      <c r="D327" s="632"/>
      <c r="E327" s="661">
        <v>1700</v>
      </c>
    </row>
    <row r="328" spans="1:5" x14ac:dyDescent="0.2">
      <c r="A328" s="585" t="s">
        <v>2882</v>
      </c>
      <c r="B328" s="893" t="s">
        <v>2883</v>
      </c>
      <c r="C328" s="633" t="s">
        <v>411</v>
      </c>
      <c r="D328" s="633"/>
      <c r="E328" s="662">
        <f>(39500+35000)/2</f>
        <v>37250</v>
      </c>
    </row>
    <row r="329" spans="1:5" x14ac:dyDescent="0.2">
      <c r="A329" s="623" t="s">
        <v>4107</v>
      </c>
      <c r="B329" s="634" t="s">
        <v>4108</v>
      </c>
      <c r="C329" s="633" t="s">
        <v>411</v>
      </c>
      <c r="D329" s="632"/>
      <c r="E329" s="661">
        <v>6150</v>
      </c>
    </row>
    <row r="330" spans="1:5" x14ac:dyDescent="0.2">
      <c r="A330" s="585" t="s">
        <v>2656</v>
      </c>
      <c r="B330" s="893" t="s">
        <v>2586</v>
      </c>
      <c r="C330" s="633" t="s">
        <v>411</v>
      </c>
      <c r="D330" s="633"/>
      <c r="E330" s="662">
        <v>17500</v>
      </c>
    </row>
    <row r="331" spans="1:5" x14ac:dyDescent="0.2">
      <c r="A331" s="238" t="s">
        <v>1368</v>
      </c>
      <c r="B331" s="636" t="s">
        <v>1940</v>
      </c>
      <c r="C331" s="623" t="s">
        <v>405</v>
      </c>
      <c r="D331" s="623"/>
      <c r="E331" s="661">
        <v>172884.53</v>
      </c>
    </row>
    <row r="332" spans="1:5" x14ac:dyDescent="0.2">
      <c r="A332" s="222" t="s">
        <v>2763</v>
      </c>
      <c r="B332" s="635" t="s">
        <v>3840</v>
      </c>
      <c r="C332" s="225" t="s">
        <v>406</v>
      </c>
      <c r="D332" s="225"/>
      <c r="E332" s="661">
        <v>9774</v>
      </c>
    </row>
    <row r="333" spans="1:5" x14ac:dyDescent="0.2">
      <c r="A333" s="238" t="s">
        <v>2547</v>
      </c>
      <c r="B333" s="629" t="s">
        <v>1089</v>
      </c>
      <c r="C333" s="630" t="s">
        <v>406</v>
      </c>
      <c r="D333" s="630"/>
      <c r="E333" s="661">
        <f>30850/3</f>
        <v>10283.333333333334</v>
      </c>
    </row>
    <row r="334" spans="1:5" x14ac:dyDescent="0.2">
      <c r="A334" s="238" t="s">
        <v>1370</v>
      </c>
      <c r="B334" s="629" t="s">
        <v>3509</v>
      </c>
      <c r="C334" s="630" t="s">
        <v>405</v>
      </c>
      <c r="D334" s="630"/>
      <c r="E334" s="661">
        <f>49900/2.5</f>
        <v>19960</v>
      </c>
    </row>
    <row r="335" spans="1:5" x14ac:dyDescent="0.2">
      <c r="A335" s="238" t="s">
        <v>1371</v>
      </c>
      <c r="B335" s="629" t="s">
        <v>3852</v>
      </c>
      <c r="C335" s="630" t="s">
        <v>405</v>
      </c>
      <c r="D335" s="630"/>
      <c r="E335" s="661">
        <f>7900/2</f>
        <v>3950</v>
      </c>
    </row>
    <row r="336" spans="1:5" x14ac:dyDescent="0.2">
      <c r="A336" s="238" t="s">
        <v>1372</v>
      </c>
      <c r="B336" s="629" t="s">
        <v>3850</v>
      </c>
      <c r="C336" s="630" t="s">
        <v>405</v>
      </c>
      <c r="D336" s="630"/>
      <c r="E336" s="661">
        <v>3366</v>
      </c>
    </row>
    <row r="337" spans="1:5" x14ac:dyDescent="0.2">
      <c r="A337" s="238" t="s">
        <v>1375</v>
      </c>
      <c r="B337" s="642" t="s">
        <v>2885</v>
      </c>
      <c r="C337" s="623" t="s">
        <v>617</v>
      </c>
      <c r="D337" s="623"/>
      <c r="E337" s="661">
        <v>35713</v>
      </c>
    </row>
    <row r="338" spans="1:5" ht="25.5" x14ac:dyDescent="0.2">
      <c r="A338" s="222" t="s">
        <v>2715</v>
      </c>
      <c r="B338" s="629" t="s">
        <v>3695</v>
      </c>
      <c r="C338" s="630" t="s">
        <v>411</v>
      </c>
      <c r="D338" s="630"/>
      <c r="E338" s="661">
        <v>358500</v>
      </c>
    </row>
    <row r="339" spans="1:5" ht="25.5" x14ac:dyDescent="0.2">
      <c r="A339" s="623" t="s">
        <v>4097</v>
      </c>
      <c r="B339" s="894" t="s">
        <v>4098</v>
      </c>
      <c r="C339" s="633" t="s">
        <v>411</v>
      </c>
      <c r="D339" s="632"/>
      <c r="E339" s="661">
        <v>198671</v>
      </c>
    </row>
    <row r="340" spans="1:5" ht="14.25" x14ac:dyDescent="0.2">
      <c r="A340" s="239" t="s">
        <v>1817</v>
      </c>
      <c r="B340" s="642" t="s">
        <v>1923</v>
      </c>
      <c r="C340" s="623" t="s">
        <v>288</v>
      </c>
      <c r="D340" s="623"/>
      <c r="E340" s="661">
        <v>365300</v>
      </c>
    </row>
    <row r="341" spans="1:5" ht="14.25" x14ac:dyDescent="0.2">
      <c r="A341" s="238" t="s">
        <v>1377</v>
      </c>
      <c r="B341" s="629" t="s">
        <v>463</v>
      </c>
      <c r="C341" s="630" t="s">
        <v>288</v>
      </c>
      <c r="D341" s="630"/>
      <c r="E341" s="661">
        <v>160000</v>
      </c>
    </row>
    <row r="342" spans="1:5" x14ac:dyDescent="0.2">
      <c r="A342" s="222" t="s">
        <v>1378</v>
      </c>
      <c r="B342" s="629" t="s">
        <v>1981</v>
      </c>
      <c r="C342" s="630" t="s">
        <v>411</v>
      </c>
      <c r="D342" s="630"/>
      <c r="E342" s="661">
        <v>600600</v>
      </c>
    </row>
    <row r="343" spans="1:5" x14ac:dyDescent="0.2">
      <c r="A343" s="585" t="s">
        <v>2886</v>
      </c>
      <c r="B343" s="893" t="s">
        <v>2887</v>
      </c>
      <c r="C343" s="633" t="s">
        <v>405</v>
      </c>
      <c r="D343" s="633"/>
      <c r="E343" s="662">
        <v>18650</v>
      </c>
    </row>
    <row r="344" spans="1:5" x14ac:dyDescent="0.2">
      <c r="A344" s="585" t="s">
        <v>1877</v>
      </c>
      <c r="B344" s="893" t="s">
        <v>2888</v>
      </c>
      <c r="C344" s="633" t="s">
        <v>405</v>
      </c>
      <c r="D344" s="633"/>
      <c r="E344" s="662">
        <v>20308</v>
      </c>
    </row>
    <row r="345" spans="1:5" x14ac:dyDescent="0.2">
      <c r="A345" s="238" t="s">
        <v>1379</v>
      </c>
      <c r="B345" s="642" t="s">
        <v>3917</v>
      </c>
      <c r="C345" s="623" t="s">
        <v>617</v>
      </c>
      <c r="D345" s="623"/>
      <c r="E345" s="661">
        <f>24900/3.78</f>
        <v>6587.3015873015875</v>
      </c>
    </row>
    <row r="346" spans="1:5" x14ac:dyDescent="0.2">
      <c r="A346" s="238" t="s">
        <v>3710</v>
      </c>
      <c r="B346" s="642" t="s">
        <v>3728</v>
      </c>
      <c r="C346" s="623" t="s">
        <v>617</v>
      </c>
      <c r="D346" s="623"/>
      <c r="E346" s="661">
        <f>(5484+5139)/2</f>
        <v>5311.5</v>
      </c>
    </row>
    <row r="347" spans="1:5" ht="14.25" x14ac:dyDescent="0.2">
      <c r="A347" s="222" t="s">
        <v>2642</v>
      </c>
      <c r="B347" s="629" t="s">
        <v>3649</v>
      </c>
      <c r="C347" s="630" t="s">
        <v>288</v>
      </c>
      <c r="D347" s="630"/>
      <c r="E347" s="661">
        <f>59900/(0.4*0.6)</f>
        <v>249583.33333333334</v>
      </c>
    </row>
    <row r="348" spans="1:5" x14ac:dyDescent="0.2">
      <c r="A348" s="222" t="s">
        <v>1382</v>
      </c>
      <c r="B348" s="230" t="s">
        <v>2889</v>
      </c>
      <c r="C348" s="623" t="s">
        <v>411</v>
      </c>
      <c r="D348" s="623"/>
      <c r="E348" s="661">
        <v>4900</v>
      </c>
    </row>
    <row r="349" spans="1:5" x14ac:dyDescent="0.2">
      <c r="A349" s="238" t="s">
        <v>1383</v>
      </c>
      <c r="B349" s="629" t="s">
        <v>2716</v>
      </c>
      <c r="C349" s="630" t="s">
        <v>411</v>
      </c>
      <c r="D349" s="630"/>
      <c r="E349" s="661">
        <v>7000</v>
      </c>
    </row>
    <row r="350" spans="1:5" x14ac:dyDescent="0.2">
      <c r="A350" s="222" t="s">
        <v>1384</v>
      </c>
      <c r="B350" s="637" t="s">
        <v>164</v>
      </c>
      <c r="C350" s="630" t="s">
        <v>406</v>
      </c>
      <c r="D350" s="630"/>
      <c r="E350" s="661">
        <f>22.5*1000</f>
        <v>22500</v>
      </c>
    </row>
    <row r="351" spans="1:5" ht="25.5" x14ac:dyDescent="0.2">
      <c r="A351" s="239" t="s">
        <v>1822</v>
      </c>
      <c r="B351" s="642" t="s">
        <v>2717</v>
      </c>
      <c r="C351" s="623" t="s">
        <v>406</v>
      </c>
      <c r="D351" s="623"/>
      <c r="E351" s="661">
        <v>25000</v>
      </c>
    </row>
    <row r="352" spans="1:5" x14ac:dyDescent="0.2">
      <c r="A352" s="222" t="s">
        <v>2780</v>
      </c>
      <c r="B352" s="635" t="s">
        <v>3532</v>
      </c>
      <c r="C352" s="225" t="s">
        <v>405</v>
      </c>
      <c r="D352" s="225"/>
      <c r="E352" s="661">
        <v>64800</v>
      </c>
    </row>
    <row r="353" spans="1:5" x14ac:dyDescent="0.2">
      <c r="A353" s="222" t="s">
        <v>1386</v>
      </c>
      <c r="B353" s="637" t="s">
        <v>3131</v>
      </c>
      <c r="C353" s="225" t="s">
        <v>406</v>
      </c>
      <c r="D353" s="225"/>
      <c r="E353" s="661">
        <v>1716</v>
      </c>
    </row>
    <row r="354" spans="1:5" x14ac:dyDescent="0.2">
      <c r="A354" s="238" t="s">
        <v>1385</v>
      </c>
      <c r="B354" s="629" t="s">
        <v>3936</v>
      </c>
      <c r="C354" s="630" t="s">
        <v>406</v>
      </c>
      <c r="D354" s="630"/>
      <c r="E354" s="661">
        <v>3430</v>
      </c>
    </row>
    <row r="355" spans="1:5" x14ac:dyDescent="0.2">
      <c r="A355" s="238" t="s">
        <v>2890</v>
      </c>
      <c r="B355" s="894" t="s">
        <v>2891</v>
      </c>
      <c r="C355" s="633" t="s">
        <v>2402</v>
      </c>
      <c r="D355" s="633"/>
      <c r="E355" s="662">
        <v>194387</v>
      </c>
    </row>
    <row r="356" spans="1:5" x14ac:dyDescent="0.2">
      <c r="A356" s="238" t="s">
        <v>1390</v>
      </c>
      <c r="B356" s="629" t="s">
        <v>40</v>
      </c>
      <c r="C356" s="630" t="s">
        <v>406</v>
      </c>
      <c r="D356" s="630"/>
      <c r="E356" s="661">
        <f>(184900/50+3290)/2</f>
        <v>3494</v>
      </c>
    </row>
    <row r="357" spans="1:5" x14ac:dyDescent="0.2">
      <c r="A357" s="238" t="s">
        <v>1392</v>
      </c>
      <c r="B357" s="629" t="s">
        <v>2892</v>
      </c>
      <c r="C357" s="630" t="s">
        <v>406</v>
      </c>
      <c r="D357" s="630"/>
      <c r="E357" s="661">
        <f>(59900/25+119990/25+54530/40)/3</f>
        <v>2852.9500000000003</v>
      </c>
    </row>
    <row r="358" spans="1:5" x14ac:dyDescent="0.2">
      <c r="A358" s="239" t="s">
        <v>1393</v>
      </c>
      <c r="B358" s="642" t="s">
        <v>2010</v>
      </c>
      <c r="C358" s="623" t="s">
        <v>411</v>
      </c>
      <c r="D358" s="623"/>
      <c r="E358" s="661">
        <v>4155900</v>
      </c>
    </row>
    <row r="359" spans="1:5" x14ac:dyDescent="0.2">
      <c r="A359" s="239" t="s">
        <v>1394</v>
      </c>
      <c r="B359" s="642" t="s">
        <v>2011</v>
      </c>
      <c r="C359" s="623" t="s">
        <v>411</v>
      </c>
      <c r="D359" s="623"/>
      <c r="E359" s="661">
        <v>7456900</v>
      </c>
    </row>
    <row r="360" spans="1:5" ht="14.25" x14ac:dyDescent="0.2">
      <c r="A360" s="239" t="s">
        <v>1395</v>
      </c>
      <c r="B360" s="646" t="s">
        <v>257</v>
      </c>
      <c r="C360" s="226" t="s">
        <v>288</v>
      </c>
      <c r="D360" s="226"/>
      <c r="E360" s="661">
        <v>38170.439999999995</v>
      </c>
    </row>
    <row r="361" spans="1:5" x14ac:dyDescent="0.2">
      <c r="A361" s="222" t="s">
        <v>1396</v>
      </c>
      <c r="B361" s="637" t="s">
        <v>39</v>
      </c>
      <c r="C361" s="225" t="s">
        <v>406</v>
      </c>
      <c r="D361" s="225"/>
      <c r="E361" s="661">
        <v>20276</v>
      </c>
    </row>
    <row r="362" spans="1:5" x14ac:dyDescent="0.2">
      <c r="A362" s="222" t="s">
        <v>1373</v>
      </c>
      <c r="B362" s="637" t="s">
        <v>2719</v>
      </c>
      <c r="C362" s="630" t="s">
        <v>411</v>
      </c>
      <c r="D362" s="630"/>
      <c r="E362" s="661">
        <v>1089400</v>
      </c>
    </row>
    <row r="363" spans="1:5" x14ac:dyDescent="0.2">
      <c r="A363" s="222" t="s">
        <v>1398</v>
      </c>
      <c r="B363" s="637" t="s">
        <v>3647</v>
      </c>
      <c r="C363" s="630" t="s">
        <v>411</v>
      </c>
      <c r="D363" s="630"/>
      <c r="E363" s="661">
        <v>966300</v>
      </c>
    </row>
    <row r="364" spans="1:5" x14ac:dyDescent="0.2">
      <c r="A364" s="238" t="s">
        <v>1479</v>
      </c>
      <c r="B364" s="642" t="s">
        <v>1912</v>
      </c>
      <c r="C364" s="623" t="s">
        <v>405</v>
      </c>
      <c r="D364" s="623"/>
      <c r="E364" s="661">
        <v>648</v>
      </c>
    </row>
    <row r="365" spans="1:5" x14ac:dyDescent="0.2">
      <c r="A365" s="238" t="s">
        <v>1900</v>
      </c>
      <c r="B365" s="899" t="s">
        <v>2893</v>
      </c>
      <c r="C365" s="633" t="s">
        <v>411</v>
      </c>
      <c r="D365" s="633"/>
      <c r="E365" s="889">
        <v>27814</v>
      </c>
    </row>
    <row r="366" spans="1:5" ht="14.25" x14ac:dyDescent="0.2">
      <c r="A366" s="239" t="s">
        <v>1400</v>
      </c>
      <c r="B366" s="642" t="s">
        <v>2894</v>
      </c>
      <c r="C366" s="623" t="s">
        <v>288</v>
      </c>
      <c r="D366" s="623"/>
      <c r="E366" s="661">
        <v>15056</v>
      </c>
    </row>
    <row r="367" spans="1:5" x14ac:dyDescent="0.2">
      <c r="A367" s="222" t="s">
        <v>2657</v>
      </c>
      <c r="B367" s="893" t="s">
        <v>2587</v>
      </c>
      <c r="C367" s="633" t="s">
        <v>411</v>
      </c>
      <c r="D367" s="633"/>
      <c r="E367" s="662">
        <v>6500</v>
      </c>
    </row>
    <row r="368" spans="1:5" x14ac:dyDescent="0.2">
      <c r="A368" s="225" t="s">
        <v>2895</v>
      </c>
      <c r="B368" s="893" t="s">
        <v>2896</v>
      </c>
      <c r="C368" s="633" t="s">
        <v>411</v>
      </c>
      <c r="D368" s="633"/>
      <c r="E368" s="662">
        <v>505900</v>
      </c>
    </row>
    <row r="369" spans="1:5" x14ac:dyDescent="0.2">
      <c r="A369" s="238" t="s">
        <v>1401</v>
      </c>
      <c r="B369" s="629" t="s">
        <v>240</v>
      </c>
      <c r="C369" s="630" t="s">
        <v>411</v>
      </c>
      <c r="D369" s="630"/>
      <c r="E369" s="661">
        <v>1250000</v>
      </c>
    </row>
    <row r="370" spans="1:5" x14ac:dyDescent="0.2">
      <c r="A370" s="222" t="s">
        <v>2897</v>
      </c>
      <c r="B370" s="893" t="s">
        <v>2898</v>
      </c>
      <c r="C370" s="633" t="s">
        <v>411</v>
      </c>
      <c r="D370" s="633"/>
      <c r="E370" s="662">
        <v>389000</v>
      </c>
    </row>
    <row r="371" spans="1:5" x14ac:dyDescent="0.2">
      <c r="A371" s="238" t="s">
        <v>1402</v>
      </c>
      <c r="B371" s="629" t="s">
        <v>153</v>
      </c>
      <c r="C371" s="630" t="s">
        <v>411</v>
      </c>
      <c r="D371" s="630"/>
      <c r="E371" s="661">
        <v>1100</v>
      </c>
    </row>
    <row r="372" spans="1:5" x14ac:dyDescent="0.2">
      <c r="A372" s="583" t="s">
        <v>1403</v>
      </c>
      <c r="B372" s="646" t="s">
        <v>53</v>
      </c>
      <c r="C372" s="226" t="s">
        <v>642</v>
      </c>
      <c r="D372" s="226"/>
      <c r="E372" s="661">
        <v>16241</v>
      </c>
    </row>
    <row r="373" spans="1:5" x14ac:dyDescent="0.2">
      <c r="A373" s="222" t="s">
        <v>2783</v>
      </c>
      <c r="B373" s="635" t="s">
        <v>3651</v>
      </c>
      <c r="C373" s="225" t="s">
        <v>405</v>
      </c>
      <c r="D373" s="225"/>
      <c r="E373" s="661">
        <v>128900</v>
      </c>
    </row>
    <row r="374" spans="1:5" ht="14.25" x14ac:dyDescent="0.2">
      <c r="A374" s="238" t="s">
        <v>1404</v>
      </c>
      <c r="B374" s="629" t="s">
        <v>2899</v>
      </c>
      <c r="C374" s="630" t="s">
        <v>288</v>
      </c>
      <c r="D374" s="630"/>
      <c r="E374" s="661">
        <v>100351</v>
      </c>
    </row>
    <row r="375" spans="1:5" ht="14.25" x14ac:dyDescent="0.2">
      <c r="A375" s="238" t="s">
        <v>1405</v>
      </c>
      <c r="B375" s="629" t="s">
        <v>1985</v>
      </c>
      <c r="C375" s="630" t="s">
        <v>288</v>
      </c>
      <c r="D375" s="630"/>
      <c r="E375" s="661">
        <v>81806</v>
      </c>
    </row>
    <row r="376" spans="1:5" ht="14.25" x14ac:dyDescent="0.2">
      <c r="A376" s="238" t="s">
        <v>1406</v>
      </c>
      <c r="B376" s="629" t="s">
        <v>1987</v>
      </c>
      <c r="C376" s="630" t="s">
        <v>288</v>
      </c>
      <c r="D376" s="630"/>
      <c r="E376" s="661">
        <v>103103</v>
      </c>
    </row>
    <row r="377" spans="1:5" ht="14.25" x14ac:dyDescent="0.2">
      <c r="A377" s="238" t="s">
        <v>1407</v>
      </c>
      <c r="B377" s="629" t="s">
        <v>1988</v>
      </c>
      <c r="C377" s="630" t="s">
        <v>288</v>
      </c>
      <c r="D377" s="630"/>
      <c r="E377" s="661">
        <v>158315</v>
      </c>
    </row>
    <row r="378" spans="1:5" ht="14.25" x14ac:dyDescent="0.2">
      <c r="A378" s="238" t="s">
        <v>1408</v>
      </c>
      <c r="B378" s="629" t="s">
        <v>1989</v>
      </c>
      <c r="C378" s="630" t="s">
        <v>288</v>
      </c>
      <c r="D378" s="630"/>
      <c r="E378" s="661">
        <v>32149</v>
      </c>
    </row>
    <row r="379" spans="1:5" x14ac:dyDescent="0.2">
      <c r="A379" s="222" t="s">
        <v>2784</v>
      </c>
      <c r="B379" s="635" t="s">
        <v>3652</v>
      </c>
      <c r="C379" s="225" t="s">
        <v>405</v>
      </c>
      <c r="D379" s="225"/>
      <c r="E379" s="661">
        <v>51900</v>
      </c>
    </row>
    <row r="380" spans="1:5" ht="14.25" x14ac:dyDescent="0.2">
      <c r="A380" s="238" t="s">
        <v>1409</v>
      </c>
      <c r="B380" s="642" t="s">
        <v>42</v>
      </c>
      <c r="C380" s="623" t="s">
        <v>288</v>
      </c>
      <c r="D380" s="623"/>
      <c r="E380" s="661">
        <v>9416</v>
      </c>
    </row>
    <row r="381" spans="1:5" ht="14.25" x14ac:dyDescent="0.2">
      <c r="A381" s="238" t="s">
        <v>1410</v>
      </c>
      <c r="B381" s="646" t="s">
        <v>634</v>
      </c>
      <c r="C381" s="226" t="s">
        <v>288</v>
      </c>
      <c r="D381" s="226"/>
      <c r="E381" s="661">
        <v>2971</v>
      </c>
    </row>
    <row r="382" spans="1:5" ht="14.25" x14ac:dyDescent="0.2">
      <c r="A382" s="238" t="s">
        <v>1411</v>
      </c>
      <c r="B382" s="646" t="s">
        <v>113</v>
      </c>
      <c r="C382" s="226" t="s">
        <v>288</v>
      </c>
      <c r="D382" s="226"/>
      <c r="E382" s="661">
        <v>2025</v>
      </c>
    </row>
    <row r="383" spans="1:5" ht="14.25" x14ac:dyDescent="0.2">
      <c r="A383" s="222" t="s">
        <v>1882</v>
      </c>
      <c r="B383" s="230" t="s">
        <v>640</v>
      </c>
      <c r="C383" s="623" t="s">
        <v>288</v>
      </c>
      <c r="D383" s="623"/>
      <c r="E383" s="661">
        <v>7727</v>
      </c>
    </row>
    <row r="384" spans="1:5" ht="14.25" x14ac:dyDescent="0.2">
      <c r="A384" s="222" t="s">
        <v>1337</v>
      </c>
      <c r="B384" s="628" t="s">
        <v>3878</v>
      </c>
      <c r="C384" s="630" t="s">
        <v>288</v>
      </c>
      <c r="D384" s="630"/>
      <c r="E384" s="662">
        <f>4602*11.11</f>
        <v>51128.219999999994</v>
      </c>
    </row>
    <row r="385" spans="1:5" ht="14.25" x14ac:dyDescent="0.2">
      <c r="A385" s="238" t="s">
        <v>1336</v>
      </c>
      <c r="B385" s="628" t="s">
        <v>3880</v>
      </c>
      <c r="C385" s="630" t="s">
        <v>288</v>
      </c>
      <c r="D385" s="630"/>
      <c r="E385" s="661">
        <f>23555*4.17</f>
        <v>98224.349999999991</v>
      </c>
    </row>
    <row r="386" spans="1:5" x14ac:dyDescent="0.2">
      <c r="A386" s="238" t="s">
        <v>1717</v>
      </c>
      <c r="B386" s="629" t="s">
        <v>4044</v>
      </c>
      <c r="C386" s="630" t="s">
        <v>406</v>
      </c>
      <c r="D386" s="630"/>
      <c r="E386" s="661">
        <v>5264</v>
      </c>
    </row>
    <row r="387" spans="1:5" x14ac:dyDescent="0.2">
      <c r="A387" s="238" t="s">
        <v>1892</v>
      </c>
      <c r="B387" s="629" t="s">
        <v>2463</v>
      </c>
      <c r="C387" s="630" t="s">
        <v>616</v>
      </c>
      <c r="D387" s="630"/>
      <c r="E387" s="661">
        <f>(47375+11000*1.19)/2</f>
        <v>30232.5</v>
      </c>
    </row>
    <row r="388" spans="1:5" x14ac:dyDescent="0.2">
      <c r="A388" s="222" t="s">
        <v>2658</v>
      </c>
      <c r="B388" s="893" t="s">
        <v>2588</v>
      </c>
      <c r="C388" s="633" t="s">
        <v>411</v>
      </c>
      <c r="D388" s="633"/>
      <c r="E388" s="662">
        <v>750</v>
      </c>
    </row>
    <row r="389" spans="1:5" x14ac:dyDescent="0.2">
      <c r="A389" s="585" t="s">
        <v>1837</v>
      </c>
      <c r="B389" s="900" t="s">
        <v>2900</v>
      </c>
      <c r="C389" s="632" t="s">
        <v>411</v>
      </c>
      <c r="D389" s="632"/>
      <c r="E389" s="661">
        <v>61250</v>
      </c>
    </row>
    <row r="390" spans="1:5" x14ac:dyDescent="0.2">
      <c r="A390" s="238" t="s">
        <v>1748</v>
      </c>
      <c r="B390" s="629" t="s">
        <v>2673</v>
      </c>
      <c r="C390" s="630" t="s">
        <v>406</v>
      </c>
      <c r="D390" s="630"/>
      <c r="E390" s="661">
        <v>10900</v>
      </c>
    </row>
    <row r="391" spans="1:5" x14ac:dyDescent="0.2">
      <c r="A391" s="238" t="s">
        <v>1712</v>
      </c>
      <c r="B391" s="629" t="s">
        <v>2609</v>
      </c>
      <c r="C391" s="630" t="s">
        <v>616</v>
      </c>
      <c r="D391" s="630"/>
      <c r="E391" s="661">
        <f>(14700+9800)/2</f>
        <v>12250</v>
      </c>
    </row>
    <row r="392" spans="1:5" x14ac:dyDescent="0.2">
      <c r="A392" s="238" t="s">
        <v>1789</v>
      </c>
      <c r="B392" s="629" t="s">
        <v>2720</v>
      </c>
      <c r="C392" s="630" t="s">
        <v>411</v>
      </c>
      <c r="D392" s="630"/>
      <c r="E392" s="661">
        <v>59900</v>
      </c>
    </row>
    <row r="393" spans="1:5" x14ac:dyDescent="0.2">
      <c r="A393" s="222" t="s">
        <v>1880</v>
      </c>
      <c r="B393" s="629" t="s">
        <v>2721</v>
      </c>
      <c r="C393" s="630" t="s">
        <v>411</v>
      </c>
      <c r="D393" s="630"/>
      <c r="E393" s="661">
        <v>316900</v>
      </c>
    </row>
    <row r="394" spans="1:5" x14ac:dyDescent="0.2">
      <c r="A394" s="222" t="s">
        <v>1703</v>
      </c>
      <c r="B394" s="637" t="s">
        <v>1960</v>
      </c>
      <c r="C394" s="630" t="s">
        <v>411</v>
      </c>
      <c r="D394" s="630"/>
      <c r="E394" s="661">
        <v>289900</v>
      </c>
    </row>
    <row r="395" spans="1:5" x14ac:dyDescent="0.2">
      <c r="A395" s="222" t="s">
        <v>1704</v>
      </c>
      <c r="B395" s="637" t="s">
        <v>3648</v>
      </c>
      <c r="C395" s="630" t="s">
        <v>411</v>
      </c>
      <c r="D395" s="630"/>
      <c r="E395" s="661">
        <v>354900</v>
      </c>
    </row>
    <row r="396" spans="1:5" x14ac:dyDescent="0.2">
      <c r="A396" s="222" t="s">
        <v>1412</v>
      </c>
      <c r="B396" s="637" t="s">
        <v>132</v>
      </c>
      <c r="C396" s="630" t="s">
        <v>411</v>
      </c>
      <c r="D396" s="630"/>
      <c r="E396" s="661">
        <v>477900</v>
      </c>
    </row>
    <row r="397" spans="1:5" x14ac:dyDescent="0.2">
      <c r="A397" s="222" t="s">
        <v>1775</v>
      </c>
      <c r="B397" s="629" t="s">
        <v>2723</v>
      </c>
      <c r="C397" s="630" t="s">
        <v>411</v>
      </c>
      <c r="D397" s="630"/>
      <c r="E397" s="661">
        <v>415580</v>
      </c>
    </row>
    <row r="398" spans="1:5" x14ac:dyDescent="0.2">
      <c r="A398" s="222" t="s">
        <v>1413</v>
      </c>
      <c r="B398" s="637" t="s">
        <v>1941</v>
      </c>
      <c r="C398" s="630" t="s">
        <v>411</v>
      </c>
      <c r="D398" s="630"/>
      <c r="E398" s="661">
        <v>45300</v>
      </c>
    </row>
    <row r="399" spans="1:5" x14ac:dyDescent="0.2">
      <c r="A399" s="222" t="s">
        <v>1414</v>
      </c>
      <c r="B399" s="637" t="s">
        <v>3849</v>
      </c>
      <c r="C399" s="630" t="s">
        <v>411</v>
      </c>
      <c r="D399" s="630"/>
      <c r="E399" s="661">
        <v>63900</v>
      </c>
    </row>
    <row r="400" spans="1:5" x14ac:dyDescent="0.2">
      <c r="A400" s="586" t="s">
        <v>1415</v>
      </c>
      <c r="B400" s="648" t="s">
        <v>1982</v>
      </c>
      <c r="C400" s="649" t="s">
        <v>411</v>
      </c>
      <c r="D400" s="649"/>
      <c r="E400" s="661">
        <v>521900</v>
      </c>
    </row>
    <row r="401" spans="1:5" x14ac:dyDescent="0.2">
      <c r="A401" s="222" t="s">
        <v>1416</v>
      </c>
      <c r="B401" s="637" t="s">
        <v>1979</v>
      </c>
      <c r="C401" s="630" t="s">
        <v>411</v>
      </c>
      <c r="D401" s="630"/>
      <c r="E401" s="661">
        <v>354900</v>
      </c>
    </row>
    <row r="402" spans="1:5" x14ac:dyDescent="0.2">
      <c r="A402" s="222" t="s">
        <v>1418</v>
      </c>
      <c r="B402" s="650" t="s">
        <v>591</v>
      </c>
      <c r="C402" s="225" t="s">
        <v>405</v>
      </c>
      <c r="D402" s="225"/>
      <c r="E402" s="661">
        <f>31500/6</f>
        <v>5250</v>
      </c>
    </row>
    <row r="403" spans="1:5" x14ac:dyDescent="0.2">
      <c r="A403" s="238" t="s">
        <v>1419</v>
      </c>
      <c r="B403" s="629" t="s">
        <v>2901</v>
      </c>
      <c r="C403" s="630" t="s">
        <v>411</v>
      </c>
      <c r="D403" s="630"/>
      <c r="E403" s="661">
        <f>17000/6*4</f>
        <v>11333.333333333334</v>
      </c>
    </row>
    <row r="404" spans="1:5" x14ac:dyDescent="0.2">
      <c r="A404" s="222" t="s">
        <v>2765</v>
      </c>
      <c r="B404" s="635" t="s">
        <v>3308</v>
      </c>
      <c r="C404" s="225" t="s">
        <v>405</v>
      </c>
      <c r="D404" s="225"/>
      <c r="E404" s="661">
        <v>6708</v>
      </c>
    </row>
    <row r="405" spans="1:5" x14ac:dyDescent="0.2">
      <c r="A405" s="238" t="s">
        <v>1420</v>
      </c>
      <c r="B405" s="629" t="s">
        <v>2674</v>
      </c>
      <c r="C405" s="630" t="s">
        <v>405</v>
      </c>
      <c r="D405" s="630"/>
      <c r="E405" s="661">
        <v>15375</v>
      </c>
    </row>
    <row r="406" spans="1:5" x14ac:dyDescent="0.2">
      <c r="A406" s="585" t="s">
        <v>1832</v>
      </c>
      <c r="B406" s="895" t="s">
        <v>1236</v>
      </c>
      <c r="C406" s="632" t="s">
        <v>411</v>
      </c>
      <c r="D406" s="632"/>
      <c r="E406" s="661">
        <v>1100</v>
      </c>
    </row>
    <row r="407" spans="1:5" x14ac:dyDescent="0.2">
      <c r="A407" s="238" t="s">
        <v>1422</v>
      </c>
      <c r="B407" s="230" t="s">
        <v>290</v>
      </c>
      <c r="C407" s="623" t="s">
        <v>617</v>
      </c>
      <c r="D407" s="623"/>
      <c r="E407" s="661">
        <v>32900</v>
      </c>
    </row>
    <row r="408" spans="1:5" x14ac:dyDescent="0.2">
      <c r="A408" s="222" t="s">
        <v>2902</v>
      </c>
      <c r="B408" s="893" t="s">
        <v>2903</v>
      </c>
      <c r="C408" s="633" t="s">
        <v>411</v>
      </c>
      <c r="D408" s="633"/>
      <c r="E408" s="662">
        <v>382000</v>
      </c>
    </row>
    <row r="409" spans="1:5" x14ac:dyDescent="0.2">
      <c r="A409" s="238" t="s">
        <v>1423</v>
      </c>
      <c r="B409" s="629" t="s">
        <v>234</v>
      </c>
      <c r="C409" s="630" t="s">
        <v>411</v>
      </c>
      <c r="D409" s="630"/>
      <c r="E409" s="661">
        <v>3119000</v>
      </c>
    </row>
    <row r="410" spans="1:5" x14ac:dyDescent="0.2">
      <c r="A410" s="238" t="s">
        <v>1424</v>
      </c>
      <c r="B410" s="629" t="s">
        <v>236</v>
      </c>
      <c r="C410" s="630" t="s">
        <v>411</v>
      </c>
      <c r="D410" s="630"/>
      <c r="E410" s="661">
        <v>2899140</v>
      </c>
    </row>
    <row r="411" spans="1:5" ht="14.25" x14ac:dyDescent="0.2">
      <c r="A411" s="238" t="s">
        <v>1427</v>
      </c>
      <c r="B411" s="642" t="s">
        <v>212</v>
      </c>
      <c r="C411" s="623" t="s">
        <v>288</v>
      </c>
      <c r="D411" s="623"/>
      <c r="E411" s="661">
        <v>9598</v>
      </c>
    </row>
    <row r="412" spans="1:5" x14ac:dyDescent="0.2">
      <c r="A412" s="238" t="s">
        <v>1428</v>
      </c>
      <c r="B412" s="629" t="s">
        <v>2904</v>
      </c>
      <c r="C412" s="630" t="s">
        <v>406</v>
      </c>
      <c r="D412" s="630"/>
      <c r="E412" s="661">
        <v>8598</v>
      </c>
    </row>
    <row r="413" spans="1:5" x14ac:dyDescent="0.2">
      <c r="A413" s="238" t="s">
        <v>1430</v>
      </c>
      <c r="B413" s="629" t="s">
        <v>1884</v>
      </c>
      <c r="C413" s="630" t="s">
        <v>406</v>
      </c>
      <c r="D413" s="630"/>
      <c r="E413" s="661">
        <v>22875</v>
      </c>
    </row>
    <row r="414" spans="1:5" x14ac:dyDescent="0.2">
      <c r="A414" s="238" t="s">
        <v>1429</v>
      </c>
      <c r="B414" s="629" t="s">
        <v>34</v>
      </c>
      <c r="C414" s="630" t="s">
        <v>406</v>
      </c>
      <c r="D414" s="630"/>
      <c r="E414" s="661">
        <v>22945</v>
      </c>
    </row>
    <row r="415" spans="1:5" x14ac:dyDescent="0.2">
      <c r="A415" s="238" t="s">
        <v>1433</v>
      </c>
      <c r="B415" s="629" t="s">
        <v>2675</v>
      </c>
      <c r="C415" s="630" t="s">
        <v>406</v>
      </c>
      <c r="D415" s="630"/>
      <c r="E415" s="661">
        <v>75400</v>
      </c>
    </row>
    <row r="416" spans="1:5" x14ac:dyDescent="0.2">
      <c r="A416" s="222" t="s">
        <v>2905</v>
      </c>
      <c r="B416" s="894" t="s">
        <v>2906</v>
      </c>
      <c r="C416" s="633" t="s">
        <v>411</v>
      </c>
      <c r="D416" s="633"/>
      <c r="E416" s="662">
        <v>13450</v>
      </c>
    </row>
    <row r="417" spans="1:5" x14ac:dyDescent="0.2">
      <c r="A417" s="585" t="s">
        <v>1434</v>
      </c>
      <c r="B417" s="894" t="s">
        <v>3132</v>
      </c>
      <c r="C417" s="633" t="s">
        <v>411</v>
      </c>
      <c r="D417" s="633"/>
      <c r="E417" s="662">
        <v>6500</v>
      </c>
    </row>
    <row r="418" spans="1:5" x14ac:dyDescent="0.2">
      <c r="A418" s="222" t="s">
        <v>2907</v>
      </c>
      <c r="B418" s="894" t="s">
        <v>2908</v>
      </c>
      <c r="C418" s="633" t="s">
        <v>411</v>
      </c>
      <c r="D418" s="633"/>
      <c r="E418" s="662">
        <v>7550</v>
      </c>
    </row>
    <row r="419" spans="1:5" x14ac:dyDescent="0.2">
      <c r="A419" s="585" t="s">
        <v>1856</v>
      </c>
      <c r="B419" s="895" t="s">
        <v>2133</v>
      </c>
      <c r="C419" s="632" t="s">
        <v>411</v>
      </c>
      <c r="D419" s="632"/>
      <c r="E419" s="661">
        <v>7550</v>
      </c>
    </row>
    <row r="420" spans="1:5" x14ac:dyDescent="0.2">
      <c r="A420" s="585" t="s">
        <v>1874</v>
      </c>
      <c r="B420" s="895" t="s">
        <v>2113</v>
      </c>
      <c r="C420" s="632" t="s">
        <v>411</v>
      </c>
      <c r="D420" s="632"/>
      <c r="E420" s="661">
        <v>18000</v>
      </c>
    </row>
    <row r="421" spans="1:5" x14ac:dyDescent="0.2">
      <c r="A421" s="585" t="s">
        <v>1868</v>
      </c>
      <c r="B421" s="906" t="s">
        <v>2119</v>
      </c>
      <c r="C421" s="632" t="s">
        <v>411</v>
      </c>
      <c r="D421" s="632"/>
      <c r="E421" s="661">
        <v>49900</v>
      </c>
    </row>
    <row r="422" spans="1:5" x14ac:dyDescent="0.2">
      <c r="A422" s="585" t="s">
        <v>1866</v>
      </c>
      <c r="B422" s="907" t="s">
        <v>2123</v>
      </c>
      <c r="C422" s="632" t="s">
        <v>411</v>
      </c>
      <c r="D422" s="632"/>
      <c r="E422" s="888">
        <v>32500</v>
      </c>
    </row>
    <row r="423" spans="1:5" x14ac:dyDescent="0.2">
      <c r="A423" s="222" t="s">
        <v>2911</v>
      </c>
      <c r="B423" s="904" t="s">
        <v>2910</v>
      </c>
      <c r="C423" s="633" t="s">
        <v>411</v>
      </c>
      <c r="D423" s="633"/>
      <c r="E423" s="662">
        <v>154000</v>
      </c>
    </row>
    <row r="424" spans="1:5" x14ac:dyDescent="0.2">
      <c r="A424" s="222" t="s">
        <v>2913</v>
      </c>
      <c r="B424" s="904" t="s">
        <v>2912</v>
      </c>
      <c r="C424" s="652" t="s">
        <v>411</v>
      </c>
      <c r="D424" s="634"/>
      <c r="E424" s="891">
        <v>228000</v>
      </c>
    </row>
    <row r="425" spans="1:5" x14ac:dyDescent="0.2">
      <c r="A425" s="222" t="s">
        <v>2909</v>
      </c>
      <c r="B425" s="904" t="s">
        <v>2914</v>
      </c>
      <c r="C425" s="633" t="s">
        <v>411</v>
      </c>
      <c r="D425" s="633"/>
      <c r="E425" s="662">
        <v>228000</v>
      </c>
    </row>
    <row r="426" spans="1:5" x14ac:dyDescent="0.2">
      <c r="A426" s="222" t="s">
        <v>2915</v>
      </c>
      <c r="B426" s="904" t="s">
        <v>2916</v>
      </c>
      <c r="C426" s="633" t="s">
        <v>411</v>
      </c>
      <c r="D426" s="633"/>
      <c r="E426" s="662">
        <v>16700</v>
      </c>
    </row>
    <row r="427" spans="1:5" x14ac:dyDescent="0.2">
      <c r="A427" s="585" t="s">
        <v>1858</v>
      </c>
      <c r="B427" s="907" t="s">
        <v>2132</v>
      </c>
      <c r="C427" s="632" t="s">
        <v>411</v>
      </c>
      <c r="D427" s="632"/>
      <c r="E427" s="661">
        <v>10300</v>
      </c>
    </row>
    <row r="428" spans="1:5" x14ac:dyDescent="0.2">
      <c r="A428" s="222" t="s">
        <v>2917</v>
      </c>
      <c r="B428" s="904" t="s">
        <v>2918</v>
      </c>
      <c r="C428" s="633" t="s">
        <v>411</v>
      </c>
      <c r="D428" s="633"/>
      <c r="E428" s="662">
        <v>22000</v>
      </c>
    </row>
    <row r="429" spans="1:5" x14ac:dyDescent="0.2">
      <c r="A429" s="585" t="s">
        <v>1876</v>
      </c>
      <c r="B429" s="907" t="s">
        <v>2134</v>
      </c>
      <c r="C429" s="632" t="s">
        <v>411</v>
      </c>
      <c r="D429" s="632"/>
      <c r="E429" s="661">
        <v>19294</v>
      </c>
    </row>
    <row r="430" spans="1:5" x14ac:dyDescent="0.2">
      <c r="A430" s="222" t="s">
        <v>2627</v>
      </c>
      <c r="B430" s="629" t="s">
        <v>2626</v>
      </c>
      <c r="C430" s="630" t="s">
        <v>411</v>
      </c>
      <c r="D430" s="630"/>
      <c r="E430" s="661">
        <v>41900</v>
      </c>
    </row>
    <row r="431" spans="1:5" x14ac:dyDescent="0.2">
      <c r="A431" s="222" t="s">
        <v>2630</v>
      </c>
      <c r="B431" s="900" t="s">
        <v>2628</v>
      </c>
      <c r="C431" s="630" t="s">
        <v>411</v>
      </c>
      <c r="D431" s="630"/>
      <c r="E431" s="661">
        <v>28700</v>
      </c>
    </row>
    <row r="432" spans="1:5" x14ac:dyDescent="0.2">
      <c r="A432" s="222" t="s">
        <v>2919</v>
      </c>
      <c r="B432" s="894" t="s">
        <v>2920</v>
      </c>
      <c r="C432" s="633" t="s">
        <v>411</v>
      </c>
      <c r="D432" s="633"/>
      <c r="E432" s="662">
        <v>32500</v>
      </c>
    </row>
    <row r="433" spans="1:5" ht="51" x14ac:dyDescent="0.2">
      <c r="A433" s="238" t="s">
        <v>1899</v>
      </c>
      <c r="B433" s="629" t="s">
        <v>3135</v>
      </c>
      <c r="C433" s="630" t="s">
        <v>411</v>
      </c>
      <c r="D433" s="630"/>
      <c r="E433" s="661">
        <v>5908887</v>
      </c>
    </row>
    <row r="434" spans="1:5" x14ac:dyDescent="0.2">
      <c r="A434" s="222" t="s">
        <v>3707</v>
      </c>
      <c r="B434" s="635" t="s">
        <v>3712</v>
      </c>
      <c r="C434" s="225" t="s">
        <v>411</v>
      </c>
      <c r="D434" s="225"/>
      <c r="E434" s="661">
        <v>16000</v>
      </c>
    </row>
    <row r="435" spans="1:5" x14ac:dyDescent="0.2">
      <c r="A435" s="222" t="s">
        <v>3708</v>
      </c>
      <c r="B435" s="635" t="s">
        <v>3713</v>
      </c>
      <c r="C435" s="225" t="s">
        <v>411</v>
      </c>
      <c r="D435" s="225"/>
      <c r="E435" s="661">
        <v>149900</v>
      </c>
    </row>
    <row r="436" spans="1:5" x14ac:dyDescent="0.2">
      <c r="A436" s="222" t="s">
        <v>3709</v>
      </c>
      <c r="B436" s="635" t="s">
        <v>3714</v>
      </c>
      <c r="C436" s="225" t="s">
        <v>411</v>
      </c>
      <c r="D436" s="225"/>
      <c r="E436" s="661">
        <v>395800</v>
      </c>
    </row>
    <row r="437" spans="1:5" x14ac:dyDescent="0.2">
      <c r="A437" s="238" t="s">
        <v>1436</v>
      </c>
      <c r="B437" s="629" t="s">
        <v>214</v>
      </c>
      <c r="C437" s="630" t="s">
        <v>411</v>
      </c>
      <c r="D437" s="630"/>
      <c r="E437" s="661">
        <v>5909250</v>
      </c>
    </row>
    <row r="438" spans="1:5" x14ac:dyDescent="0.2">
      <c r="A438" s="238" t="s">
        <v>1437</v>
      </c>
      <c r="B438" s="629" t="s">
        <v>213</v>
      </c>
      <c r="C438" s="630" t="s">
        <v>411</v>
      </c>
      <c r="D438" s="630"/>
      <c r="E438" s="661">
        <v>2963525</v>
      </c>
    </row>
    <row r="439" spans="1:5" x14ac:dyDescent="0.2">
      <c r="A439" s="238" t="s">
        <v>1510</v>
      </c>
      <c r="B439" s="629" t="s">
        <v>2921</v>
      </c>
      <c r="C439" s="630" t="s">
        <v>411</v>
      </c>
      <c r="D439" s="630"/>
      <c r="E439" s="661">
        <v>1297500</v>
      </c>
    </row>
    <row r="440" spans="1:5" x14ac:dyDescent="0.2">
      <c r="A440" s="239" t="s">
        <v>1438</v>
      </c>
      <c r="B440" s="642" t="s">
        <v>1992</v>
      </c>
      <c r="C440" s="623" t="s">
        <v>411</v>
      </c>
      <c r="D440" s="623"/>
      <c r="E440" s="661">
        <v>298900</v>
      </c>
    </row>
    <row r="441" spans="1:5" x14ac:dyDescent="0.2">
      <c r="A441" s="239" t="s">
        <v>1439</v>
      </c>
      <c r="B441" s="642" t="s">
        <v>1995</v>
      </c>
      <c r="C441" s="623" t="s">
        <v>411</v>
      </c>
      <c r="D441" s="623"/>
      <c r="E441" s="661">
        <v>366900</v>
      </c>
    </row>
    <row r="442" spans="1:5" x14ac:dyDescent="0.2">
      <c r="A442" s="238" t="s">
        <v>1440</v>
      </c>
      <c r="B442" s="638" t="s">
        <v>2610</v>
      </c>
      <c r="C442" s="630" t="s">
        <v>411</v>
      </c>
      <c r="D442" s="630"/>
      <c r="E442" s="661">
        <v>2203950</v>
      </c>
    </row>
    <row r="443" spans="1:5" x14ac:dyDescent="0.2">
      <c r="A443" s="238" t="s">
        <v>1441</v>
      </c>
      <c r="B443" s="629" t="s">
        <v>2724</v>
      </c>
      <c r="C443" s="630" t="s">
        <v>411</v>
      </c>
      <c r="D443" s="630"/>
      <c r="E443" s="661">
        <v>1800</v>
      </c>
    </row>
    <row r="444" spans="1:5" x14ac:dyDescent="0.2">
      <c r="A444" s="238" t="s">
        <v>1442</v>
      </c>
      <c r="B444" s="629" t="s">
        <v>176</v>
      </c>
      <c r="C444" s="630" t="s">
        <v>411</v>
      </c>
      <c r="D444" s="630"/>
      <c r="E444" s="661">
        <v>1900</v>
      </c>
    </row>
    <row r="445" spans="1:5" x14ac:dyDescent="0.2">
      <c r="A445" s="239" t="s">
        <v>1756</v>
      </c>
      <c r="B445" s="642" t="s">
        <v>163</v>
      </c>
      <c r="C445" s="623" t="s">
        <v>411</v>
      </c>
      <c r="D445" s="623"/>
      <c r="E445" s="661">
        <v>1600</v>
      </c>
    </row>
    <row r="446" spans="1:5" x14ac:dyDescent="0.2">
      <c r="A446" s="239" t="s">
        <v>1443</v>
      </c>
      <c r="B446" s="642" t="s">
        <v>665</v>
      </c>
      <c r="C446" s="623" t="s">
        <v>411</v>
      </c>
      <c r="D446" s="623"/>
      <c r="E446" s="661">
        <v>800</v>
      </c>
    </row>
    <row r="447" spans="1:5" ht="14.25" x14ac:dyDescent="0.2">
      <c r="A447" s="239" t="s">
        <v>1758</v>
      </c>
      <c r="B447" s="642" t="s">
        <v>3348</v>
      </c>
      <c r="C447" s="623" t="s">
        <v>288</v>
      </c>
      <c r="D447" s="623"/>
      <c r="E447" s="661">
        <v>9648</v>
      </c>
    </row>
    <row r="448" spans="1:5" ht="14.25" x14ac:dyDescent="0.2">
      <c r="A448" s="222" t="s">
        <v>1445</v>
      </c>
      <c r="B448" s="637" t="s">
        <v>2611</v>
      </c>
      <c r="C448" s="623" t="s">
        <v>288</v>
      </c>
      <c r="D448" s="623"/>
      <c r="E448" s="661">
        <v>32718</v>
      </c>
    </row>
    <row r="449" spans="1:5" ht="14.25" x14ac:dyDescent="0.2">
      <c r="A449" s="222" t="s">
        <v>1446</v>
      </c>
      <c r="B449" s="637" t="s">
        <v>2922</v>
      </c>
      <c r="C449" s="623" t="s">
        <v>288</v>
      </c>
      <c r="D449" s="623"/>
      <c r="E449" s="661">
        <v>26268</v>
      </c>
    </row>
    <row r="450" spans="1:5" ht="14.25" x14ac:dyDescent="0.2">
      <c r="A450" s="238" t="s">
        <v>1777</v>
      </c>
      <c r="B450" s="629" t="s">
        <v>1969</v>
      </c>
      <c r="C450" s="630" t="s">
        <v>288</v>
      </c>
      <c r="D450" s="630"/>
      <c r="E450" s="661">
        <v>244900</v>
      </c>
    </row>
    <row r="451" spans="1:5" ht="14.25" x14ac:dyDescent="0.2">
      <c r="A451" s="222" t="s">
        <v>1785</v>
      </c>
      <c r="B451" s="637" t="s">
        <v>33</v>
      </c>
      <c r="C451" s="225" t="s">
        <v>288</v>
      </c>
      <c r="D451" s="225"/>
      <c r="E451" s="661">
        <v>15318</v>
      </c>
    </row>
    <row r="452" spans="1:5" x14ac:dyDescent="0.2">
      <c r="A452" s="583" t="s">
        <v>1767</v>
      </c>
      <c r="B452" s="646" t="s">
        <v>3882</v>
      </c>
      <c r="C452" s="226" t="s">
        <v>411</v>
      </c>
      <c r="D452" s="226"/>
      <c r="E452" s="661">
        <v>75200</v>
      </c>
    </row>
    <row r="453" spans="1:5" ht="14.25" x14ac:dyDescent="0.2">
      <c r="A453" s="583" t="s">
        <v>1847</v>
      </c>
      <c r="B453" s="651" t="s">
        <v>3696</v>
      </c>
      <c r="C453" s="630" t="s">
        <v>288</v>
      </c>
      <c r="D453" s="630"/>
      <c r="E453" s="661">
        <v>20800</v>
      </c>
    </row>
    <row r="454" spans="1:5" ht="14.25" x14ac:dyDescent="0.2">
      <c r="A454" s="239" t="s">
        <v>1448</v>
      </c>
      <c r="B454" s="642" t="s">
        <v>3717</v>
      </c>
      <c r="C454" s="225" t="s">
        <v>288</v>
      </c>
      <c r="D454" s="225"/>
      <c r="E454" s="661">
        <f>37168+32000</f>
        <v>69168</v>
      </c>
    </row>
    <row r="455" spans="1:5" ht="14.25" x14ac:dyDescent="0.2">
      <c r="A455" s="239" t="s">
        <v>1769</v>
      </c>
      <c r="B455" s="642" t="s">
        <v>1768</v>
      </c>
      <c r="C455" s="623" t="s">
        <v>288</v>
      </c>
      <c r="D455" s="623"/>
      <c r="E455" s="661">
        <v>48443</v>
      </c>
    </row>
    <row r="456" spans="1:5" x14ac:dyDescent="0.2">
      <c r="A456" s="222" t="s">
        <v>2923</v>
      </c>
      <c r="B456" s="894" t="s">
        <v>2924</v>
      </c>
      <c r="C456" s="633" t="s">
        <v>411</v>
      </c>
      <c r="D456" s="633"/>
      <c r="E456" s="662">
        <v>392000</v>
      </c>
    </row>
    <row r="457" spans="1:5" x14ac:dyDescent="0.2">
      <c r="A457" s="222" t="s">
        <v>2925</v>
      </c>
      <c r="B457" s="893" t="s">
        <v>2926</v>
      </c>
      <c r="C457" s="633" t="s">
        <v>411</v>
      </c>
      <c r="D457" s="633"/>
      <c r="E457" s="662">
        <v>123400</v>
      </c>
    </row>
    <row r="458" spans="1:5" x14ac:dyDescent="0.2">
      <c r="A458" s="222" t="s">
        <v>2927</v>
      </c>
      <c r="B458" s="893" t="s">
        <v>2928</v>
      </c>
      <c r="C458" s="633" t="s">
        <v>411</v>
      </c>
      <c r="D458" s="633"/>
      <c r="E458" s="662">
        <v>1235000</v>
      </c>
    </row>
    <row r="459" spans="1:5" x14ac:dyDescent="0.2">
      <c r="A459" s="222" t="s">
        <v>2929</v>
      </c>
      <c r="B459" s="893" t="s">
        <v>2930</v>
      </c>
      <c r="C459" s="633" t="s">
        <v>411</v>
      </c>
      <c r="D459" s="633"/>
      <c r="E459" s="662">
        <v>99900</v>
      </c>
    </row>
    <row r="460" spans="1:5" x14ac:dyDescent="0.2">
      <c r="A460" s="222" t="s">
        <v>2931</v>
      </c>
      <c r="B460" s="893" t="s">
        <v>2932</v>
      </c>
      <c r="C460" s="633" t="s">
        <v>411</v>
      </c>
      <c r="D460" s="633"/>
      <c r="E460" s="662">
        <v>16900</v>
      </c>
    </row>
    <row r="461" spans="1:5" x14ac:dyDescent="0.2">
      <c r="A461" s="222" t="s">
        <v>2933</v>
      </c>
      <c r="B461" s="893" t="s">
        <v>2934</v>
      </c>
      <c r="C461" s="633" t="s">
        <v>411</v>
      </c>
      <c r="D461" s="633"/>
      <c r="E461" s="662">
        <v>32900</v>
      </c>
    </row>
    <row r="462" spans="1:5" x14ac:dyDescent="0.2">
      <c r="A462" s="222" t="s">
        <v>2935</v>
      </c>
      <c r="B462" s="893" t="s">
        <v>2936</v>
      </c>
      <c r="C462" s="633" t="s">
        <v>411</v>
      </c>
      <c r="D462" s="633"/>
      <c r="E462" s="662">
        <v>66999</v>
      </c>
    </row>
    <row r="463" spans="1:5" x14ac:dyDescent="0.2">
      <c r="A463" s="585" t="s">
        <v>1846</v>
      </c>
      <c r="B463" s="903" t="s">
        <v>2725</v>
      </c>
      <c r="C463" s="632" t="s">
        <v>411</v>
      </c>
      <c r="D463" s="632"/>
      <c r="E463" s="661">
        <v>119900</v>
      </c>
    </row>
    <row r="464" spans="1:5" x14ac:dyDescent="0.2">
      <c r="A464" s="222" t="s">
        <v>2937</v>
      </c>
      <c r="B464" s="893" t="s">
        <v>2938</v>
      </c>
      <c r="C464" s="633" t="s">
        <v>411</v>
      </c>
      <c r="D464" s="633"/>
      <c r="E464" s="662">
        <v>112100</v>
      </c>
    </row>
    <row r="465" spans="1:5" ht="25.5" x14ac:dyDescent="0.2">
      <c r="A465" s="222" t="s">
        <v>2677</v>
      </c>
      <c r="B465" s="903" t="s">
        <v>2726</v>
      </c>
      <c r="C465" s="632" t="s">
        <v>411</v>
      </c>
      <c r="D465" s="632"/>
      <c r="E465" s="661">
        <v>84000</v>
      </c>
    </row>
    <row r="466" spans="1:5" x14ac:dyDescent="0.2">
      <c r="A466" s="222" t="s">
        <v>2939</v>
      </c>
      <c r="B466" s="893" t="s">
        <v>2940</v>
      </c>
      <c r="C466" s="633" t="s">
        <v>411</v>
      </c>
      <c r="D466" s="633"/>
      <c r="E466" s="663">
        <v>1728000</v>
      </c>
    </row>
    <row r="467" spans="1:5" x14ac:dyDescent="0.2">
      <c r="A467" s="222" t="s">
        <v>2941</v>
      </c>
      <c r="B467" s="893" t="s">
        <v>2942</v>
      </c>
      <c r="C467" s="633" t="s">
        <v>411</v>
      </c>
      <c r="D467" s="633"/>
      <c r="E467" s="663">
        <v>2135000</v>
      </c>
    </row>
    <row r="468" spans="1:5" x14ac:dyDescent="0.2">
      <c r="A468" s="222" t="s">
        <v>2943</v>
      </c>
      <c r="B468" s="893" t="s">
        <v>2944</v>
      </c>
      <c r="C468" s="633" t="s">
        <v>411</v>
      </c>
      <c r="D468" s="633"/>
      <c r="E468" s="663">
        <v>2015000</v>
      </c>
    </row>
    <row r="469" spans="1:5" x14ac:dyDescent="0.2">
      <c r="A469" s="222" t="s">
        <v>2945</v>
      </c>
      <c r="B469" s="893" t="s">
        <v>2946</v>
      </c>
      <c r="C469" s="633" t="s">
        <v>411</v>
      </c>
      <c r="D469" s="633"/>
      <c r="E469" s="663">
        <v>2345000</v>
      </c>
    </row>
    <row r="470" spans="1:5" x14ac:dyDescent="0.2">
      <c r="A470" s="222" t="s">
        <v>2947</v>
      </c>
      <c r="B470" s="893" t="s">
        <v>2948</v>
      </c>
      <c r="C470" s="633" t="s">
        <v>411</v>
      </c>
      <c r="D470" s="633"/>
      <c r="E470" s="663">
        <v>572000</v>
      </c>
    </row>
    <row r="471" spans="1:5" x14ac:dyDescent="0.2">
      <c r="A471" s="222" t="s">
        <v>2949</v>
      </c>
      <c r="B471" s="893" t="s">
        <v>2950</v>
      </c>
      <c r="C471" s="633" t="s">
        <v>411</v>
      </c>
      <c r="D471" s="633"/>
      <c r="E471" s="663">
        <v>776000</v>
      </c>
    </row>
    <row r="472" spans="1:5" x14ac:dyDescent="0.2">
      <c r="A472" s="222" t="s">
        <v>2951</v>
      </c>
      <c r="B472" s="893" t="s">
        <v>2952</v>
      </c>
      <c r="C472" s="633" t="s">
        <v>411</v>
      </c>
      <c r="D472" s="633"/>
      <c r="E472" s="663">
        <v>1354400</v>
      </c>
    </row>
    <row r="473" spans="1:5" x14ac:dyDescent="0.2">
      <c r="A473" s="238" t="s">
        <v>1774</v>
      </c>
      <c r="B473" s="629" t="s">
        <v>1961</v>
      </c>
      <c r="C473" s="630" t="s">
        <v>411</v>
      </c>
      <c r="D473" s="630"/>
      <c r="E473" s="661">
        <v>199900</v>
      </c>
    </row>
    <row r="474" spans="1:5" ht="25.5" x14ac:dyDescent="0.2">
      <c r="A474" s="238" t="s">
        <v>1451</v>
      </c>
      <c r="B474" s="629" t="s">
        <v>3139</v>
      </c>
      <c r="C474" s="630" t="s">
        <v>411</v>
      </c>
      <c r="D474" s="630"/>
      <c r="E474" s="661">
        <v>327900</v>
      </c>
    </row>
    <row r="475" spans="1:5" x14ac:dyDescent="0.2">
      <c r="A475" s="238" t="s">
        <v>1452</v>
      </c>
      <c r="B475" s="629" t="s">
        <v>3843</v>
      </c>
      <c r="C475" s="630" t="s">
        <v>411</v>
      </c>
      <c r="D475" s="630"/>
      <c r="E475" s="661">
        <v>83900</v>
      </c>
    </row>
    <row r="476" spans="1:5" x14ac:dyDescent="0.2">
      <c r="A476" s="222" t="s">
        <v>1453</v>
      </c>
      <c r="B476" s="642" t="s">
        <v>3844</v>
      </c>
      <c r="C476" s="630" t="s">
        <v>411</v>
      </c>
      <c r="D476" s="630"/>
      <c r="E476" s="661">
        <f>83900+58900</f>
        <v>142800</v>
      </c>
    </row>
    <row r="477" spans="1:5" x14ac:dyDescent="0.2">
      <c r="A477" s="238" t="s">
        <v>1454</v>
      </c>
      <c r="B477" s="629" t="s">
        <v>3845</v>
      </c>
      <c r="C477" s="630" t="s">
        <v>411</v>
      </c>
      <c r="D477" s="630"/>
      <c r="E477" s="661">
        <v>132900</v>
      </c>
    </row>
    <row r="478" spans="1:5" x14ac:dyDescent="0.2">
      <c r="A478" s="238" t="s">
        <v>1455</v>
      </c>
      <c r="B478" s="629" t="s">
        <v>2728</v>
      </c>
      <c r="C478" s="630" t="s">
        <v>411</v>
      </c>
      <c r="D478" s="630"/>
      <c r="E478" s="661">
        <v>139900</v>
      </c>
    </row>
    <row r="479" spans="1:5" x14ac:dyDescent="0.2">
      <c r="A479" s="238" t="s">
        <v>1456</v>
      </c>
      <c r="B479" s="629" t="s">
        <v>3846</v>
      </c>
      <c r="C479" s="630" t="s">
        <v>411</v>
      </c>
      <c r="D479" s="630"/>
      <c r="E479" s="661">
        <v>87900</v>
      </c>
    </row>
    <row r="480" spans="1:5" x14ac:dyDescent="0.2">
      <c r="A480" s="238" t="s">
        <v>1457</v>
      </c>
      <c r="B480" s="629" t="s">
        <v>3847</v>
      </c>
      <c r="C480" s="630" t="s">
        <v>411</v>
      </c>
      <c r="D480" s="630"/>
      <c r="E480" s="661">
        <v>224900</v>
      </c>
    </row>
    <row r="481" spans="1:5" x14ac:dyDescent="0.2">
      <c r="A481" s="222" t="s">
        <v>1458</v>
      </c>
      <c r="B481" s="629" t="s">
        <v>3848</v>
      </c>
      <c r="C481" s="630" t="s">
        <v>411</v>
      </c>
      <c r="D481" s="630"/>
      <c r="E481" s="661">
        <v>104900</v>
      </c>
    </row>
    <row r="482" spans="1:5" x14ac:dyDescent="0.2">
      <c r="A482" s="222" t="s">
        <v>1459</v>
      </c>
      <c r="B482" s="637" t="s">
        <v>0</v>
      </c>
      <c r="C482" s="225" t="s">
        <v>411</v>
      </c>
      <c r="D482" s="225"/>
      <c r="E482" s="661">
        <v>1700</v>
      </c>
    </row>
    <row r="483" spans="1:5" x14ac:dyDescent="0.2">
      <c r="A483" s="222" t="s">
        <v>1460</v>
      </c>
      <c r="B483" s="230" t="s">
        <v>652</v>
      </c>
      <c r="C483" s="623" t="s">
        <v>411</v>
      </c>
      <c r="D483" s="623"/>
      <c r="E483" s="661">
        <v>25900</v>
      </c>
    </row>
    <row r="484" spans="1:5" x14ac:dyDescent="0.2">
      <c r="A484" s="238" t="s">
        <v>1461</v>
      </c>
      <c r="B484" s="629" t="s">
        <v>96</v>
      </c>
      <c r="C484" s="630" t="s">
        <v>405</v>
      </c>
      <c r="D484" s="630"/>
      <c r="E484" s="661">
        <v>30500</v>
      </c>
    </row>
    <row r="485" spans="1:5" x14ac:dyDescent="0.2">
      <c r="A485" s="222" t="s">
        <v>2616</v>
      </c>
      <c r="B485" s="629" t="s">
        <v>2617</v>
      </c>
      <c r="C485" s="630" t="s">
        <v>97</v>
      </c>
      <c r="D485" s="630"/>
      <c r="E485" s="661">
        <v>44</v>
      </c>
    </row>
    <row r="486" spans="1:5" x14ac:dyDescent="0.2">
      <c r="A486" s="238" t="s">
        <v>1462</v>
      </c>
      <c r="B486" s="629" t="s">
        <v>2953</v>
      </c>
      <c r="C486" s="630" t="s">
        <v>411</v>
      </c>
      <c r="D486" s="630"/>
      <c r="E486" s="661">
        <v>46900</v>
      </c>
    </row>
    <row r="487" spans="1:5" x14ac:dyDescent="0.2">
      <c r="A487" s="238" t="s">
        <v>2548</v>
      </c>
      <c r="B487" s="629" t="s">
        <v>1090</v>
      </c>
      <c r="C487" s="630" t="s">
        <v>617</v>
      </c>
      <c r="D487" s="630"/>
      <c r="E487" s="661">
        <v>5500</v>
      </c>
    </row>
    <row r="488" spans="1:5" x14ac:dyDescent="0.2">
      <c r="A488" s="222" t="s">
        <v>1577</v>
      </c>
      <c r="B488" s="635" t="s">
        <v>3150</v>
      </c>
      <c r="C488" s="225" t="s">
        <v>405</v>
      </c>
      <c r="D488" s="225"/>
      <c r="E488" s="661">
        <v>3000</v>
      </c>
    </row>
    <row r="489" spans="1:5" x14ac:dyDescent="0.2">
      <c r="A489" s="238" t="s">
        <v>1463</v>
      </c>
      <c r="B489" s="629" t="s">
        <v>593</v>
      </c>
      <c r="C489" s="630" t="s">
        <v>405</v>
      </c>
      <c r="D489" s="630"/>
      <c r="E489" s="661">
        <v>4704</v>
      </c>
    </row>
    <row r="490" spans="1:5" x14ac:dyDescent="0.2">
      <c r="A490" s="238" t="s">
        <v>1466</v>
      </c>
      <c r="B490" s="629" t="s">
        <v>3841</v>
      </c>
      <c r="C490" s="630" t="s">
        <v>411</v>
      </c>
      <c r="D490" s="630"/>
      <c r="E490" s="661">
        <v>79900</v>
      </c>
    </row>
    <row r="491" spans="1:5" x14ac:dyDescent="0.2">
      <c r="A491" s="238" t="s">
        <v>1464</v>
      </c>
      <c r="B491" s="629" t="s">
        <v>2954</v>
      </c>
      <c r="C491" s="630" t="s">
        <v>411</v>
      </c>
      <c r="D491" s="630"/>
      <c r="E491" s="661">
        <v>285369</v>
      </c>
    </row>
    <row r="492" spans="1:5" x14ac:dyDescent="0.2">
      <c r="A492" s="238" t="s">
        <v>1465</v>
      </c>
      <c r="B492" s="629" t="s">
        <v>3842</v>
      </c>
      <c r="C492" s="630" t="s">
        <v>411</v>
      </c>
      <c r="D492" s="630"/>
      <c r="E492" s="661">
        <v>109900</v>
      </c>
    </row>
    <row r="493" spans="1:5" x14ac:dyDescent="0.2">
      <c r="A493" s="238" t="s">
        <v>1467</v>
      </c>
      <c r="B493" s="629" t="s">
        <v>239</v>
      </c>
      <c r="C493" s="630" t="s">
        <v>411</v>
      </c>
      <c r="D493" s="630"/>
      <c r="E493" s="661">
        <v>460649</v>
      </c>
    </row>
    <row r="494" spans="1:5" x14ac:dyDescent="0.2">
      <c r="A494" s="238" t="s">
        <v>1468</v>
      </c>
      <c r="B494" s="629" t="s">
        <v>230</v>
      </c>
      <c r="C494" s="630" t="s">
        <v>411</v>
      </c>
      <c r="D494" s="630"/>
      <c r="E494" s="661">
        <v>111372</v>
      </c>
    </row>
    <row r="495" spans="1:5" x14ac:dyDescent="0.2">
      <c r="A495" s="238" t="s">
        <v>1469</v>
      </c>
      <c r="B495" s="629" t="s">
        <v>2955</v>
      </c>
      <c r="C495" s="630" t="s">
        <v>411</v>
      </c>
      <c r="D495" s="630"/>
      <c r="E495" s="661">
        <v>34900</v>
      </c>
    </row>
    <row r="496" spans="1:5" x14ac:dyDescent="0.2">
      <c r="A496" s="238" t="s">
        <v>1470</v>
      </c>
      <c r="B496" s="629" t="s">
        <v>2956</v>
      </c>
      <c r="C496" s="630" t="s">
        <v>411</v>
      </c>
      <c r="D496" s="630"/>
      <c r="E496" s="661">
        <v>14960</v>
      </c>
    </row>
    <row r="497" spans="1:5" x14ac:dyDescent="0.2">
      <c r="A497" s="238" t="s">
        <v>1265</v>
      </c>
      <c r="B497" s="629" t="s">
        <v>3715</v>
      </c>
      <c r="C497" s="630" t="s">
        <v>411</v>
      </c>
      <c r="D497" s="630"/>
      <c r="E497" s="661">
        <v>11900</v>
      </c>
    </row>
    <row r="498" spans="1:5" ht="14.25" x14ac:dyDescent="0.2">
      <c r="A498" s="222" t="s">
        <v>1471</v>
      </c>
      <c r="B498" s="653" t="s">
        <v>3716</v>
      </c>
      <c r="C498" s="630" t="s">
        <v>288</v>
      </c>
      <c r="D498" s="630"/>
      <c r="E498" s="661">
        <v>78901</v>
      </c>
    </row>
    <row r="499" spans="1:5" x14ac:dyDescent="0.2">
      <c r="A499" s="222" t="s">
        <v>2957</v>
      </c>
      <c r="B499" s="894" t="s">
        <v>2958</v>
      </c>
      <c r="C499" s="633" t="s">
        <v>411</v>
      </c>
      <c r="D499" s="633"/>
      <c r="E499" s="889">
        <v>2780000</v>
      </c>
    </row>
    <row r="500" spans="1:5" ht="25.5" x14ac:dyDescent="0.2">
      <c r="A500" s="222" t="s">
        <v>2959</v>
      </c>
      <c r="B500" s="894" t="s">
        <v>2960</v>
      </c>
      <c r="C500" s="633" t="s">
        <v>411</v>
      </c>
      <c r="D500" s="633"/>
      <c r="E500" s="662">
        <v>398700</v>
      </c>
    </row>
    <row r="501" spans="1:5" x14ac:dyDescent="0.2">
      <c r="A501" s="222" t="s">
        <v>1472</v>
      </c>
      <c r="B501" s="230" t="s">
        <v>2961</v>
      </c>
      <c r="C501" s="623" t="s">
        <v>411</v>
      </c>
      <c r="D501" s="623"/>
      <c r="E501" s="661">
        <v>24900</v>
      </c>
    </row>
    <row r="502" spans="1:5" ht="14.25" x14ac:dyDescent="0.2">
      <c r="A502" s="238" t="s">
        <v>1473</v>
      </c>
      <c r="B502" s="629" t="s">
        <v>2729</v>
      </c>
      <c r="C502" s="630" t="s">
        <v>288</v>
      </c>
      <c r="D502" s="630"/>
      <c r="E502" s="661">
        <v>5100</v>
      </c>
    </row>
    <row r="503" spans="1:5" ht="14.25" x14ac:dyDescent="0.2">
      <c r="A503" s="238" t="s">
        <v>1474</v>
      </c>
      <c r="B503" s="629" t="s">
        <v>673</v>
      </c>
      <c r="C503" s="630" t="s">
        <v>288</v>
      </c>
      <c r="D503" s="630"/>
      <c r="E503" s="661">
        <v>2276</v>
      </c>
    </row>
    <row r="504" spans="1:5" ht="14.25" x14ac:dyDescent="0.2">
      <c r="A504" s="238" t="s">
        <v>1762</v>
      </c>
      <c r="B504" s="795" t="s">
        <v>3902</v>
      </c>
      <c r="C504" s="225" t="s">
        <v>406</v>
      </c>
      <c r="D504" s="733"/>
      <c r="E504" s="661">
        <f>276318/42.2</f>
        <v>6547.8199052132695</v>
      </c>
    </row>
    <row r="505" spans="1:5" ht="14.25" x14ac:dyDescent="0.2">
      <c r="A505" s="238" t="s">
        <v>1476</v>
      </c>
      <c r="B505" s="731" t="s">
        <v>3794</v>
      </c>
      <c r="C505" s="630" t="s">
        <v>288</v>
      </c>
      <c r="D505" s="630"/>
      <c r="E505" s="661">
        <v>13864</v>
      </c>
    </row>
    <row r="506" spans="1:5" ht="27" x14ac:dyDescent="0.2">
      <c r="A506" s="238" t="s">
        <v>1478</v>
      </c>
      <c r="B506" s="629" t="s">
        <v>3697</v>
      </c>
      <c r="C506" s="630" t="s">
        <v>288</v>
      </c>
      <c r="D506" s="630"/>
      <c r="E506" s="661">
        <v>17717</v>
      </c>
    </row>
    <row r="507" spans="1:5" x14ac:dyDescent="0.2">
      <c r="A507" s="238" t="s">
        <v>1477</v>
      </c>
      <c r="B507" s="646" t="s">
        <v>3856</v>
      </c>
      <c r="C507" s="226" t="s">
        <v>411</v>
      </c>
      <c r="D507" s="226"/>
      <c r="E507" s="661">
        <v>72483</v>
      </c>
    </row>
    <row r="508" spans="1:5" x14ac:dyDescent="0.2">
      <c r="A508" s="239" t="s">
        <v>1480</v>
      </c>
      <c r="B508" s="642" t="s">
        <v>3857</v>
      </c>
      <c r="C508" s="623" t="s">
        <v>411</v>
      </c>
      <c r="D508" s="623"/>
      <c r="E508" s="661">
        <v>17900</v>
      </c>
    </row>
    <row r="509" spans="1:5" ht="14.25" x14ac:dyDescent="0.2">
      <c r="A509" s="238" t="s">
        <v>1481</v>
      </c>
      <c r="B509" s="629" t="s">
        <v>1962</v>
      </c>
      <c r="C509" s="630" t="s">
        <v>288</v>
      </c>
      <c r="D509" s="630"/>
      <c r="E509" s="661">
        <v>12990</v>
      </c>
    </row>
    <row r="510" spans="1:5" x14ac:dyDescent="0.2">
      <c r="A510" s="222" t="s">
        <v>3976</v>
      </c>
      <c r="B510" s="584" t="s">
        <v>4030</v>
      </c>
      <c r="C510" s="222" t="s">
        <v>585</v>
      </c>
      <c r="D510" s="222"/>
      <c r="E510" s="661">
        <v>35000</v>
      </c>
    </row>
    <row r="511" spans="1:5" x14ac:dyDescent="0.2">
      <c r="A511" s="585" t="s">
        <v>3993</v>
      </c>
      <c r="B511" s="894" t="s">
        <v>4140</v>
      </c>
      <c r="C511" s="633" t="s">
        <v>411</v>
      </c>
      <c r="D511" s="632"/>
      <c r="E511" s="661">
        <v>6000</v>
      </c>
    </row>
    <row r="512" spans="1:5" x14ac:dyDescent="0.2">
      <c r="A512" s="805" t="s">
        <v>4046</v>
      </c>
      <c r="B512" s="894" t="s">
        <v>4141</v>
      </c>
      <c r="C512" s="633" t="s">
        <v>411</v>
      </c>
      <c r="D512" s="632"/>
      <c r="E512" s="661">
        <v>500</v>
      </c>
    </row>
    <row r="513" spans="1:5" x14ac:dyDescent="0.2">
      <c r="A513" s="222" t="s">
        <v>1482</v>
      </c>
      <c r="B513" s="629" t="s">
        <v>366</v>
      </c>
      <c r="C513" s="225" t="s">
        <v>411</v>
      </c>
      <c r="D513" s="225"/>
      <c r="E513" s="661">
        <v>81503.760000000009</v>
      </c>
    </row>
    <row r="514" spans="1:5" x14ac:dyDescent="0.2">
      <c r="A514" s="222" t="s">
        <v>1483</v>
      </c>
      <c r="B514" s="629" t="s">
        <v>363</v>
      </c>
      <c r="C514" s="225" t="s">
        <v>411</v>
      </c>
      <c r="D514" s="225"/>
      <c r="E514" s="661">
        <v>91457.142000000007</v>
      </c>
    </row>
    <row r="515" spans="1:5" x14ac:dyDescent="0.2">
      <c r="A515" s="238" t="s">
        <v>1484</v>
      </c>
      <c r="B515" s="629" t="s">
        <v>365</v>
      </c>
      <c r="C515" s="225" t="s">
        <v>411</v>
      </c>
      <c r="D515" s="225"/>
      <c r="E515" s="661">
        <v>105189.882</v>
      </c>
    </row>
    <row r="516" spans="1:5" x14ac:dyDescent="0.2">
      <c r="A516" s="238" t="s">
        <v>1485</v>
      </c>
      <c r="B516" s="629" t="s">
        <v>4034</v>
      </c>
      <c r="C516" s="225" t="s">
        <v>411</v>
      </c>
      <c r="D516" s="225"/>
      <c r="E516" s="661">
        <v>121122.144</v>
      </c>
    </row>
    <row r="517" spans="1:5" x14ac:dyDescent="0.2">
      <c r="A517" s="222" t="s">
        <v>1486</v>
      </c>
      <c r="B517" s="629" t="s">
        <v>364</v>
      </c>
      <c r="C517" s="630" t="s">
        <v>411</v>
      </c>
      <c r="D517" s="630"/>
      <c r="E517" s="661">
        <v>242000</v>
      </c>
    </row>
    <row r="518" spans="1:5" x14ac:dyDescent="0.2">
      <c r="A518" s="222" t="s">
        <v>2764</v>
      </c>
      <c r="B518" s="635" t="s">
        <v>3306</v>
      </c>
      <c r="C518" s="225" t="s">
        <v>2402</v>
      </c>
      <c r="D518" s="225"/>
      <c r="E518" s="661">
        <v>11900</v>
      </c>
    </row>
    <row r="519" spans="1:5" x14ac:dyDescent="0.2">
      <c r="A519" s="222" t="s">
        <v>2962</v>
      </c>
      <c r="B519" s="893" t="s">
        <v>2678</v>
      </c>
      <c r="C519" s="633" t="s">
        <v>411</v>
      </c>
      <c r="D519" s="633"/>
      <c r="E519" s="662">
        <v>3500</v>
      </c>
    </row>
    <row r="520" spans="1:5" x14ac:dyDescent="0.2">
      <c r="A520" s="222" t="s">
        <v>1488</v>
      </c>
      <c r="B520" s="637" t="s">
        <v>105</v>
      </c>
      <c r="C520" s="225" t="s">
        <v>642</v>
      </c>
      <c r="D520" s="225"/>
      <c r="E520" s="661">
        <v>20900</v>
      </c>
    </row>
    <row r="521" spans="1:5" ht="14.25" x14ac:dyDescent="0.2">
      <c r="A521" s="238" t="s">
        <v>1492</v>
      </c>
      <c r="B521" s="642" t="s">
        <v>3727</v>
      </c>
      <c r="C521" s="623" t="s">
        <v>285</v>
      </c>
      <c r="D521" s="623"/>
      <c r="E521" s="661">
        <v>115000</v>
      </c>
    </row>
    <row r="522" spans="1:5" ht="14.25" x14ac:dyDescent="0.2">
      <c r="A522" s="222" t="s">
        <v>1891</v>
      </c>
      <c r="B522" s="629" t="s">
        <v>601</v>
      </c>
      <c r="C522" s="630" t="s">
        <v>285</v>
      </c>
      <c r="D522" s="630"/>
      <c r="E522" s="661">
        <v>37368</v>
      </c>
    </row>
    <row r="523" spans="1:5" ht="14.25" x14ac:dyDescent="0.2">
      <c r="A523" s="222" t="s">
        <v>1490</v>
      </c>
      <c r="B523" s="642" t="s">
        <v>1906</v>
      </c>
      <c r="C523" s="623" t="s">
        <v>285</v>
      </c>
      <c r="D523" s="623"/>
      <c r="E523" s="661">
        <f>(113159+123463)/2</f>
        <v>118311</v>
      </c>
    </row>
    <row r="524" spans="1:5" ht="14.25" x14ac:dyDescent="0.2">
      <c r="A524" s="238" t="s">
        <v>1491</v>
      </c>
      <c r="B524" s="629" t="s">
        <v>348</v>
      </c>
      <c r="C524" s="630" t="s">
        <v>285</v>
      </c>
      <c r="D524" s="630"/>
      <c r="E524" s="661">
        <v>24990</v>
      </c>
    </row>
    <row r="525" spans="1:5" ht="14.25" x14ac:dyDescent="0.2">
      <c r="A525" s="238" t="s">
        <v>1493</v>
      </c>
      <c r="B525" s="629" t="s">
        <v>629</v>
      </c>
      <c r="C525" s="630" t="s">
        <v>285</v>
      </c>
      <c r="D525" s="630"/>
      <c r="E525" s="661">
        <f>(64403+73500)/2</f>
        <v>68951.5</v>
      </c>
    </row>
    <row r="526" spans="1:5" x14ac:dyDescent="0.2">
      <c r="A526" s="805" t="s">
        <v>3992</v>
      </c>
      <c r="B526" s="634" t="s">
        <v>4045</v>
      </c>
      <c r="C526" s="633" t="s">
        <v>411</v>
      </c>
      <c r="D526" s="632"/>
      <c r="E526" s="661">
        <v>3000</v>
      </c>
    </row>
    <row r="527" spans="1:5" x14ac:dyDescent="0.2">
      <c r="A527" s="805" t="s">
        <v>3990</v>
      </c>
      <c r="B527" s="894" t="s">
        <v>4138</v>
      </c>
      <c r="C527" s="633" t="s">
        <v>411</v>
      </c>
      <c r="D527" s="632"/>
      <c r="E527" s="661">
        <v>3000</v>
      </c>
    </row>
    <row r="528" spans="1:5" x14ac:dyDescent="0.2">
      <c r="A528" s="222" t="s">
        <v>2769</v>
      </c>
      <c r="B528" s="223" t="s">
        <v>3492</v>
      </c>
      <c r="C528" s="225" t="s">
        <v>405</v>
      </c>
      <c r="D528" s="225"/>
      <c r="E528" s="661">
        <f>60859/3.05</f>
        <v>19953.77049180328</v>
      </c>
    </row>
    <row r="529" spans="1:5" x14ac:dyDescent="0.2">
      <c r="A529" s="222" t="s">
        <v>2770</v>
      </c>
      <c r="B529" s="223" t="s">
        <v>3493</v>
      </c>
      <c r="C529" s="225" t="s">
        <v>405</v>
      </c>
      <c r="D529" s="225"/>
      <c r="E529" s="661">
        <f>1383900/20/3</f>
        <v>23065</v>
      </c>
    </row>
    <row r="530" spans="1:5" x14ac:dyDescent="0.2">
      <c r="A530" s="238" t="s">
        <v>1495</v>
      </c>
      <c r="B530" s="629" t="s">
        <v>2963</v>
      </c>
      <c r="C530" s="630" t="s">
        <v>411</v>
      </c>
      <c r="D530" s="630"/>
      <c r="E530" s="661">
        <v>138126</v>
      </c>
    </row>
    <row r="531" spans="1:5" x14ac:dyDescent="0.2">
      <c r="A531" s="238" t="s">
        <v>1494</v>
      </c>
      <c r="B531" s="629" t="s">
        <v>497</v>
      </c>
      <c r="C531" s="630" t="s">
        <v>411</v>
      </c>
      <c r="D531" s="630"/>
      <c r="E531" s="661">
        <v>556900</v>
      </c>
    </row>
    <row r="532" spans="1:5" x14ac:dyDescent="0.2">
      <c r="A532" s="238" t="s">
        <v>1806</v>
      </c>
      <c r="B532" s="629" t="s">
        <v>499</v>
      </c>
      <c r="C532" s="630" t="s">
        <v>411</v>
      </c>
      <c r="D532" s="630"/>
      <c r="E532" s="661">
        <v>314900</v>
      </c>
    </row>
    <row r="533" spans="1:5" ht="25.5" x14ac:dyDescent="0.2">
      <c r="A533" s="222" t="s">
        <v>2679</v>
      </c>
      <c r="B533" s="896" t="s">
        <v>2680</v>
      </c>
      <c r="C533" s="641" t="s">
        <v>411</v>
      </c>
      <c r="D533" s="641"/>
      <c r="E533" s="661">
        <v>260000</v>
      </c>
    </row>
    <row r="534" spans="1:5" x14ac:dyDescent="0.2">
      <c r="A534" s="222" t="s">
        <v>2964</v>
      </c>
      <c r="B534" s="893" t="s">
        <v>2965</v>
      </c>
      <c r="C534" s="633" t="s">
        <v>411</v>
      </c>
      <c r="D534" s="633"/>
      <c r="E534" s="662">
        <v>389600</v>
      </c>
    </row>
    <row r="535" spans="1:5" x14ac:dyDescent="0.2">
      <c r="A535" s="222" t="s">
        <v>2966</v>
      </c>
      <c r="B535" s="894" t="s">
        <v>2967</v>
      </c>
      <c r="C535" s="633" t="s">
        <v>411</v>
      </c>
      <c r="D535" s="633"/>
      <c r="E535" s="662">
        <v>1675000</v>
      </c>
    </row>
    <row r="536" spans="1:5" ht="14.25" x14ac:dyDescent="0.2">
      <c r="A536" s="238" t="s">
        <v>1496</v>
      </c>
      <c r="B536" s="646" t="s">
        <v>3726</v>
      </c>
      <c r="C536" s="623" t="s">
        <v>285</v>
      </c>
      <c r="D536" s="623"/>
      <c r="E536" s="661">
        <f>(865466+849008)/2</f>
        <v>857237</v>
      </c>
    </row>
    <row r="537" spans="1:5" x14ac:dyDescent="0.2">
      <c r="A537" s="222" t="s">
        <v>1497</v>
      </c>
      <c r="B537" s="640" t="s">
        <v>2730</v>
      </c>
      <c r="C537" s="630" t="s">
        <v>411</v>
      </c>
      <c r="D537" s="630"/>
      <c r="E537" s="661">
        <v>80900</v>
      </c>
    </row>
    <row r="538" spans="1:5" x14ac:dyDescent="0.2">
      <c r="A538" s="238" t="s">
        <v>1719</v>
      </c>
      <c r="B538" s="642" t="s">
        <v>699</v>
      </c>
      <c r="C538" s="623" t="s">
        <v>406</v>
      </c>
      <c r="D538" s="623"/>
      <c r="E538" s="661">
        <f>274000/25</f>
        <v>10960</v>
      </c>
    </row>
    <row r="539" spans="1:5" x14ac:dyDescent="0.2">
      <c r="A539" s="222" t="s">
        <v>1706</v>
      </c>
      <c r="B539" s="637" t="s">
        <v>121</v>
      </c>
      <c r="C539" s="630" t="s">
        <v>406</v>
      </c>
      <c r="D539" s="630"/>
      <c r="E539" s="661">
        <v>4290</v>
      </c>
    </row>
    <row r="540" spans="1:5" x14ac:dyDescent="0.2">
      <c r="A540" s="238" t="s">
        <v>1730</v>
      </c>
      <c r="B540" s="640" t="s">
        <v>3698</v>
      </c>
      <c r="C540" s="630" t="s">
        <v>405</v>
      </c>
      <c r="D540" s="630"/>
      <c r="E540" s="661">
        <v>349900</v>
      </c>
    </row>
    <row r="541" spans="1:5" x14ac:dyDescent="0.2">
      <c r="A541" s="222" t="s">
        <v>2785</v>
      </c>
      <c r="B541" s="635" t="s">
        <v>3653</v>
      </c>
      <c r="C541" s="225" t="s">
        <v>406</v>
      </c>
      <c r="D541" s="225"/>
      <c r="E541" s="661">
        <f>(18900+4000+20000)/3</f>
        <v>14300</v>
      </c>
    </row>
    <row r="542" spans="1:5" x14ac:dyDescent="0.2">
      <c r="A542" s="222" t="s">
        <v>2968</v>
      </c>
      <c r="B542" s="893" t="s">
        <v>2969</v>
      </c>
      <c r="C542" s="633" t="s">
        <v>411</v>
      </c>
      <c r="D542" s="633"/>
      <c r="E542" s="662">
        <v>370200</v>
      </c>
    </row>
    <row r="543" spans="1:5" x14ac:dyDescent="0.2">
      <c r="A543" s="238" t="s">
        <v>1752</v>
      </c>
      <c r="B543" s="629" t="s">
        <v>362</v>
      </c>
      <c r="C543" s="630" t="s">
        <v>411</v>
      </c>
      <c r="D543" s="630"/>
      <c r="E543" s="661">
        <v>131900</v>
      </c>
    </row>
    <row r="544" spans="1:5" x14ac:dyDescent="0.2">
      <c r="A544" s="238" t="s">
        <v>1723</v>
      </c>
      <c r="B544" s="629" t="s">
        <v>2970</v>
      </c>
      <c r="C544" s="630" t="s">
        <v>411</v>
      </c>
      <c r="D544" s="630"/>
      <c r="E544" s="661">
        <v>122900</v>
      </c>
    </row>
    <row r="545" spans="1:5" x14ac:dyDescent="0.2">
      <c r="A545" s="238" t="s">
        <v>1710</v>
      </c>
      <c r="B545" s="629" t="s">
        <v>367</v>
      </c>
      <c r="C545" s="225" t="s">
        <v>411</v>
      </c>
      <c r="D545" s="225"/>
      <c r="E545" s="661">
        <v>171685.2</v>
      </c>
    </row>
    <row r="546" spans="1:5" x14ac:dyDescent="0.2">
      <c r="A546" s="238" t="s">
        <v>1714</v>
      </c>
      <c r="B546" s="629" t="s">
        <v>194</v>
      </c>
      <c r="C546" s="630" t="s">
        <v>411</v>
      </c>
      <c r="D546" s="630"/>
      <c r="E546" s="661">
        <v>188397</v>
      </c>
    </row>
    <row r="547" spans="1:5" x14ac:dyDescent="0.2">
      <c r="A547" s="238" t="s">
        <v>1709</v>
      </c>
      <c r="B547" s="629" t="s">
        <v>4035</v>
      </c>
      <c r="C547" s="225" t="s">
        <v>411</v>
      </c>
      <c r="D547" s="225"/>
      <c r="E547" s="661">
        <v>213828</v>
      </c>
    </row>
    <row r="548" spans="1:5" x14ac:dyDescent="0.2">
      <c r="A548" s="238" t="s">
        <v>1716</v>
      </c>
      <c r="B548" s="629" t="s">
        <v>3884</v>
      </c>
      <c r="C548" s="630" t="s">
        <v>411</v>
      </c>
      <c r="D548" s="630"/>
      <c r="E548" s="661">
        <v>1547</v>
      </c>
    </row>
    <row r="549" spans="1:5" x14ac:dyDescent="0.2">
      <c r="A549" s="222" t="s">
        <v>1501</v>
      </c>
      <c r="B549" s="645" t="s">
        <v>3858</v>
      </c>
      <c r="C549" s="225" t="s">
        <v>411</v>
      </c>
      <c r="D549" s="225"/>
      <c r="E549" s="661">
        <v>4522</v>
      </c>
    </row>
    <row r="550" spans="1:5" x14ac:dyDescent="0.2">
      <c r="A550" s="222" t="s">
        <v>1502</v>
      </c>
      <c r="B550" s="637" t="s">
        <v>3859</v>
      </c>
      <c r="C550" s="225" t="s">
        <v>411</v>
      </c>
      <c r="D550" s="225"/>
      <c r="E550" s="661">
        <v>6545</v>
      </c>
    </row>
    <row r="551" spans="1:5" x14ac:dyDescent="0.2">
      <c r="A551" s="222" t="s">
        <v>1737</v>
      </c>
      <c r="B551" s="637" t="s">
        <v>3860</v>
      </c>
      <c r="C551" s="225" t="s">
        <v>411</v>
      </c>
      <c r="D551" s="225"/>
      <c r="E551" s="661">
        <v>3094</v>
      </c>
    </row>
    <row r="552" spans="1:5" x14ac:dyDescent="0.2">
      <c r="A552" s="222" t="s">
        <v>1734</v>
      </c>
      <c r="B552" s="637" t="s">
        <v>3861</v>
      </c>
      <c r="C552" s="225" t="s">
        <v>411</v>
      </c>
      <c r="D552" s="225"/>
      <c r="E552" s="661">
        <v>11305</v>
      </c>
    </row>
    <row r="553" spans="1:5" x14ac:dyDescent="0.2">
      <c r="A553" s="222" t="s">
        <v>1708</v>
      </c>
      <c r="B553" s="637" t="s">
        <v>3862</v>
      </c>
      <c r="C553" s="225" t="s">
        <v>411</v>
      </c>
      <c r="D553" s="225"/>
      <c r="E553" s="661">
        <v>36771</v>
      </c>
    </row>
    <row r="554" spans="1:5" x14ac:dyDescent="0.2">
      <c r="A554" s="222" t="s">
        <v>1736</v>
      </c>
      <c r="B554" s="637" t="s">
        <v>3863</v>
      </c>
      <c r="C554" s="225" t="s">
        <v>411</v>
      </c>
      <c r="D554" s="225"/>
      <c r="E554" s="661">
        <v>2142</v>
      </c>
    </row>
    <row r="555" spans="1:5" x14ac:dyDescent="0.2">
      <c r="A555" s="222" t="s">
        <v>1503</v>
      </c>
      <c r="B555" s="637" t="s">
        <v>103</v>
      </c>
      <c r="C555" s="225" t="s">
        <v>411</v>
      </c>
      <c r="D555" s="225"/>
      <c r="E555" s="661">
        <v>10606</v>
      </c>
    </row>
    <row r="556" spans="1:5" x14ac:dyDescent="0.2">
      <c r="A556" s="238" t="s">
        <v>1376</v>
      </c>
      <c r="B556" s="893" t="s">
        <v>4020</v>
      </c>
      <c r="C556" s="633" t="s">
        <v>411</v>
      </c>
      <c r="D556" s="633"/>
      <c r="E556" s="662">
        <v>226100</v>
      </c>
    </row>
    <row r="557" spans="1:5" x14ac:dyDescent="0.2">
      <c r="A557" s="222" t="s">
        <v>1504</v>
      </c>
      <c r="B557" s="640" t="s">
        <v>3864</v>
      </c>
      <c r="C557" s="630" t="s">
        <v>411</v>
      </c>
      <c r="D557" s="630"/>
      <c r="E557" s="661">
        <v>1172900</v>
      </c>
    </row>
    <row r="558" spans="1:5" x14ac:dyDescent="0.2">
      <c r="A558" s="238" t="s">
        <v>1505</v>
      </c>
      <c r="B558" s="640" t="s">
        <v>2732</v>
      </c>
      <c r="C558" s="630" t="s">
        <v>411</v>
      </c>
      <c r="D558" s="630"/>
      <c r="E558" s="661">
        <v>477900</v>
      </c>
    </row>
    <row r="559" spans="1:5" x14ac:dyDescent="0.2">
      <c r="A559" s="238" t="s">
        <v>1506</v>
      </c>
      <c r="B559" s="640" t="s">
        <v>2733</v>
      </c>
      <c r="C559" s="630" t="s">
        <v>411</v>
      </c>
      <c r="D559" s="630"/>
      <c r="E559" s="661">
        <v>582900</v>
      </c>
    </row>
    <row r="560" spans="1:5" x14ac:dyDescent="0.2">
      <c r="A560" s="225" t="s">
        <v>2782</v>
      </c>
      <c r="B560" s="637" t="s">
        <v>3646</v>
      </c>
      <c r="C560" s="225" t="s">
        <v>411</v>
      </c>
      <c r="D560" s="225"/>
      <c r="E560" s="661">
        <v>198900</v>
      </c>
    </row>
    <row r="561" spans="1:5" x14ac:dyDescent="0.2">
      <c r="A561" s="225" t="s">
        <v>2781</v>
      </c>
      <c r="B561" s="637" t="s">
        <v>3645</v>
      </c>
      <c r="C561" s="225" t="s">
        <v>411</v>
      </c>
      <c r="D561" s="225"/>
      <c r="E561" s="661">
        <v>392249</v>
      </c>
    </row>
    <row r="562" spans="1:5" ht="25.5" x14ac:dyDescent="0.2">
      <c r="A562" s="222" t="s">
        <v>2971</v>
      </c>
      <c r="B562" s="894" t="s">
        <v>2972</v>
      </c>
      <c r="C562" s="633" t="s">
        <v>411</v>
      </c>
      <c r="D562" s="633"/>
      <c r="E562" s="662">
        <v>600000</v>
      </c>
    </row>
    <row r="563" spans="1:5" ht="14.25" x14ac:dyDescent="0.2">
      <c r="A563" s="222" t="s">
        <v>2740</v>
      </c>
      <c r="B563" s="640" t="s">
        <v>4010</v>
      </c>
      <c r="C563" s="641" t="s">
        <v>1920</v>
      </c>
      <c r="D563" s="641"/>
      <c r="E563" s="661">
        <f>120000/7</f>
        <v>17142.857142857141</v>
      </c>
    </row>
    <row r="564" spans="1:5" x14ac:dyDescent="0.2">
      <c r="A564" s="238" t="s">
        <v>1507</v>
      </c>
      <c r="B564" s="640" t="s">
        <v>2734</v>
      </c>
      <c r="C564" s="623" t="s">
        <v>411</v>
      </c>
      <c r="D564" s="623"/>
      <c r="E564" s="661">
        <v>76900</v>
      </c>
    </row>
    <row r="565" spans="1:5" x14ac:dyDescent="0.2">
      <c r="A565" s="238" t="s">
        <v>1508</v>
      </c>
      <c r="B565" s="230" t="s">
        <v>690</v>
      </c>
      <c r="C565" s="623" t="s">
        <v>411</v>
      </c>
      <c r="D565" s="623"/>
      <c r="E565" s="661">
        <f>(55000+42000+69020)/3</f>
        <v>55340</v>
      </c>
    </row>
    <row r="566" spans="1:5" x14ac:dyDescent="0.2">
      <c r="A566" s="238" t="s">
        <v>1509</v>
      </c>
      <c r="B566" s="640" t="s">
        <v>3886</v>
      </c>
      <c r="C566" s="630" t="s">
        <v>256</v>
      </c>
      <c r="D566" s="630"/>
      <c r="E566" s="661">
        <v>144900</v>
      </c>
    </row>
    <row r="567" spans="1:5" x14ac:dyDescent="0.2">
      <c r="A567" s="238" t="s">
        <v>1722</v>
      </c>
      <c r="B567" s="230" t="s">
        <v>654</v>
      </c>
      <c r="C567" s="623" t="s">
        <v>168</v>
      </c>
      <c r="D567" s="623"/>
      <c r="E567" s="661">
        <f>ROUND(60834*1.052,0)</f>
        <v>63997</v>
      </c>
    </row>
    <row r="568" spans="1:5" ht="25.5" x14ac:dyDescent="0.2">
      <c r="A568" s="238" t="s">
        <v>1670</v>
      </c>
      <c r="B568" s="640" t="s">
        <v>3665</v>
      </c>
      <c r="C568" s="623" t="s">
        <v>411</v>
      </c>
      <c r="D568" s="623"/>
      <c r="E568" s="661">
        <v>169900</v>
      </c>
    </row>
    <row r="569" spans="1:5" x14ac:dyDescent="0.2">
      <c r="A569" s="222" t="s">
        <v>1735</v>
      </c>
      <c r="B569" s="637" t="s">
        <v>2973</v>
      </c>
      <c r="C569" s="225" t="s">
        <v>411</v>
      </c>
      <c r="D569" s="225"/>
      <c r="E569" s="661">
        <f>ROUND((6503+7800+6250)/3,0)</f>
        <v>6851</v>
      </c>
    </row>
    <row r="570" spans="1:5" x14ac:dyDescent="0.2">
      <c r="A570" s="222" t="s">
        <v>2659</v>
      </c>
      <c r="B570" s="893" t="s">
        <v>2589</v>
      </c>
      <c r="C570" s="633" t="s">
        <v>411</v>
      </c>
      <c r="D570" s="633"/>
      <c r="E570" s="662">
        <f>ROUND((97200+124000+115420)/3,0)</f>
        <v>112207</v>
      </c>
    </row>
    <row r="571" spans="1:5" x14ac:dyDescent="0.2">
      <c r="A571" s="239" t="s">
        <v>1715</v>
      </c>
      <c r="B571" s="640" t="s">
        <v>3699</v>
      </c>
      <c r="C571" s="623" t="s">
        <v>411</v>
      </c>
      <c r="D571" s="623"/>
      <c r="E571" s="661">
        <v>30000</v>
      </c>
    </row>
    <row r="572" spans="1:5" ht="38.25" x14ac:dyDescent="0.2">
      <c r="A572" s="238" t="s">
        <v>1511</v>
      </c>
      <c r="B572" s="638" t="s">
        <v>2974</v>
      </c>
      <c r="C572" s="630" t="s">
        <v>411</v>
      </c>
      <c r="D572" s="630"/>
      <c r="E572" s="661">
        <v>6711450</v>
      </c>
    </row>
    <row r="573" spans="1:5" ht="25.5" x14ac:dyDescent="0.2">
      <c r="A573" s="222" t="s">
        <v>3969</v>
      </c>
      <c r="B573" s="653" t="s">
        <v>3970</v>
      </c>
      <c r="C573" s="222" t="s">
        <v>411</v>
      </c>
      <c r="D573" s="222"/>
      <c r="E573" s="661">
        <v>345900</v>
      </c>
    </row>
    <row r="574" spans="1:5" x14ac:dyDescent="0.2">
      <c r="A574" s="222" t="s">
        <v>2975</v>
      </c>
      <c r="B574" s="893" t="s">
        <v>2976</v>
      </c>
      <c r="C574" s="633" t="s">
        <v>411</v>
      </c>
      <c r="D574" s="633"/>
      <c r="E574" s="663">
        <f>ROUND(33000+41900+11100*1,19)/3</f>
        <v>28666.666666666668</v>
      </c>
    </row>
    <row r="575" spans="1:5" x14ac:dyDescent="0.2">
      <c r="A575" s="222" t="s">
        <v>1901</v>
      </c>
      <c r="B575" s="629" t="s">
        <v>1889</v>
      </c>
      <c r="C575" s="641" t="s">
        <v>406</v>
      </c>
      <c r="D575" s="641"/>
      <c r="E575" s="661">
        <f>229*1000</f>
        <v>229000</v>
      </c>
    </row>
    <row r="576" spans="1:5" ht="14.25" x14ac:dyDescent="0.2">
      <c r="A576" s="238" t="s">
        <v>1695</v>
      </c>
      <c r="B576" s="629" t="s">
        <v>3900</v>
      </c>
      <c r="C576" s="225" t="s">
        <v>288</v>
      </c>
      <c r="D576" s="630"/>
      <c r="E576" s="661">
        <f>(135000/3+114000/(1.52*5))/2</f>
        <v>30000</v>
      </c>
    </row>
    <row r="577" spans="1:5" x14ac:dyDescent="0.2">
      <c r="A577" s="222" t="s">
        <v>2632</v>
      </c>
      <c r="B577" s="629" t="s">
        <v>2735</v>
      </c>
      <c r="C577" s="630" t="s">
        <v>411</v>
      </c>
      <c r="D577" s="630"/>
      <c r="E577" s="661">
        <v>25200</v>
      </c>
    </row>
    <row r="578" spans="1:5" x14ac:dyDescent="0.2">
      <c r="A578" s="585" t="s">
        <v>1826</v>
      </c>
      <c r="B578" s="896" t="s">
        <v>1237</v>
      </c>
      <c r="C578" s="641" t="s">
        <v>411</v>
      </c>
      <c r="D578" s="641"/>
      <c r="E578" s="661">
        <f>(8600+11681+8500)/3</f>
        <v>9593.6666666666661</v>
      </c>
    </row>
    <row r="579" spans="1:5" x14ac:dyDescent="0.2">
      <c r="A579" s="583" t="s">
        <v>1517</v>
      </c>
      <c r="B579" s="646" t="s">
        <v>22</v>
      </c>
      <c r="C579" s="654" t="s">
        <v>411</v>
      </c>
      <c r="D579" s="654"/>
      <c r="E579" s="661">
        <v>14500</v>
      </c>
    </row>
    <row r="580" spans="1:5" x14ac:dyDescent="0.2">
      <c r="A580" s="583" t="s">
        <v>1512</v>
      </c>
      <c r="B580" s="646" t="s">
        <v>19</v>
      </c>
      <c r="C580" s="226" t="s">
        <v>411</v>
      </c>
      <c r="D580" s="226"/>
      <c r="E580" s="661">
        <v>14500</v>
      </c>
    </row>
    <row r="581" spans="1:5" x14ac:dyDescent="0.2">
      <c r="A581" s="583" t="s">
        <v>1513</v>
      </c>
      <c r="B581" s="646" t="s">
        <v>21</v>
      </c>
      <c r="C581" s="226" t="s">
        <v>411</v>
      </c>
      <c r="D581" s="226"/>
      <c r="E581" s="661">
        <v>20594</v>
      </c>
    </row>
    <row r="582" spans="1:5" x14ac:dyDescent="0.2">
      <c r="A582" s="583" t="s">
        <v>1514</v>
      </c>
      <c r="B582" s="646" t="s">
        <v>23</v>
      </c>
      <c r="C582" s="226" t="s">
        <v>411</v>
      </c>
      <c r="D582" s="226"/>
      <c r="E582" s="661">
        <v>21606</v>
      </c>
    </row>
    <row r="583" spans="1:5" x14ac:dyDescent="0.2">
      <c r="A583" s="583" t="s">
        <v>1515</v>
      </c>
      <c r="B583" s="646" t="s">
        <v>17</v>
      </c>
      <c r="C583" s="654" t="s">
        <v>411</v>
      </c>
      <c r="D583" s="654"/>
      <c r="E583" s="661">
        <f>2500*6</f>
        <v>15000</v>
      </c>
    </row>
    <row r="584" spans="1:5" x14ac:dyDescent="0.2">
      <c r="A584" s="583" t="s">
        <v>1516</v>
      </c>
      <c r="B584" s="646" t="s">
        <v>18</v>
      </c>
      <c r="C584" s="226" t="s">
        <v>411</v>
      </c>
      <c r="D584" s="226"/>
      <c r="E584" s="661">
        <v>14000</v>
      </c>
    </row>
    <row r="585" spans="1:5" x14ac:dyDescent="0.2">
      <c r="A585" s="222" t="s">
        <v>1795</v>
      </c>
      <c r="B585" s="897" t="s">
        <v>3172</v>
      </c>
      <c r="C585" s="225" t="s">
        <v>3173</v>
      </c>
      <c r="D585" s="225"/>
      <c r="E585" s="661">
        <v>91722</v>
      </c>
    </row>
    <row r="586" spans="1:5" x14ac:dyDescent="0.2">
      <c r="A586" s="239" t="s">
        <v>1519</v>
      </c>
      <c r="B586" s="642" t="s">
        <v>2977</v>
      </c>
      <c r="C586" s="623" t="s">
        <v>405</v>
      </c>
      <c r="D586" s="623"/>
      <c r="E586" s="661">
        <v>24721</v>
      </c>
    </row>
    <row r="587" spans="1:5" x14ac:dyDescent="0.2">
      <c r="A587" s="238" t="s">
        <v>1520</v>
      </c>
      <c r="B587" s="642" t="s">
        <v>653</v>
      </c>
      <c r="C587" s="623" t="s">
        <v>411</v>
      </c>
      <c r="D587" s="623"/>
      <c r="E587" s="661">
        <v>84900</v>
      </c>
    </row>
    <row r="588" spans="1:5" ht="14.25" x14ac:dyDescent="0.2">
      <c r="A588" s="238" t="s">
        <v>1521</v>
      </c>
      <c r="B588" s="629" t="s">
        <v>1963</v>
      </c>
      <c r="C588" s="630" t="s">
        <v>285</v>
      </c>
      <c r="D588" s="630"/>
      <c r="E588" s="661">
        <v>77345</v>
      </c>
    </row>
    <row r="589" spans="1:5" x14ac:dyDescent="0.2">
      <c r="A589" s="585" t="s">
        <v>1820</v>
      </c>
      <c r="B589" s="896" t="s">
        <v>1240</v>
      </c>
      <c r="C589" s="641" t="s">
        <v>411</v>
      </c>
      <c r="D589" s="641"/>
      <c r="E589" s="661">
        <v>67900</v>
      </c>
    </row>
    <row r="590" spans="1:5" x14ac:dyDescent="0.2">
      <c r="A590" s="238" t="s">
        <v>1522</v>
      </c>
      <c r="B590" s="642" t="s">
        <v>1944</v>
      </c>
      <c r="C590" s="623" t="s">
        <v>642</v>
      </c>
      <c r="D590" s="623"/>
      <c r="E590" s="661">
        <v>156900</v>
      </c>
    </row>
    <row r="591" spans="1:5" x14ac:dyDescent="0.2">
      <c r="A591" s="585" t="s">
        <v>1833</v>
      </c>
      <c r="B591" s="631" t="s">
        <v>3950</v>
      </c>
      <c r="C591" s="632" t="s">
        <v>642</v>
      </c>
      <c r="D591" s="632"/>
      <c r="E591" s="661">
        <v>107900</v>
      </c>
    </row>
    <row r="592" spans="1:5" ht="38.25" x14ac:dyDescent="0.2">
      <c r="A592" s="238" t="s">
        <v>1702</v>
      </c>
      <c r="B592" s="629" t="s">
        <v>3933</v>
      </c>
      <c r="C592" s="630" t="s">
        <v>642</v>
      </c>
      <c r="D592" s="630"/>
      <c r="E592" s="661">
        <v>106000</v>
      </c>
    </row>
    <row r="593" spans="1:5" x14ac:dyDescent="0.2">
      <c r="A593" s="222" t="s">
        <v>2767</v>
      </c>
      <c r="B593" s="635" t="s">
        <v>3580</v>
      </c>
      <c r="C593" s="225" t="s">
        <v>642</v>
      </c>
      <c r="D593" s="225"/>
      <c r="E593" s="661">
        <v>214900</v>
      </c>
    </row>
    <row r="594" spans="1:5" x14ac:dyDescent="0.2">
      <c r="A594" s="238" t="s">
        <v>1523</v>
      </c>
      <c r="B594" s="629" t="s">
        <v>643</v>
      </c>
      <c r="C594" s="630" t="s">
        <v>642</v>
      </c>
      <c r="D594" s="630"/>
      <c r="E594" s="661">
        <v>108900</v>
      </c>
    </row>
    <row r="595" spans="1:5" x14ac:dyDescent="0.2">
      <c r="A595" s="238" t="s">
        <v>1524</v>
      </c>
      <c r="B595" s="629" t="s">
        <v>43</v>
      </c>
      <c r="C595" s="630" t="s">
        <v>406</v>
      </c>
      <c r="D595" s="630"/>
      <c r="E595" s="661">
        <f>63.3*1000</f>
        <v>63300</v>
      </c>
    </row>
    <row r="596" spans="1:5" x14ac:dyDescent="0.2">
      <c r="A596" s="238" t="s">
        <v>1525</v>
      </c>
      <c r="B596" s="629" t="s">
        <v>3941</v>
      </c>
      <c r="C596" s="630" t="s">
        <v>642</v>
      </c>
      <c r="D596" s="630"/>
      <c r="E596" s="661">
        <v>98800</v>
      </c>
    </row>
    <row r="597" spans="1:5" ht="25.5" x14ac:dyDescent="0.2">
      <c r="A597" s="238" t="s">
        <v>1526</v>
      </c>
      <c r="B597" s="629" t="s">
        <v>3940</v>
      </c>
      <c r="C597" s="630" t="s">
        <v>406</v>
      </c>
      <c r="D597" s="630"/>
      <c r="E597" s="661">
        <v>35994</v>
      </c>
    </row>
    <row r="598" spans="1:5" x14ac:dyDescent="0.2">
      <c r="A598" s="238" t="s">
        <v>1527</v>
      </c>
      <c r="B598" s="629" t="s">
        <v>1936</v>
      </c>
      <c r="C598" s="630" t="s">
        <v>97</v>
      </c>
      <c r="D598" s="630"/>
      <c r="E598" s="661">
        <v>20.07</v>
      </c>
    </row>
    <row r="599" spans="1:5" x14ac:dyDescent="0.2">
      <c r="A599" s="238" t="s">
        <v>1528</v>
      </c>
      <c r="B599" s="629" t="s">
        <v>185</v>
      </c>
      <c r="C599" s="630" t="s">
        <v>642</v>
      </c>
      <c r="D599" s="630"/>
      <c r="E599" s="661">
        <v>115980</v>
      </c>
    </row>
    <row r="600" spans="1:5" x14ac:dyDescent="0.2">
      <c r="A600" s="222" t="s">
        <v>1529</v>
      </c>
      <c r="B600" s="637" t="s">
        <v>3867</v>
      </c>
      <c r="C600" s="225" t="s">
        <v>642</v>
      </c>
      <c r="D600" s="225"/>
      <c r="E600" s="661">
        <v>91980</v>
      </c>
    </row>
    <row r="601" spans="1:5" x14ac:dyDescent="0.2">
      <c r="A601" s="238" t="s">
        <v>1530</v>
      </c>
      <c r="B601" s="629" t="s">
        <v>686</v>
      </c>
      <c r="C601" s="630" t="s">
        <v>642</v>
      </c>
      <c r="D601" s="630"/>
      <c r="E601" s="661">
        <v>69900</v>
      </c>
    </row>
    <row r="602" spans="1:5" x14ac:dyDescent="0.2">
      <c r="A602" s="238" t="s">
        <v>1531</v>
      </c>
      <c r="B602" s="629" t="s">
        <v>352</v>
      </c>
      <c r="C602" s="630" t="s">
        <v>405</v>
      </c>
      <c r="D602" s="630"/>
      <c r="E602" s="661">
        <v>19960</v>
      </c>
    </row>
    <row r="603" spans="1:5" ht="14.25" x14ac:dyDescent="0.2">
      <c r="A603" s="222" t="s">
        <v>1565</v>
      </c>
      <c r="B603" s="629" t="s">
        <v>3888</v>
      </c>
      <c r="C603" s="630" t="s">
        <v>288</v>
      </c>
      <c r="D603" s="630"/>
      <c r="E603" s="661">
        <v>49900</v>
      </c>
    </row>
    <row r="604" spans="1:5" ht="14.25" x14ac:dyDescent="0.2">
      <c r="A604" s="238" t="s">
        <v>1536</v>
      </c>
      <c r="B604" s="629" t="s">
        <v>2738</v>
      </c>
      <c r="C604" s="630" t="s">
        <v>288</v>
      </c>
      <c r="D604" s="630"/>
      <c r="E604" s="661">
        <v>37900</v>
      </c>
    </row>
    <row r="605" spans="1:5" ht="25.5" x14ac:dyDescent="0.2">
      <c r="A605" s="238" t="s">
        <v>1581</v>
      </c>
      <c r="B605" s="629" t="s">
        <v>4162</v>
      </c>
      <c r="C605" s="630" t="s">
        <v>288</v>
      </c>
      <c r="D605" s="630"/>
      <c r="E605" s="661">
        <v>38400</v>
      </c>
    </row>
    <row r="606" spans="1:5" ht="14.25" x14ac:dyDescent="0.2">
      <c r="A606" s="238" t="s">
        <v>2739</v>
      </c>
      <c r="B606" s="629" t="s">
        <v>3831</v>
      </c>
      <c r="C606" s="630" t="s">
        <v>288</v>
      </c>
      <c r="D606" s="630"/>
      <c r="E606" s="661">
        <v>79260</v>
      </c>
    </row>
    <row r="607" spans="1:5" ht="14.25" x14ac:dyDescent="0.2">
      <c r="A607" s="238" t="s">
        <v>1765</v>
      </c>
      <c r="B607" s="629" t="s">
        <v>2681</v>
      </c>
      <c r="C607" s="630" t="s">
        <v>288</v>
      </c>
      <c r="D607" s="630"/>
      <c r="E607" s="661">
        <v>64871</v>
      </c>
    </row>
    <row r="608" spans="1:5" ht="14.25" x14ac:dyDescent="0.2">
      <c r="A608" s="238" t="s">
        <v>1532</v>
      </c>
      <c r="B608" s="629" t="s">
        <v>2683</v>
      </c>
      <c r="C608" s="630" t="s">
        <v>288</v>
      </c>
      <c r="D608" s="630"/>
      <c r="E608" s="661">
        <v>86999</v>
      </c>
    </row>
    <row r="609" spans="1:5" ht="14.25" x14ac:dyDescent="0.2">
      <c r="A609" s="238" t="s">
        <v>1534</v>
      </c>
      <c r="B609" s="629" t="s">
        <v>2737</v>
      </c>
      <c r="C609" s="630" t="s">
        <v>288</v>
      </c>
      <c r="D609" s="630"/>
      <c r="E609" s="661">
        <v>31376</v>
      </c>
    </row>
    <row r="610" spans="1:5" ht="14.25" x14ac:dyDescent="0.2">
      <c r="A610" s="238" t="s">
        <v>1533</v>
      </c>
      <c r="B610" s="629" t="s">
        <v>2978</v>
      </c>
      <c r="C610" s="630" t="s">
        <v>288</v>
      </c>
      <c r="D610" s="630"/>
      <c r="E610" s="661">
        <v>40313</v>
      </c>
    </row>
    <row r="611" spans="1:5" ht="14.25" x14ac:dyDescent="0.2">
      <c r="A611" s="239" t="s">
        <v>1297</v>
      </c>
      <c r="B611" s="642" t="s">
        <v>2736</v>
      </c>
      <c r="C611" s="623" t="s">
        <v>288</v>
      </c>
      <c r="D611" s="623"/>
      <c r="E611" s="661">
        <v>63579</v>
      </c>
    </row>
    <row r="612" spans="1:5" ht="14.25" x14ac:dyDescent="0.2">
      <c r="A612" s="238" t="s">
        <v>1535</v>
      </c>
      <c r="B612" s="629" t="s">
        <v>3579</v>
      </c>
      <c r="C612" s="630" t="s">
        <v>288</v>
      </c>
      <c r="D612" s="630"/>
      <c r="E612" s="661">
        <v>52400</v>
      </c>
    </row>
    <row r="613" spans="1:5" x14ac:dyDescent="0.2">
      <c r="A613" s="222" t="s">
        <v>2979</v>
      </c>
      <c r="B613" s="894" t="s">
        <v>4043</v>
      </c>
      <c r="C613" s="633" t="s">
        <v>411</v>
      </c>
      <c r="D613" s="633"/>
      <c r="E613" s="662">
        <v>154600000</v>
      </c>
    </row>
    <row r="614" spans="1:5" x14ac:dyDescent="0.2">
      <c r="A614" s="222" t="s">
        <v>2558</v>
      </c>
      <c r="B614" s="634" t="s">
        <v>3868</v>
      </c>
      <c r="C614" s="633" t="s">
        <v>411</v>
      </c>
      <c r="D614" s="633"/>
      <c r="E614" s="662">
        <v>65900</v>
      </c>
    </row>
    <row r="615" spans="1:5" x14ac:dyDescent="0.2">
      <c r="A615" s="238" t="s">
        <v>1537</v>
      </c>
      <c r="B615" s="629" t="s">
        <v>260</v>
      </c>
      <c r="C615" s="630" t="s">
        <v>411</v>
      </c>
      <c r="D615" s="630"/>
      <c r="E615" s="661">
        <v>18900</v>
      </c>
    </row>
    <row r="616" spans="1:5" ht="25.5" x14ac:dyDescent="0.2">
      <c r="A616" s="238" t="s">
        <v>2554</v>
      </c>
      <c r="B616" s="629" t="s">
        <v>675</v>
      </c>
      <c r="C616" s="630" t="s">
        <v>411</v>
      </c>
      <c r="D616" s="630"/>
      <c r="E616" s="661">
        <v>18900</v>
      </c>
    </row>
    <row r="617" spans="1:5" x14ac:dyDescent="0.2">
      <c r="A617" s="238" t="s">
        <v>1538</v>
      </c>
      <c r="B617" s="629" t="s">
        <v>262</v>
      </c>
      <c r="C617" s="630" t="s">
        <v>411</v>
      </c>
      <c r="D617" s="630"/>
      <c r="E617" s="661">
        <v>18900</v>
      </c>
    </row>
    <row r="618" spans="1:5" x14ac:dyDescent="0.2">
      <c r="A618" s="222" t="s">
        <v>1539</v>
      </c>
      <c r="B618" s="629" t="s">
        <v>351</v>
      </c>
      <c r="C618" s="225" t="s">
        <v>411</v>
      </c>
      <c r="D618" s="225"/>
      <c r="E618" s="661">
        <v>18900</v>
      </c>
    </row>
    <row r="619" spans="1:5" x14ac:dyDescent="0.2">
      <c r="A619" s="222" t="s">
        <v>2981</v>
      </c>
      <c r="B619" s="905" t="s">
        <v>2596</v>
      </c>
      <c r="C619" s="643" t="s">
        <v>411</v>
      </c>
      <c r="D619" s="643"/>
      <c r="E619" s="663">
        <v>64540</v>
      </c>
    </row>
    <row r="620" spans="1:5" x14ac:dyDescent="0.2">
      <c r="A620" s="238" t="s">
        <v>1543</v>
      </c>
      <c r="B620" s="629" t="s">
        <v>186</v>
      </c>
      <c r="C620" s="630" t="s">
        <v>187</v>
      </c>
      <c r="D620" s="630"/>
      <c r="E620" s="661">
        <v>4800</v>
      </c>
    </row>
    <row r="621" spans="1:5" ht="14.25" x14ac:dyDescent="0.2">
      <c r="A621" s="238" t="s">
        <v>1732</v>
      </c>
      <c r="B621" s="629" t="s">
        <v>513</v>
      </c>
      <c r="C621" s="632" t="s">
        <v>2466</v>
      </c>
      <c r="D621" s="632"/>
      <c r="E621" s="661">
        <v>1009</v>
      </c>
    </row>
    <row r="622" spans="1:5" x14ac:dyDescent="0.2">
      <c r="A622" s="238" t="s">
        <v>1790</v>
      </c>
      <c r="B622" s="629" t="s">
        <v>165</v>
      </c>
      <c r="C622" s="630" t="s">
        <v>166</v>
      </c>
      <c r="D622" s="630"/>
      <c r="E622" s="661">
        <v>14900</v>
      </c>
    </row>
    <row r="623" spans="1:5" ht="25.5" x14ac:dyDescent="0.2">
      <c r="A623" s="222" t="s">
        <v>2633</v>
      </c>
      <c r="B623" s="629" t="s">
        <v>3918</v>
      </c>
      <c r="C623" s="630" t="s">
        <v>411</v>
      </c>
      <c r="D623" s="630"/>
      <c r="E623" s="661">
        <v>24900</v>
      </c>
    </row>
    <row r="624" spans="1:5" x14ac:dyDescent="0.2">
      <c r="A624" s="222" t="s">
        <v>2660</v>
      </c>
      <c r="B624" s="893" t="s">
        <v>2590</v>
      </c>
      <c r="C624" s="633" t="s">
        <v>411</v>
      </c>
      <c r="D624" s="633"/>
      <c r="E624" s="662">
        <v>1427000</v>
      </c>
    </row>
    <row r="625" spans="1:5" x14ac:dyDescent="0.2">
      <c r="A625" s="238" t="s">
        <v>1547</v>
      </c>
      <c r="B625" s="629" t="s">
        <v>3890</v>
      </c>
      <c r="C625" s="630" t="s">
        <v>411</v>
      </c>
      <c r="D625" s="630"/>
      <c r="E625" s="661">
        <v>48900</v>
      </c>
    </row>
    <row r="626" spans="1:5" x14ac:dyDescent="0.2">
      <c r="A626" s="238" t="s">
        <v>1548</v>
      </c>
      <c r="B626" s="629" t="s">
        <v>3892</v>
      </c>
      <c r="C626" s="630" t="s">
        <v>411</v>
      </c>
      <c r="D626" s="630"/>
      <c r="E626" s="661">
        <v>48900</v>
      </c>
    </row>
    <row r="627" spans="1:5" x14ac:dyDescent="0.2">
      <c r="A627" s="238" t="s">
        <v>1549</v>
      </c>
      <c r="B627" s="642" t="s">
        <v>3700</v>
      </c>
      <c r="C627" s="623" t="s">
        <v>411</v>
      </c>
      <c r="D627" s="623"/>
      <c r="E627" s="661">
        <v>94900</v>
      </c>
    </row>
    <row r="628" spans="1:5" x14ac:dyDescent="0.2">
      <c r="A628" s="222" t="s">
        <v>2982</v>
      </c>
      <c r="B628" s="894" t="s">
        <v>2983</v>
      </c>
      <c r="C628" s="633" t="s">
        <v>411</v>
      </c>
      <c r="D628" s="633"/>
      <c r="E628" s="889">
        <v>2356000</v>
      </c>
    </row>
    <row r="629" spans="1:5" x14ac:dyDescent="0.2">
      <c r="A629" s="238" t="s">
        <v>1551</v>
      </c>
      <c r="B629" s="629" t="s">
        <v>172</v>
      </c>
      <c r="C629" s="630" t="s">
        <v>411</v>
      </c>
      <c r="D629" s="630"/>
      <c r="E629" s="661">
        <v>59980</v>
      </c>
    </row>
    <row r="630" spans="1:5" x14ac:dyDescent="0.2">
      <c r="A630" s="238" t="s">
        <v>1553</v>
      </c>
      <c r="B630" s="642" t="s">
        <v>1945</v>
      </c>
      <c r="C630" s="623" t="s">
        <v>411</v>
      </c>
      <c r="D630" s="623"/>
      <c r="E630" s="661">
        <v>207600</v>
      </c>
    </row>
    <row r="631" spans="1:5" ht="14.25" x14ac:dyDescent="0.2">
      <c r="A631" s="238" t="s">
        <v>1554</v>
      </c>
      <c r="B631" s="642" t="s">
        <v>639</v>
      </c>
      <c r="C631" s="623" t="s">
        <v>288</v>
      </c>
      <c r="D631" s="623"/>
      <c r="E631" s="661">
        <v>16000</v>
      </c>
    </row>
    <row r="632" spans="1:5" ht="14.25" x14ac:dyDescent="0.2">
      <c r="A632" s="238" t="s">
        <v>1555</v>
      </c>
      <c r="B632" s="642" t="s">
        <v>635</v>
      </c>
      <c r="C632" s="623" t="s">
        <v>288</v>
      </c>
      <c r="D632" s="623"/>
      <c r="E632" s="661">
        <v>16000</v>
      </c>
    </row>
    <row r="633" spans="1:5" x14ac:dyDescent="0.2">
      <c r="A633" s="222" t="s">
        <v>2984</v>
      </c>
      <c r="B633" s="893" t="s">
        <v>2985</v>
      </c>
      <c r="C633" s="633" t="s">
        <v>411</v>
      </c>
      <c r="D633" s="633"/>
      <c r="E633" s="662">
        <v>3567000</v>
      </c>
    </row>
    <row r="634" spans="1:5" ht="25.5" x14ac:dyDescent="0.2">
      <c r="A634" s="623" t="s">
        <v>4100</v>
      </c>
      <c r="B634" s="894" t="s">
        <v>4101</v>
      </c>
      <c r="C634" s="633" t="s">
        <v>405</v>
      </c>
      <c r="D634" s="632"/>
      <c r="E634" s="661">
        <v>28200</v>
      </c>
    </row>
    <row r="635" spans="1:5" ht="14.25" x14ac:dyDescent="0.2">
      <c r="A635" s="222" t="s">
        <v>2655</v>
      </c>
      <c r="B635" s="642" t="s">
        <v>2061</v>
      </c>
      <c r="C635" s="623" t="s">
        <v>288</v>
      </c>
      <c r="D635" s="623"/>
      <c r="E635" s="661">
        <v>399630.00000000006</v>
      </c>
    </row>
    <row r="636" spans="1:5" x14ac:dyDescent="0.2">
      <c r="A636" s="222" t="s">
        <v>2986</v>
      </c>
      <c r="B636" s="893" t="s">
        <v>2987</v>
      </c>
      <c r="C636" s="633" t="s">
        <v>411</v>
      </c>
      <c r="D636" s="633"/>
      <c r="E636" s="662">
        <v>88100</v>
      </c>
    </row>
    <row r="637" spans="1:5" x14ac:dyDescent="0.2">
      <c r="A637" s="238" t="s">
        <v>1558</v>
      </c>
      <c r="B637" s="629" t="s">
        <v>603</v>
      </c>
      <c r="C637" s="630" t="s">
        <v>590</v>
      </c>
      <c r="D637" s="630"/>
      <c r="E637" s="661">
        <f>(5100+6200+5100+6200)/4</f>
        <v>5650</v>
      </c>
    </row>
    <row r="638" spans="1:5" x14ac:dyDescent="0.2">
      <c r="A638" s="238" t="s">
        <v>1559</v>
      </c>
      <c r="B638" s="629" t="s">
        <v>589</v>
      </c>
      <c r="C638" s="630" t="s">
        <v>590</v>
      </c>
      <c r="D638" s="630"/>
      <c r="E638" s="661">
        <v>5100</v>
      </c>
    </row>
    <row r="639" spans="1:5" x14ac:dyDescent="0.2">
      <c r="A639" s="222" t="s">
        <v>2988</v>
      </c>
      <c r="B639" s="893" t="s">
        <v>3893</v>
      </c>
      <c r="C639" s="633" t="s">
        <v>411</v>
      </c>
      <c r="D639" s="633"/>
      <c r="E639" s="662">
        <v>3856000</v>
      </c>
    </row>
    <row r="640" spans="1:5" x14ac:dyDescent="0.2">
      <c r="A640" s="238" t="s">
        <v>1562</v>
      </c>
      <c r="B640" s="629" t="s">
        <v>2069</v>
      </c>
      <c r="C640" s="630" t="s">
        <v>411</v>
      </c>
      <c r="D640" s="630"/>
      <c r="E640" s="661">
        <v>29900</v>
      </c>
    </row>
    <row r="641" spans="1:5" x14ac:dyDescent="0.2">
      <c r="A641" s="238" t="s">
        <v>1561</v>
      </c>
      <c r="B641" s="629" t="s">
        <v>3870</v>
      </c>
      <c r="C641" s="630" t="s">
        <v>411</v>
      </c>
      <c r="D641" s="630"/>
      <c r="E641" s="661">
        <v>152900</v>
      </c>
    </row>
    <row r="642" spans="1:5" x14ac:dyDescent="0.2">
      <c r="A642" s="238" t="s">
        <v>1563</v>
      </c>
      <c r="B642" s="629" t="s">
        <v>2741</v>
      </c>
      <c r="C642" s="630" t="s">
        <v>411</v>
      </c>
      <c r="D642" s="630"/>
      <c r="E642" s="661">
        <v>23562</v>
      </c>
    </row>
    <row r="643" spans="1:5" x14ac:dyDescent="0.2">
      <c r="A643" s="238" t="s">
        <v>1564</v>
      </c>
      <c r="B643" s="629" t="s">
        <v>2989</v>
      </c>
      <c r="C643" s="630" t="s">
        <v>411</v>
      </c>
      <c r="D643" s="630"/>
      <c r="E643" s="661">
        <v>23900</v>
      </c>
    </row>
    <row r="644" spans="1:5" x14ac:dyDescent="0.2">
      <c r="A644" s="222" t="s">
        <v>2990</v>
      </c>
      <c r="B644" s="898" t="s">
        <v>2991</v>
      </c>
      <c r="C644" s="633" t="s">
        <v>411</v>
      </c>
      <c r="D644" s="633"/>
      <c r="E644" s="662">
        <v>48100</v>
      </c>
    </row>
    <row r="645" spans="1:5" x14ac:dyDescent="0.2">
      <c r="A645" s="222" t="s">
        <v>2686</v>
      </c>
      <c r="B645" s="642" t="s">
        <v>2992</v>
      </c>
      <c r="C645" s="623" t="s">
        <v>411</v>
      </c>
      <c r="D645" s="623"/>
      <c r="E645" s="661">
        <v>534310</v>
      </c>
    </row>
    <row r="646" spans="1:5" x14ac:dyDescent="0.2">
      <c r="A646" s="238" t="s">
        <v>1566</v>
      </c>
      <c r="B646" s="629" t="s">
        <v>3869</v>
      </c>
      <c r="C646" s="630" t="s">
        <v>411</v>
      </c>
      <c r="D646" s="630"/>
      <c r="E646" s="661">
        <v>53900</v>
      </c>
    </row>
    <row r="647" spans="1:5" x14ac:dyDescent="0.2">
      <c r="A647" s="583" t="s">
        <v>1567</v>
      </c>
      <c r="B647" s="646" t="s">
        <v>20</v>
      </c>
      <c r="C647" s="226" t="s">
        <v>411</v>
      </c>
      <c r="D647" s="226"/>
      <c r="E647" s="661">
        <v>329</v>
      </c>
    </row>
    <row r="648" spans="1:5" x14ac:dyDescent="0.2">
      <c r="A648" s="222" t="s">
        <v>1641</v>
      </c>
      <c r="B648" s="897" t="s">
        <v>4041</v>
      </c>
      <c r="C648" s="225" t="s">
        <v>405</v>
      </c>
      <c r="D648" s="225"/>
      <c r="E648" s="661">
        <v>7900</v>
      </c>
    </row>
    <row r="649" spans="1:5" x14ac:dyDescent="0.2">
      <c r="A649" s="222" t="s">
        <v>2993</v>
      </c>
      <c r="B649" s="893" t="s">
        <v>2994</v>
      </c>
      <c r="C649" s="633" t="s">
        <v>411</v>
      </c>
      <c r="D649" s="633"/>
      <c r="E649" s="662">
        <v>817600</v>
      </c>
    </row>
    <row r="650" spans="1:5" x14ac:dyDescent="0.2">
      <c r="A650" s="238" t="s">
        <v>1568</v>
      </c>
      <c r="B650" s="629" t="s">
        <v>2742</v>
      </c>
      <c r="C650" s="630" t="s">
        <v>411</v>
      </c>
      <c r="D650" s="630"/>
      <c r="E650" s="661">
        <v>628900</v>
      </c>
    </row>
    <row r="651" spans="1:5" x14ac:dyDescent="0.2">
      <c r="A651" s="222" t="s">
        <v>1902</v>
      </c>
      <c r="B651" s="637" t="s">
        <v>1970</v>
      </c>
      <c r="C651" s="630" t="s">
        <v>411</v>
      </c>
      <c r="D651" s="630"/>
      <c r="E651" s="661">
        <v>245000</v>
      </c>
    </row>
    <row r="652" spans="1:5" x14ac:dyDescent="0.2">
      <c r="A652" s="222" t="s">
        <v>1569</v>
      </c>
      <c r="B652" s="637" t="s">
        <v>2995</v>
      </c>
      <c r="C652" s="630" t="s">
        <v>411</v>
      </c>
      <c r="D652" s="630"/>
      <c r="E652" s="661">
        <v>247900</v>
      </c>
    </row>
    <row r="653" spans="1:5" x14ac:dyDescent="0.2">
      <c r="A653" s="238" t="s">
        <v>1570</v>
      </c>
      <c r="B653" s="629" t="s">
        <v>2066</v>
      </c>
      <c r="C653" s="630" t="s">
        <v>411</v>
      </c>
      <c r="D653" s="630"/>
      <c r="E653" s="661">
        <v>296900</v>
      </c>
    </row>
    <row r="654" spans="1:5" x14ac:dyDescent="0.2">
      <c r="A654" s="238" t="s">
        <v>1571</v>
      </c>
      <c r="B654" s="636" t="s">
        <v>2743</v>
      </c>
      <c r="C654" s="644" t="s">
        <v>411</v>
      </c>
      <c r="D654" s="644"/>
      <c r="E654" s="661">
        <v>39900</v>
      </c>
    </row>
    <row r="655" spans="1:5" x14ac:dyDescent="0.2">
      <c r="A655" s="222" t="s">
        <v>1707</v>
      </c>
      <c r="B655" s="637" t="s">
        <v>89</v>
      </c>
      <c r="C655" s="630" t="s">
        <v>411</v>
      </c>
      <c r="D655" s="630"/>
      <c r="E655" s="661">
        <v>39900</v>
      </c>
    </row>
    <row r="656" spans="1:5" x14ac:dyDescent="0.2">
      <c r="A656" s="222" t="s">
        <v>2762</v>
      </c>
      <c r="B656" s="635" t="s">
        <v>3295</v>
      </c>
      <c r="C656" s="225" t="s">
        <v>617</v>
      </c>
      <c r="D656" s="225"/>
      <c r="E656" s="661">
        <v>32000</v>
      </c>
    </row>
    <row r="657" spans="1:5" x14ac:dyDescent="0.2">
      <c r="A657" s="238" t="s">
        <v>2557</v>
      </c>
      <c r="B657" s="642" t="s">
        <v>2744</v>
      </c>
      <c r="C657" s="623" t="s">
        <v>590</v>
      </c>
      <c r="D657" s="623"/>
      <c r="E657" s="661">
        <v>32400</v>
      </c>
    </row>
    <row r="658" spans="1:5" x14ac:dyDescent="0.2">
      <c r="A658" s="222" t="s">
        <v>2786</v>
      </c>
      <c r="B658" s="635" t="s">
        <v>3654</v>
      </c>
      <c r="C658" s="225" t="s">
        <v>406</v>
      </c>
      <c r="D658" s="225"/>
      <c r="E658" s="661">
        <v>59300</v>
      </c>
    </row>
    <row r="659" spans="1:5" x14ac:dyDescent="0.2">
      <c r="A659" s="238" t="s">
        <v>1746</v>
      </c>
      <c r="B659" s="642" t="s">
        <v>1947</v>
      </c>
      <c r="C659" s="623" t="s">
        <v>411</v>
      </c>
      <c r="D659" s="623"/>
      <c r="E659" s="661">
        <v>313200</v>
      </c>
    </row>
    <row r="660" spans="1:5" x14ac:dyDescent="0.2">
      <c r="A660" s="222" t="s">
        <v>1745</v>
      </c>
      <c r="B660" s="642" t="s">
        <v>1946</v>
      </c>
      <c r="C660" s="623" t="s">
        <v>411</v>
      </c>
      <c r="D660" s="623"/>
      <c r="E660" s="661">
        <v>344600</v>
      </c>
    </row>
    <row r="661" spans="1:5" x14ac:dyDescent="0.2">
      <c r="A661" s="238" t="s">
        <v>1718</v>
      </c>
      <c r="B661" s="642" t="s">
        <v>12</v>
      </c>
      <c r="C661" s="623" t="s">
        <v>411</v>
      </c>
      <c r="D661" s="623"/>
      <c r="E661" s="661">
        <v>210000</v>
      </c>
    </row>
    <row r="662" spans="1:5" x14ac:dyDescent="0.2">
      <c r="A662" s="238" t="s">
        <v>1747</v>
      </c>
      <c r="B662" s="629" t="s">
        <v>661</v>
      </c>
      <c r="C662" s="630" t="s">
        <v>411</v>
      </c>
      <c r="D662" s="630"/>
      <c r="E662" s="661">
        <v>48900</v>
      </c>
    </row>
    <row r="663" spans="1:5" x14ac:dyDescent="0.2">
      <c r="A663" s="222" t="s">
        <v>1705</v>
      </c>
      <c r="B663" s="637" t="s">
        <v>123</v>
      </c>
      <c r="C663" s="630" t="s">
        <v>411</v>
      </c>
      <c r="D663" s="630"/>
      <c r="E663" s="661">
        <v>1081</v>
      </c>
    </row>
    <row r="664" spans="1:5" x14ac:dyDescent="0.2">
      <c r="A664" s="222" t="s">
        <v>1432</v>
      </c>
      <c r="B664" s="642" t="s">
        <v>3143</v>
      </c>
      <c r="C664" s="623" t="s">
        <v>642</v>
      </c>
      <c r="D664" s="623"/>
      <c r="E664" s="661">
        <v>459900</v>
      </c>
    </row>
    <row r="665" spans="1:5" ht="14.25" x14ac:dyDescent="0.2">
      <c r="A665" s="222" t="s">
        <v>2788</v>
      </c>
      <c r="B665" s="635" t="s">
        <v>3724</v>
      </c>
      <c r="C665" s="225" t="s">
        <v>406</v>
      </c>
      <c r="D665" s="225"/>
      <c r="E665" s="661">
        <v>6430</v>
      </c>
    </row>
    <row r="666" spans="1:5" x14ac:dyDescent="0.2">
      <c r="A666" s="238" t="s">
        <v>1726</v>
      </c>
      <c r="B666" s="642" t="s">
        <v>2193</v>
      </c>
      <c r="C666" s="623" t="s">
        <v>405</v>
      </c>
      <c r="D666" s="623"/>
      <c r="E666" s="661">
        <v>1097</v>
      </c>
    </row>
    <row r="667" spans="1:5" x14ac:dyDescent="0.2">
      <c r="A667" s="238" t="s">
        <v>1487</v>
      </c>
      <c r="B667" s="629" t="s">
        <v>2745</v>
      </c>
      <c r="C667" s="630" t="s">
        <v>405</v>
      </c>
      <c r="D667" s="630"/>
      <c r="E667" s="661">
        <f>24900/280</f>
        <v>88.928571428571431</v>
      </c>
    </row>
    <row r="668" spans="1:5" x14ac:dyDescent="0.2">
      <c r="A668" s="238" t="s">
        <v>1750</v>
      </c>
      <c r="B668" s="629" t="s">
        <v>197</v>
      </c>
      <c r="C668" s="630" t="s">
        <v>405</v>
      </c>
      <c r="D668" s="630"/>
      <c r="E668" s="661">
        <f>23900/300</f>
        <v>79.666666666666671</v>
      </c>
    </row>
    <row r="669" spans="1:5" x14ac:dyDescent="0.2">
      <c r="A669" s="222" t="s">
        <v>1741</v>
      </c>
      <c r="B669" s="637" t="s">
        <v>3894</v>
      </c>
      <c r="C669" s="630" t="s">
        <v>411</v>
      </c>
      <c r="D669" s="630"/>
      <c r="E669" s="661">
        <v>331900</v>
      </c>
    </row>
    <row r="670" spans="1:5" x14ac:dyDescent="0.2">
      <c r="A670" s="222" t="s">
        <v>1742</v>
      </c>
      <c r="B670" s="637" t="s">
        <v>1948</v>
      </c>
      <c r="C670" s="630" t="s">
        <v>411</v>
      </c>
      <c r="D670" s="630"/>
      <c r="E670" s="661">
        <v>354900</v>
      </c>
    </row>
    <row r="671" spans="1:5" x14ac:dyDescent="0.2">
      <c r="A671" s="222" t="s">
        <v>1743</v>
      </c>
      <c r="B671" s="637" t="s">
        <v>1971</v>
      </c>
      <c r="C671" s="630" t="s">
        <v>411</v>
      </c>
      <c r="D671" s="630"/>
      <c r="E671" s="661">
        <v>252335</v>
      </c>
    </row>
    <row r="672" spans="1:5" x14ac:dyDescent="0.2">
      <c r="A672" s="239" t="s">
        <v>1744</v>
      </c>
      <c r="B672" s="655" t="s">
        <v>3156</v>
      </c>
      <c r="C672" s="623" t="s">
        <v>411</v>
      </c>
      <c r="D672" s="623"/>
      <c r="E672" s="661">
        <v>5607900</v>
      </c>
    </row>
    <row r="673" spans="1:5" x14ac:dyDescent="0.2">
      <c r="A673" s="238" t="s">
        <v>1728</v>
      </c>
      <c r="B673" s="629" t="s">
        <v>107</v>
      </c>
      <c r="C673" s="630" t="s">
        <v>406</v>
      </c>
      <c r="D673" s="630"/>
      <c r="E673" s="661">
        <v>25900</v>
      </c>
    </row>
    <row r="674" spans="1:5" x14ac:dyDescent="0.2">
      <c r="A674" s="222" t="s">
        <v>2661</v>
      </c>
      <c r="B674" s="893" t="s">
        <v>2996</v>
      </c>
      <c r="C674" s="633" t="s">
        <v>411</v>
      </c>
      <c r="D674" s="633"/>
      <c r="E674" s="662">
        <v>21170</v>
      </c>
    </row>
    <row r="675" spans="1:5" x14ac:dyDescent="0.2">
      <c r="A675" s="238" t="s">
        <v>1727</v>
      </c>
      <c r="B675" s="642" t="s">
        <v>3503</v>
      </c>
      <c r="C675" s="630" t="s">
        <v>642</v>
      </c>
      <c r="D675" s="630"/>
      <c r="E675" s="661">
        <f>49900*8</f>
        <v>399200</v>
      </c>
    </row>
    <row r="676" spans="1:5" x14ac:dyDescent="0.2">
      <c r="A676" s="238" t="s">
        <v>1725</v>
      </c>
      <c r="B676" s="629" t="s">
        <v>2997</v>
      </c>
      <c r="C676" s="630" t="s">
        <v>411</v>
      </c>
      <c r="D676" s="630"/>
      <c r="E676" s="661">
        <v>104900</v>
      </c>
    </row>
    <row r="677" spans="1:5" x14ac:dyDescent="0.2">
      <c r="A677" s="238" t="s">
        <v>1788</v>
      </c>
      <c r="B677" s="629" t="s">
        <v>174</v>
      </c>
      <c r="C677" s="630" t="s">
        <v>406</v>
      </c>
      <c r="D677" s="630"/>
      <c r="E677" s="661">
        <v>15580</v>
      </c>
    </row>
    <row r="678" spans="1:5" x14ac:dyDescent="0.2">
      <c r="A678" s="238" t="s">
        <v>1701</v>
      </c>
      <c r="B678" s="628" t="s">
        <v>2652</v>
      </c>
      <c r="C678" s="633" t="s">
        <v>411</v>
      </c>
      <c r="D678" s="633"/>
      <c r="E678" s="662">
        <v>80900</v>
      </c>
    </row>
    <row r="679" spans="1:5" x14ac:dyDescent="0.2">
      <c r="A679" s="238" t="s">
        <v>1781</v>
      </c>
      <c r="B679" s="629" t="s">
        <v>242</v>
      </c>
      <c r="C679" s="630" t="s">
        <v>411</v>
      </c>
      <c r="D679" s="630"/>
      <c r="E679" s="661">
        <v>2900</v>
      </c>
    </row>
    <row r="680" spans="1:5" x14ac:dyDescent="0.2">
      <c r="A680" s="222" t="s">
        <v>2998</v>
      </c>
      <c r="B680" s="894" t="s">
        <v>2999</v>
      </c>
      <c r="C680" s="633" t="s">
        <v>411</v>
      </c>
      <c r="D680" s="633"/>
      <c r="E680" s="662">
        <f>11575*1.19</f>
        <v>13774.25</v>
      </c>
    </row>
    <row r="681" spans="1:5" x14ac:dyDescent="0.2">
      <c r="A681" s="222" t="s">
        <v>3000</v>
      </c>
      <c r="B681" s="894" t="s">
        <v>3001</v>
      </c>
      <c r="C681" s="633" t="s">
        <v>411</v>
      </c>
      <c r="D681" s="633"/>
      <c r="E681" s="662">
        <v>42300</v>
      </c>
    </row>
    <row r="682" spans="1:5" x14ac:dyDescent="0.2">
      <c r="A682" s="585" t="s">
        <v>1844</v>
      </c>
      <c r="B682" s="895" t="s">
        <v>1999</v>
      </c>
      <c r="C682" s="632" t="s">
        <v>411</v>
      </c>
      <c r="D682" s="632"/>
      <c r="E682" s="661">
        <v>5000</v>
      </c>
    </row>
    <row r="683" spans="1:5" ht="14.25" x14ac:dyDescent="0.2">
      <c r="A683" s="238" t="s">
        <v>1720</v>
      </c>
      <c r="B683" s="629" t="s">
        <v>674</v>
      </c>
      <c r="C683" s="630" t="s">
        <v>288</v>
      </c>
      <c r="D683" s="630"/>
      <c r="E683" s="661">
        <v>61431</v>
      </c>
    </row>
    <row r="684" spans="1:5" x14ac:dyDescent="0.2">
      <c r="A684" s="222" t="s">
        <v>3002</v>
      </c>
      <c r="B684" s="893" t="s">
        <v>3003</v>
      </c>
      <c r="C684" s="633" t="s">
        <v>411</v>
      </c>
      <c r="D684" s="633"/>
      <c r="E684" s="662">
        <v>20508386.899999999</v>
      </c>
    </row>
    <row r="685" spans="1:5" x14ac:dyDescent="0.2">
      <c r="A685" s="222" t="s">
        <v>1711</v>
      </c>
      <c r="B685" s="629" t="s">
        <v>632</v>
      </c>
      <c r="C685" s="630" t="s">
        <v>405</v>
      </c>
      <c r="D685" s="630"/>
      <c r="E685" s="661">
        <v>10991</v>
      </c>
    </row>
    <row r="686" spans="1:5" x14ac:dyDescent="0.2">
      <c r="A686" s="222" t="s">
        <v>3004</v>
      </c>
      <c r="B686" s="893" t="s">
        <v>3005</v>
      </c>
      <c r="C686" s="633" t="s">
        <v>411</v>
      </c>
      <c r="D686" s="633"/>
      <c r="E686" s="662">
        <v>163490</v>
      </c>
    </row>
    <row r="687" spans="1:5" x14ac:dyDescent="0.2">
      <c r="A687" s="222" t="s">
        <v>3006</v>
      </c>
      <c r="B687" s="893" t="s">
        <v>3007</v>
      </c>
      <c r="C687" s="633" t="s">
        <v>411</v>
      </c>
      <c r="D687" s="633"/>
      <c r="E687" s="662">
        <v>349900</v>
      </c>
    </row>
    <row r="688" spans="1:5" x14ac:dyDescent="0.2">
      <c r="A688" s="222" t="s">
        <v>3008</v>
      </c>
      <c r="B688" s="893" t="s">
        <v>3009</v>
      </c>
      <c r="C688" s="633" t="s">
        <v>411</v>
      </c>
      <c r="D688" s="633"/>
      <c r="E688" s="662">
        <v>505999</v>
      </c>
    </row>
    <row r="689" spans="1:5" x14ac:dyDescent="0.2">
      <c r="A689" s="222" t="s">
        <v>3010</v>
      </c>
      <c r="B689" s="893" t="s">
        <v>3011</v>
      </c>
      <c r="C689" s="633" t="s">
        <v>411</v>
      </c>
      <c r="D689" s="633"/>
      <c r="E689" s="662">
        <v>500990</v>
      </c>
    </row>
    <row r="690" spans="1:5" x14ac:dyDescent="0.2">
      <c r="A690" s="222" t="s">
        <v>3012</v>
      </c>
      <c r="B690" s="893" t="s">
        <v>3013</v>
      </c>
      <c r="C690" s="633" t="s">
        <v>411</v>
      </c>
      <c r="D690" s="633"/>
      <c r="E690" s="662">
        <v>649900</v>
      </c>
    </row>
    <row r="691" spans="1:5" x14ac:dyDescent="0.2">
      <c r="A691" s="222" t="s">
        <v>3014</v>
      </c>
      <c r="B691" s="893" t="s">
        <v>3015</v>
      </c>
      <c r="C691" s="633" t="s">
        <v>411</v>
      </c>
      <c r="D691" s="633"/>
      <c r="E691" s="662">
        <v>699900</v>
      </c>
    </row>
    <row r="692" spans="1:5" ht="25.5" x14ac:dyDescent="0.2">
      <c r="A692" s="585" t="s">
        <v>1869</v>
      </c>
      <c r="B692" s="907" t="s">
        <v>2116</v>
      </c>
      <c r="C692" s="632" t="s">
        <v>411</v>
      </c>
      <c r="D692" s="632"/>
      <c r="E692" s="661">
        <v>58268</v>
      </c>
    </row>
    <row r="693" spans="1:5" ht="25.5" x14ac:dyDescent="0.2">
      <c r="A693" s="585" t="s">
        <v>1580</v>
      </c>
      <c r="B693" s="907" t="s">
        <v>2746</v>
      </c>
      <c r="C693" s="632" t="s">
        <v>411</v>
      </c>
      <c r="D693" s="632"/>
      <c r="E693" s="661">
        <v>143700</v>
      </c>
    </row>
    <row r="694" spans="1:5" x14ac:dyDescent="0.2">
      <c r="A694" s="238" t="s">
        <v>1808</v>
      </c>
      <c r="B694" s="629" t="s">
        <v>3871</v>
      </c>
      <c r="C694" s="630" t="s">
        <v>411</v>
      </c>
      <c r="D694" s="630"/>
      <c r="E694" s="661">
        <f>598000*1.19+92000</f>
        <v>803620</v>
      </c>
    </row>
    <row r="695" spans="1:5" ht="25.5" x14ac:dyDescent="0.2">
      <c r="A695" s="238" t="s">
        <v>1807</v>
      </c>
      <c r="B695" s="629" t="s">
        <v>3701</v>
      </c>
      <c r="C695" s="630" t="s">
        <v>411</v>
      </c>
      <c r="D695" s="630"/>
      <c r="E695" s="661">
        <v>331370</v>
      </c>
    </row>
    <row r="696" spans="1:5" ht="25.5" x14ac:dyDescent="0.2">
      <c r="A696" s="623" t="s">
        <v>4110</v>
      </c>
      <c r="B696" s="894" t="s">
        <v>4111</v>
      </c>
      <c r="C696" s="633" t="s">
        <v>411</v>
      </c>
      <c r="D696" s="632"/>
      <c r="E696" s="661">
        <v>52900</v>
      </c>
    </row>
    <row r="697" spans="1:5" ht="25.5" x14ac:dyDescent="0.2">
      <c r="A697" s="240" t="s">
        <v>1875</v>
      </c>
      <c r="B697" s="907" t="s">
        <v>3016</v>
      </c>
      <c r="C697" s="632" t="s">
        <v>411</v>
      </c>
      <c r="D697" s="632"/>
      <c r="E697" s="661">
        <v>99900</v>
      </c>
    </row>
    <row r="698" spans="1:5" x14ac:dyDescent="0.2">
      <c r="A698" s="222" t="s">
        <v>3017</v>
      </c>
      <c r="B698" s="894" t="s">
        <v>3018</v>
      </c>
      <c r="C698" s="633" t="s">
        <v>411</v>
      </c>
      <c r="D698" s="633"/>
      <c r="E698" s="662">
        <v>12340000</v>
      </c>
    </row>
    <row r="699" spans="1:5" ht="25.5" x14ac:dyDescent="0.2">
      <c r="A699" s="585" t="s">
        <v>1867</v>
      </c>
      <c r="B699" s="907" t="s">
        <v>2122</v>
      </c>
      <c r="C699" s="632" t="s">
        <v>411</v>
      </c>
      <c r="D699" s="632"/>
      <c r="E699" s="661">
        <v>393000</v>
      </c>
    </row>
    <row r="700" spans="1:5" ht="25.5" x14ac:dyDescent="0.2">
      <c r="A700" s="585" t="s">
        <v>1865</v>
      </c>
      <c r="B700" s="907" t="s">
        <v>2125</v>
      </c>
      <c r="C700" s="632" t="s">
        <v>411</v>
      </c>
      <c r="D700" s="632"/>
      <c r="E700" s="661">
        <v>499900</v>
      </c>
    </row>
    <row r="701" spans="1:5" ht="25.5" x14ac:dyDescent="0.2">
      <c r="A701" s="585" t="s">
        <v>1864</v>
      </c>
      <c r="B701" s="907" t="s">
        <v>2126</v>
      </c>
      <c r="C701" s="632" t="s">
        <v>411</v>
      </c>
      <c r="D701" s="632"/>
      <c r="E701" s="661">
        <v>499900</v>
      </c>
    </row>
    <row r="702" spans="1:5" x14ac:dyDescent="0.2">
      <c r="A702" s="222" t="s">
        <v>3019</v>
      </c>
      <c r="B702" s="893" t="s">
        <v>3020</v>
      </c>
      <c r="C702" s="633" t="s">
        <v>411</v>
      </c>
      <c r="D702" s="633"/>
      <c r="E702" s="662">
        <v>344999</v>
      </c>
    </row>
    <row r="703" spans="1:5" ht="14.25" x14ac:dyDescent="0.2">
      <c r="A703" s="238" t="s">
        <v>1576</v>
      </c>
      <c r="B703" s="629" t="s">
        <v>77</v>
      </c>
      <c r="C703" s="630" t="s">
        <v>288</v>
      </c>
      <c r="D703" s="630"/>
      <c r="E703" s="661">
        <v>87921</v>
      </c>
    </row>
    <row r="704" spans="1:5" ht="14.25" x14ac:dyDescent="0.2">
      <c r="A704" s="238" t="s">
        <v>1578</v>
      </c>
      <c r="B704" s="629" t="s">
        <v>177</v>
      </c>
      <c r="C704" s="630" t="s">
        <v>288</v>
      </c>
      <c r="D704" s="630"/>
      <c r="E704" s="661">
        <v>10500</v>
      </c>
    </row>
    <row r="705" spans="1:5" ht="14.25" x14ac:dyDescent="0.2">
      <c r="A705" s="238" t="s">
        <v>1575</v>
      </c>
      <c r="B705" s="629" t="s">
        <v>3872</v>
      </c>
      <c r="C705" s="630" t="s">
        <v>288</v>
      </c>
      <c r="D705" s="630"/>
      <c r="E705" s="661">
        <v>35900</v>
      </c>
    </row>
    <row r="706" spans="1:5" x14ac:dyDescent="0.2">
      <c r="A706" s="238" t="s">
        <v>1582</v>
      </c>
      <c r="B706" s="636" t="s">
        <v>3021</v>
      </c>
      <c r="C706" s="623" t="s">
        <v>411</v>
      </c>
      <c r="D706" s="623"/>
      <c r="E706" s="661">
        <v>5600</v>
      </c>
    </row>
    <row r="707" spans="1:5" x14ac:dyDescent="0.2">
      <c r="A707" s="238" t="s">
        <v>1583</v>
      </c>
      <c r="B707" s="636" t="s">
        <v>159</v>
      </c>
      <c r="C707" s="623" t="s">
        <v>411</v>
      </c>
      <c r="D707" s="623"/>
      <c r="E707" s="661">
        <v>37200</v>
      </c>
    </row>
    <row r="708" spans="1:5" x14ac:dyDescent="0.2">
      <c r="A708" s="238" t="s">
        <v>1584</v>
      </c>
      <c r="B708" s="629" t="s">
        <v>3022</v>
      </c>
      <c r="C708" s="630" t="s">
        <v>411</v>
      </c>
      <c r="D708" s="630"/>
      <c r="E708" s="661">
        <v>536900</v>
      </c>
    </row>
    <row r="709" spans="1:5" x14ac:dyDescent="0.2">
      <c r="A709" s="238" t="s">
        <v>1585</v>
      </c>
      <c r="B709" s="629" t="s">
        <v>188</v>
      </c>
      <c r="C709" s="630" t="s">
        <v>411</v>
      </c>
      <c r="D709" s="630"/>
      <c r="E709" s="661">
        <v>198900</v>
      </c>
    </row>
    <row r="710" spans="1:5" x14ac:dyDescent="0.2">
      <c r="A710" s="238" t="s">
        <v>1586</v>
      </c>
      <c r="B710" s="629" t="s">
        <v>184</v>
      </c>
      <c r="C710" s="630" t="s">
        <v>411</v>
      </c>
      <c r="D710" s="630"/>
      <c r="E710" s="661">
        <v>273900</v>
      </c>
    </row>
    <row r="711" spans="1:5" x14ac:dyDescent="0.2">
      <c r="A711" s="585" t="s">
        <v>1838</v>
      </c>
      <c r="B711" s="895" t="s">
        <v>3023</v>
      </c>
      <c r="C711" s="632" t="s">
        <v>411</v>
      </c>
      <c r="D711" s="632"/>
      <c r="E711" s="661">
        <v>3550</v>
      </c>
    </row>
    <row r="712" spans="1:5" ht="51" x14ac:dyDescent="0.2">
      <c r="A712" s="238" t="s">
        <v>1587</v>
      </c>
      <c r="B712" s="647" t="s">
        <v>2650</v>
      </c>
      <c r="C712" s="623" t="s">
        <v>411</v>
      </c>
      <c r="D712" s="623"/>
      <c r="E712" s="661">
        <v>791900</v>
      </c>
    </row>
    <row r="713" spans="1:5" x14ac:dyDescent="0.2">
      <c r="A713" s="238" t="s">
        <v>1588</v>
      </c>
      <c r="B713" s="629" t="s">
        <v>541</v>
      </c>
      <c r="C713" s="630" t="s">
        <v>411</v>
      </c>
      <c r="D713" s="630"/>
      <c r="E713" s="661">
        <v>20900</v>
      </c>
    </row>
    <row r="714" spans="1:5" x14ac:dyDescent="0.2">
      <c r="A714" s="238" t="s">
        <v>1589</v>
      </c>
      <c r="B714" s="629" t="s">
        <v>3024</v>
      </c>
      <c r="C714" s="630" t="s">
        <v>642</v>
      </c>
      <c r="D714" s="630"/>
      <c r="E714" s="661">
        <v>108900</v>
      </c>
    </row>
    <row r="715" spans="1:5" x14ac:dyDescent="0.2">
      <c r="A715" s="222" t="s">
        <v>2778</v>
      </c>
      <c r="B715" s="635" t="s">
        <v>3515</v>
      </c>
      <c r="C715" s="225" t="s">
        <v>411</v>
      </c>
      <c r="D715" s="225"/>
      <c r="E715" s="661">
        <v>18000</v>
      </c>
    </row>
    <row r="716" spans="1:5" x14ac:dyDescent="0.2">
      <c r="A716" s="238" t="s">
        <v>1590</v>
      </c>
      <c r="B716" s="642" t="s">
        <v>203</v>
      </c>
      <c r="C716" s="623" t="s">
        <v>411</v>
      </c>
      <c r="D716" s="623"/>
      <c r="E716" s="661">
        <v>37180</v>
      </c>
    </row>
    <row r="717" spans="1:5" x14ac:dyDescent="0.2">
      <c r="A717" s="238" t="s">
        <v>1591</v>
      </c>
      <c r="B717" s="642" t="s">
        <v>206</v>
      </c>
      <c r="C717" s="623" t="s">
        <v>411</v>
      </c>
      <c r="D717" s="623"/>
      <c r="E717" s="661">
        <v>98200</v>
      </c>
    </row>
    <row r="718" spans="1:5" ht="14.25" x14ac:dyDescent="0.2">
      <c r="A718" s="238" t="s">
        <v>1809</v>
      </c>
      <c r="B718" s="629" t="s">
        <v>3142</v>
      </c>
      <c r="C718" s="630" t="s">
        <v>288</v>
      </c>
      <c r="D718" s="630"/>
      <c r="E718" s="661">
        <v>61409</v>
      </c>
    </row>
    <row r="719" spans="1:5" ht="14.25" x14ac:dyDescent="0.2">
      <c r="A719" s="222" t="s">
        <v>1821</v>
      </c>
      <c r="B719" s="629" t="s">
        <v>2747</v>
      </c>
      <c r="C719" s="630" t="s">
        <v>288</v>
      </c>
      <c r="D719" s="630"/>
      <c r="E719" s="661">
        <v>29706</v>
      </c>
    </row>
    <row r="720" spans="1:5" ht="14.25" x14ac:dyDescent="0.2">
      <c r="A720" s="238" t="s">
        <v>1713</v>
      </c>
      <c r="B720" s="629" t="s">
        <v>1949</v>
      </c>
      <c r="C720" s="630" t="s">
        <v>288</v>
      </c>
      <c r="D720" s="630"/>
      <c r="E720" s="661">
        <v>21319</v>
      </c>
    </row>
    <row r="721" spans="1:5" ht="14.25" x14ac:dyDescent="0.2">
      <c r="A721" s="238" t="s">
        <v>1593</v>
      </c>
      <c r="B721" s="629" t="s">
        <v>3345</v>
      </c>
      <c r="C721" s="630" t="s">
        <v>288</v>
      </c>
      <c r="D721" s="630"/>
      <c r="E721" s="661">
        <v>18397</v>
      </c>
    </row>
    <row r="722" spans="1:5" x14ac:dyDescent="0.2">
      <c r="A722" s="238" t="s">
        <v>1592</v>
      </c>
      <c r="B722" s="629" t="s">
        <v>3702</v>
      </c>
      <c r="C722" s="630" t="s">
        <v>411</v>
      </c>
      <c r="D722" s="630"/>
      <c r="E722" s="661">
        <v>4900</v>
      </c>
    </row>
    <row r="723" spans="1:5" ht="14.25" x14ac:dyDescent="0.2">
      <c r="A723" s="222" t="s">
        <v>1594</v>
      </c>
      <c r="B723" s="639" t="s">
        <v>2467</v>
      </c>
      <c r="C723" s="630" t="s">
        <v>288</v>
      </c>
      <c r="D723" s="630"/>
      <c r="E723" s="661">
        <v>58394</v>
      </c>
    </row>
    <row r="724" spans="1:5" ht="14.25" x14ac:dyDescent="0.2">
      <c r="A724" s="222" t="s">
        <v>1787</v>
      </c>
      <c r="B724" s="635" t="s">
        <v>3703</v>
      </c>
      <c r="C724" s="630" t="s">
        <v>288</v>
      </c>
      <c r="D724" s="630"/>
      <c r="E724" s="661">
        <v>13767</v>
      </c>
    </row>
    <row r="725" spans="1:5" ht="14.25" x14ac:dyDescent="0.2">
      <c r="A725" s="238" t="s">
        <v>1595</v>
      </c>
      <c r="B725" s="629" t="s">
        <v>662</v>
      </c>
      <c r="C725" s="630" t="s">
        <v>288</v>
      </c>
      <c r="D725" s="630"/>
      <c r="E725" s="661">
        <v>1418</v>
      </c>
    </row>
    <row r="726" spans="1:5" ht="14.25" x14ac:dyDescent="0.2">
      <c r="A726" s="238" t="s">
        <v>1596</v>
      </c>
      <c r="B726" s="629" t="s">
        <v>542</v>
      </c>
      <c r="C726" s="630" t="s">
        <v>288</v>
      </c>
      <c r="D726" s="630"/>
      <c r="E726" s="661">
        <v>1724</v>
      </c>
    </row>
    <row r="727" spans="1:5" x14ac:dyDescent="0.2">
      <c r="A727" s="222" t="s">
        <v>3025</v>
      </c>
      <c r="B727" s="893" t="s">
        <v>3895</v>
      </c>
      <c r="C727" s="633" t="s">
        <v>411</v>
      </c>
      <c r="D727" s="633"/>
      <c r="E727" s="663">
        <v>15600</v>
      </c>
    </row>
    <row r="728" spans="1:5" x14ac:dyDescent="0.2">
      <c r="A728" s="222" t="s">
        <v>3026</v>
      </c>
      <c r="B728" s="893" t="s">
        <v>3896</v>
      </c>
      <c r="C728" s="633" t="s">
        <v>411</v>
      </c>
      <c r="D728" s="633"/>
      <c r="E728" s="890">
        <v>1269</v>
      </c>
    </row>
    <row r="729" spans="1:5" x14ac:dyDescent="0.2">
      <c r="A729" s="222" t="s">
        <v>3027</v>
      </c>
      <c r="B729" s="893" t="s">
        <v>3028</v>
      </c>
      <c r="C729" s="633" t="s">
        <v>411</v>
      </c>
      <c r="D729" s="633"/>
      <c r="E729" s="663">
        <v>2600</v>
      </c>
    </row>
    <row r="730" spans="1:5" x14ac:dyDescent="0.2">
      <c r="A730" s="222" t="s">
        <v>3029</v>
      </c>
      <c r="B730" s="893" t="s">
        <v>3030</v>
      </c>
      <c r="C730" s="633" t="s">
        <v>411</v>
      </c>
      <c r="D730" s="633"/>
      <c r="E730" s="663">
        <v>1500</v>
      </c>
    </row>
    <row r="731" spans="1:5" x14ac:dyDescent="0.2">
      <c r="A731" s="222" t="s">
        <v>3031</v>
      </c>
      <c r="B731" s="893" t="s">
        <v>3032</v>
      </c>
      <c r="C731" s="633" t="s">
        <v>411</v>
      </c>
      <c r="D731" s="633"/>
      <c r="E731" s="663">
        <v>1150</v>
      </c>
    </row>
    <row r="732" spans="1:5" ht="14.25" x14ac:dyDescent="0.2">
      <c r="A732" s="238" t="s">
        <v>1598</v>
      </c>
      <c r="B732" s="629" t="s">
        <v>622</v>
      </c>
      <c r="C732" s="630" t="s">
        <v>285</v>
      </c>
      <c r="D732" s="630"/>
      <c r="E732" s="661">
        <f>750000/8</f>
        <v>93750</v>
      </c>
    </row>
    <row r="733" spans="1:5" ht="14.25" x14ac:dyDescent="0.2">
      <c r="A733" s="238" t="s">
        <v>1599</v>
      </c>
      <c r="B733" s="642" t="s">
        <v>637</v>
      </c>
      <c r="C733" s="623" t="s">
        <v>285</v>
      </c>
      <c r="D733" s="623"/>
      <c r="E733" s="661">
        <f>750000/8</f>
        <v>93750</v>
      </c>
    </row>
    <row r="734" spans="1:5" x14ac:dyDescent="0.2">
      <c r="A734" s="222" t="s">
        <v>2636</v>
      </c>
      <c r="B734" s="629" t="s">
        <v>3704</v>
      </c>
      <c r="C734" s="630" t="s">
        <v>411</v>
      </c>
      <c r="D734" s="630"/>
      <c r="E734" s="661">
        <v>31800</v>
      </c>
    </row>
    <row r="735" spans="1:5" x14ac:dyDescent="0.2">
      <c r="A735" s="222" t="s">
        <v>2638</v>
      </c>
      <c r="B735" s="629" t="s">
        <v>2637</v>
      </c>
      <c r="C735" s="630" t="s">
        <v>411</v>
      </c>
      <c r="D735" s="630"/>
      <c r="E735" s="661">
        <v>39900</v>
      </c>
    </row>
    <row r="736" spans="1:5" x14ac:dyDescent="0.2">
      <c r="A736" s="222" t="s">
        <v>3033</v>
      </c>
      <c r="B736" s="893" t="s">
        <v>3873</v>
      </c>
      <c r="C736" s="633" t="s">
        <v>411</v>
      </c>
      <c r="D736" s="633"/>
      <c r="E736" s="662">
        <v>6150</v>
      </c>
    </row>
    <row r="737" spans="1:5" x14ac:dyDescent="0.2">
      <c r="A737" s="585" t="s">
        <v>1855</v>
      </c>
      <c r="B737" s="903" t="s">
        <v>2136</v>
      </c>
      <c r="C737" s="632" t="s">
        <v>411</v>
      </c>
      <c r="D737" s="632"/>
      <c r="E737" s="661">
        <v>6150</v>
      </c>
    </row>
    <row r="738" spans="1:5" x14ac:dyDescent="0.2">
      <c r="A738" s="585" t="s">
        <v>1850</v>
      </c>
      <c r="B738" s="903" t="s">
        <v>2137</v>
      </c>
      <c r="C738" s="632" t="s">
        <v>411</v>
      </c>
      <c r="D738" s="632"/>
      <c r="E738" s="661">
        <v>33150</v>
      </c>
    </row>
    <row r="739" spans="1:5" x14ac:dyDescent="0.2">
      <c r="A739" s="222" t="s">
        <v>3034</v>
      </c>
      <c r="B739" s="894" t="s">
        <v>3035</v>
      </c>
      <c r="C739" s="633" t="s">
        <v>411</v>
      </c>
      <c r="D739" s="633"/>
      <c r="E739" s="662">
        <v>39900</v>
      </c>
    </row>
    <row r="740" spans="1:5" x14ac:dyDescent="0.2">
      <c r="A740" s="222" t="s">
        <v>3036</v>
      </c>
      <c r="B740" s="894" t="s">
        <v>3897</v>
      </c>
      <c r="C740" s="633" t="s">
        <v>411</v>
      </c>
      <c r="D740" s="633"/>
      <c r="E740" s="662">
        <v>33150</v>
      </c>
    </row>
    <row r="741" spans="1:5" x14ac:dyDescent="0.2">
      <c r="A741" s="222" t="s">
        <v>3037</v>
      </c>
      <c r="B741" s="893" t="s">
        <v>3038</v>
      </c>
      <c r="C741" s="633" t="s">
        <v>411</v>
      </c>
      <c r="D741" s="633"/>
      <c r="E741" s="662">
        <v>13000</v>
      </c>
    </row>
    <row r="742" spans="1:5" x14ac:dyDescent="0.2">
      <c r="A742" s="222" t="s">
        <v>3039</v>
      </c>
      <c r="B742" s="893" t="s">
        <v>3898</v>
      </c>
      <c r="C742" s="633" t="s">
        <v>411</v>
      </c>
      <c r="D742" s="633"/>
      <c r="E742" s="662">
        <v>6100</v>
      </c>
    </row>
    <row r="743" spans="1:5" x14ac:dyDescent="0.2">
      <c r="A743" s="222" t="s">
        <v>3040</v>
      </c>
      <c r="B743" s="893" t="s">
        <v>3041</v>
      </c>
      <c r="C743" s="633" t="s">
        <v>411</v>
      </c>
      <c r="D743" s="633"/>
      <c r="E743" s="662">
        <v>239900</v>
      </c>
    </row>
    <row r="744" spans="1:5" x14ac:dyDescent="0.2">
      <c r="A744" s="585" t="s">
        <v>1849</v>
      </c>
      <c r="B744" s="903" t="s">
        <v>3042</v>
      </c>
      <c r="C744" s="632" t="s">
        <v>411</v>
      </c>
      <c r="D744" s="632"/>
      <c r="E744" s="661">
        <v>49990</v>
      </c>
    </row>
    <row r="745" spans="1:5" x14ac:dyDescent="0.2">
      <c r="A745" s="238" t="s">
        <v>1753</v>
      </c>
      <c r="B745" s="629" t="s">
        <v>192</v>
      </c>
      <c r="C745" s="630" t="s">
        <v>411</v>
      </c>
      <c r="D745" s="630"/>
      <c r="E745" s="661">
        <v>6900</v>
      </c>
    </row>
    <row r="746" spans="1:5" x14ac:dyDescent="0.2">
      <c r="A746" s="222" t="s">
        <v>1606</v>
      </c>
      <c r="B746" s="639" t="s">
        <v>3043</v>
      </c>
      <c r="C746" s="225" t="s">
        <v>411</v>
      </c>
      <c r="D746" s="225"/>
      <c r="E746" s="661">
        <f>96400/12</f>
        <v>8033.333333333333</v>
      </c>
    </row>
    <row r="747" spans="1:5" x14ac:dyDescent="0.2">
      <c r="A747" s="585" t="s">
        <v>1830</v>
      </c>
      <c r="B747" s="651" t="s">
        <v>2204</v>
      </c>
      <c r="C747" s="632" t="s">
        <v>411</v>
      </c>
      <c r="D747" s="632"/>
      <c r="E747" s="661">
        <v>1800</v>
      </c>
    </row>
    <row r="748" spans="1:5" x14ac:dyDescent="0.2">
      <c r="A748" s="222" t="s">
        <v>1607</v>
      </c>
      <c r="B748" s="637" t="s">
        <v>100</v>
      </c>
      <c r="C748" s="225" t="s">
        <v>411</v>
      </c>
      <c r="D748" s="225"/>
      <c r="E748" s="661">
        <v>38</v>
      </c>
    </row>
    <row r="749" spans="1:5" x14ac:dyDescent="0.2">
      <c r="A749" s="222" t="s">
        <v>2662</v>
      </c>
      <c r="B749" s="893" t="s">
        <v>2591</v>
      </c>
      <c r="C749" s="633" t="s">
        <v>411</v>
      </c>
      <c r="D749" s="633"/>
      <c r="E749" s="662">
        <v>7800</v>
      </c>
    </row>
    <row r="750" spans="1:5" x14ac:dyDescent="0.2">
      <c r="A750" s="222" t="s">
        <v>1608</v>
      </c>
      <c r="B750" s="637" t="s">
        <v>150</v>
      </c>
      <c r="C750" s="225" t="s">
        <v>411</v>
      </c>
      <c r="D750" s="225"/>
      <c r="E750" s="661">
        <f>8600/100</f>
        <v>86</v>
      </c>
    </row>
    <row r="751" spans="1:5" x14ac:dyDescent="0.2">
      <c r="A751" s="222" t="s">
        <v>2663</v>
      </c>
      <c r="B751" s="893" t="s">
        <v>2592</v>
      </c>
      <c r="C751" s="633" t="s">
        <v>411</v>
      </c>
      <c r="D751" s="633"/>
      <c r="E751" s="662">
        <v>1400</v>
      </c>
    </row>
    <row r="752" spans="1:5" x14ac:dyDescent="0.2">
      <c r="A752" s="222" t="s">
        <v>3044</v>
      </c>
      <c r="B752" s="901" t="s">
        <v>2597</v>
      </c>
      <c r="C752" s="643" t="s">
        <v>411</v>
      </c>
      <c r="D752" s="643"/>
      <c r="E752" s="663">
        <v>3000</v>
      </c>
    </row>
    <row r="753" spans="1:5" x14ac:dyDescent="0.2">
      <c r="A753" s="222" t="s">
        <v>3045</v>
      </c>
      <c r="B753" s="893" t="s">
        <v>3046</v>
      </c>
      <c r="C753" s="633" t="s">
        <v>411</v>
      </c>
      <c r="D753" s="633"/>
      <c r="E753" s="662">
        <v>1700</v>
      </c>
    </row>
    <row r="754" spans="1:5" x14ac:dyDescent="0.2">
      <c r="A754" s="239" t="s">
        <v>1610</v>
      </c>
      <c r="B754" s="642" t="s">
        <v>1991</v>
      </c>
      <c r="C754" s="623" t="s">
        <v>411</v>
      </c>
      <c r="D754" s="623"/>
      <c r="E754" s="661">
        <v>284900</v>
      </c>
    </row>
    <row r="755" spans="1:5" x14ac:dyDescent="0.2">
      <c r="A755" s="222" t="s">
        <v>3047</v>
      </c>
      <c r="B755" s="893" t="s">
        <v>3048</v>
      </c>
      <c r="C755" s="633" t="s">
        <v>411</v>
      </c>
      <c r="D755" s="633"/>
      <c r="E755" s="662">
        <v>23487650</v>
      </c>
    </row>
    <row r="756" spans="1:5" x14ac:dyDescent="0.2">
      <c r="A756" s="222" t="s">
        <v>3049</v>
      </c>
      <c r="B756" s="893" t="s">
        <v>3050</v>
      </c>
      <c r="C756" s="633" t="s">
        <v>411</v>
      </c>
      <c r="D756" s="633"/>
      <c r="E756" s="662">
        <v>3400000</v>
      </c>
    </row>
    <row r="757" spans="1:5" x14ac:dyDescent="0.2">
      <c r="A757" s="222" t="s">
        <v>3051</v>
      </c>
      <c r="B757" s="899" t="s">
        <v>3052</v>
      </c>
      <c r="C757" s="633" t="s">
        <v>411</v>
      </c>
      <c r="D757" s="633"/>
      <c r="E757" s="889">
        <v>4472000</v>
      </c>
    </row>
    <row r="758" spans="1:5" ht="14.25" x14ac:dyDescent="0.2">
      <c r="A758" s="238" t="s">
        <v>1611</v>
      </c>
      <c r="B758" s="629" t="s">
        <v>3732</v>
      </c>
      <c r="C758" s="630" t="s">
        <v>285</v>
      </c>
      <c r="D758" s="630"/>
      <c r="E758" s="661">
        <f>(74649+75296)/2</f>
        <v>74972.5</v>
      </c>
    </row>
    <row r="759" spans="1:5" x14ac:dyDescent="0.2">
      <c r="A759" s="222" t="s">
        <v>2664</v>
      </c>
      <c r="B759" s="893" t="s">
        <v>3053</v>
      </c>
      <c r="C759" s="633" t="s">
        <v>405</v>
      </c>
      <c r="D759" s="633"/>
      <c r="E759" s="663">
        <f>19800/3</f>
        <v>6600</v>
      </c>
    </row>
    <row r="760" spans="1:5" x14ac:dyDescent="0.2">
      <c r="A760" s="222" t="s">
        <v>3054</v>
      </c>
      <c r="B760" s="893" t="s">
        <v>3055</v>
      </c>
      <c r="C760" s="633" t="s">
        <v>405</v>
      </c>
      <c r="D760" s="633"/>
      <c r="E760" s="663">
        <f>72300/3</f>
        <v>24100</v>
      </c>
    </row>
    <row r="761" spans="1:5" x14ac:dyDescent="0.2">
      <c r="A761" s="222" t="s">
        <v>3056</v>
      </c>
      <c r="B761" s="893" t="s">
        <v>3057</v>
      </c>
      <c r="C761" s="633" t="s">
        <v>405</v>
      </c>
      <c r="D761" s="633"/>
      <c r="E761" s="663">
        <f>39850/3</f>
        <v>13283.333333333334</v>
      </c>
    </row>
    <row r="762" spans="1:5" x14ac:dyDescent="0.2">
      <c r="A762" s="222" t="s">
        <v>3058</v>
      </c>
      <c r="B762" s="893" t="s">
        <v>3059</v>
      </c>
      <c r="C762" s="633" t="s">
        <v>405</v>
      </c>
      <c r="D762" s="633"/>
      <c r="E762" s="663">
        <f>106300/3</f>
        <v>35433.333333333336</v>
      </c>
    </row>
    <row r="763" spans="1:5" x14ac:dyDescent="0.2">
      <c r="A763" s="222" t="s">
        <v>3060</v>
      </c>
      <c r="B763" s="893" t="s">
        <v>3061</v>
      </c>
      <c r="C763" s="633" t="s">
        <v>405</v>
      </c>
      <c r="D763" s="633"/>
      <c r="E763" s="663">
        <f>237300/3</f>
        <v>79100</v>
      </c>
    </row>
    <row r="764" spans="1:5" x14ac:dyDescent="0.2">
      <c r="A764" s="585" t="s">
        <v>1853</v>
      </c>
      <c r="B764" s="894" t="s">
        <v>3062</v>
      </c>
      <c r="C764" s="633" t="s">
        <v>405</v>
      </c>
      <c r="D764" s="633"/>
      <c r="E764" s="663">
        <f>27300/3</f>
        <v>9100</v>
      </c>
    </row>
    <row r="765" spans="1:5" x14ac:dyDescent="0.2">
      <c r="A765" s="222" t="s">
        <v>3063</v>
      </c>
      <c r="B765" s="894" t="s">
        <v>3064</v>
      </c>
      <c r="C765" s="633" t="s">
        <v>405</v>
      </c>
      <c r="D765" s="633"/>
      <c r="E765" s="663">
        <f>337000/3</f>
        <v>112333.33333333333</v>
      </c>
    </row>
    <row r="766" spans="1:5" x14ac:dyDescent="0.2">
      <c r="A766" s="585" t="s">
        <v>1831</v>
      </c>
      <c r="B766" s="895" t="s">
        <v>3065</v>
      </c>
      <c r="C766" s="632" t="s">
        <v>405</v>
      </c>
      <c r="D766" s="632"/>
      <c r="E766" s="888">
        <f>45600/3</f>
        <v>15200</v>
      </c>
    </row>
    <row r="767" spans="1:5" x14ac:dyDescent="0.2">
      <c r="A767" s="222" t="s">
        <v>3066</v>
      </c>
      <c r="B767" s="893" t="s">
        <v>3067</v>
      </c>
      <c r="C767" s="633" t="s">
        <v>405</v>
      </c>
      <c r="D767" s="633"/>
      <c r="E767" s="663">
        <f>127550/3</f>
        <v>42516.666666666664</v>
      </c>
    </row>
    <row r="768" spans="1:5" x14ac:dyDescent="0.2">
      <c r="A768" s="585" t="s">
        <v>1818</v>
      </c>
      <c r="B768" s="896" t="s">
        <v>3068</v>
      </c>
      <c r="C768" s="641" t="s">
        <v>405</v>
      </c>
      <c r="D768" s="641"/>
      <c r="E768" s="888">
        <f>78450/3</f>
        <v>26150</v>
      </c>
    </row>
    <row r="769" spans="1:5" x14ac:dyDescent="0.2">
      <c r="A769" s="222" t="s">
        <v>3069</v>
      </c>
      <c r="B769" s="904" t="s">
        <v>3070</v>
      </c>
      <c r="C769" s="652" t="s">
        <v>405</v>
      </c>
      <c r="D769" s="652"/>
      <c r="E769" s="892">
        <f>160600/3</f>
        <v>53533.333333333336</v>
      </c>
    </row>
    <row r="770" spans="1:5" x14ac:dyDescent="0.2">
      <c r="A770" s="222" t="s">
        <v>1842</v>
      </c>
      <c r="B770" s="904" t="s">
        <v>3160</v>
      </c>
      <c r="C770" s="633" t="s">
        <v>405</v>
      </c>
      <c r="D770" s="633"/>
      <c r="E770" s="663">
        <f>69150/3</f>
        <v>23050</v>
      </c>
    </row>
    <row r="771" spans="1:5" x14ac:dyDescent="0.2">
      <c r="A771" s="222" t="s">
        <v>3071</v>
      </c>
      <c r="B771" s="893" t="s">
        <v>3072</v>
      </c>
      <c r="C771" s="633" t="s">
        <v>405</v>
      </c>
      <c r="D771" s="633"/>
      <c r="E771" s="663">
        <f>488200/3</f>
        <v>162733.33333333334</v>
      </c>
    </row>
    <row r="772" spans="1:5" x14ac:dyDescent="0.2">
      <c r="A772" s="585" t="s">
        <v>1863</v>
      </c>
      <c r="B772" s="895" t="s">
        <v>3073</v>
      </c>
      <c r="C772" s="632" t="s">
        <v>405</v>
      </c>
      <c r="D772" s="632"/>
      <c r="E772" s="888">
        <f>3850/3</f>
        <v>1283.3333333333333</v>
      </c>
    </row>
    <row r="773" spans="1:5" x14ac:dyDescent="0.2">
      <c r="A773" s="585" t="s">
        <v>1878</v>
      </c>
      <c r="B773" s="895" t="s">
        <v>3074</v>
      </c>
      <c r="C773" s="632" t="s">
        <v>405</v>
      </c>
      <c r="D773" s="632"/>
      <c r="E773" s="888">
        <f>7700/3</f>
        <v>2566.6666666666665</v>
      </c>
    </row>
    <row r="774" spans="1:5" x14ac:dyDescent="0.2">
      <c r="A774" s="222" t="s">
        <v>2654</v>
      </c>
      <c r="B774" s="895" t="s">
        <v>2748</v>
      </c>
      <c r="C774" s="632" t="s">
        <v>405</v>
      </c>
      <c r="D774" s="632"/>
      <c r="E774" s="888">
        <f>7050/3</f>
        <v>2350</v>
      </c>
    </row>
    <row r="775" spans="1:5" x14ac:dyDescent="0.2">
      <c r="A775" s="585" t="s">
        <v>2551</v>
      </c>
      <c r="B775" s="895" t="s">
        <v>3075</v>
      </c>
      <c r="C775" s="632" t="s">
        <v>405</v>
      </c>
      <c r="D775" s="632"/>
      <c r="E775" s="888">
        <f>5200/3</f>
        <v>1733.3333333333333</v>
      </c>
    </row>
    <row r="776" spans="1:5" x14ac:dyDescent="0.2">
      <c r="A776" s="238" t="s">
        <v>1612</v>
      </c>
      <c r="B776" s="629" t="s">
        <v>3076</v>
      </c>
      <c r="C776" s="630" t="s">
        <v>405</v>
      </c>
      <c r="D776" s="630"/>
      <c r="E776" s="888">
        <v>4667</v>
      </c>
    </row>
    <row r="777" spans="1:5" x14ac:dyDescent="0.2">
      <c r="A777" s="238" t="s">
        <v>1613</v>
      </c>
      <c r="B777" s="629" t="s">
        <v>3678</v>
      </c>
      <c r="C777" s="630" t="s">
        <v>405</v>
      </c>
      <c r="D777" s="630"/>
      <c r="E777" s="661">
        <v>27167</v>
      </c>
    </row>
    <row r="778" spans="1:5" x14ac:dyDescent="0.2">
      <c r="A778" s="238" t="s">
        <v>1614</v>
      </c>
      <c r="B778" s="629" t="s">
        <v>3679</v>
      </c>
      <c r="C778" s="630" t="s">
        <v>405</v>
      </c>
      <c r="D778" s="630"/>
      <c r="E778" s="661">
        <v>28667</v>
      </c>
    </row>
    <row r="779" spans="1:5" x14ac:dyDescent="0.2">
      <c r="A779" s="238" t="s">
        <v>1615</v>
      </c>
      <c r="B779" s="629" t="s">
        <v>3680</v>
      </c>
      <c r="C779" s="630" t="s">
        <v>405</v>
      </c>
      <c r="D779" s="630"/>
      <c r="E779" s="661">
        <v>59119</v>
      </c>
    </row>
    <row r="780" spans="1:5" x14ac:dyDescent="0.2">
      <c r="A780" s="238" t="s">
        <v>1616</v>
      </c>
      <c r="B780" s="629" t="s">
        <v>3681</v>
      </c>
      <c r="C780" s="630" t="s">
        <v>405</v>
      </c>
      <c r="D780" s="630"/>
      <c r="E780" s="661">
        <v>59833</v>
      </c>
    </row>
    <row r="781" spans="1:5" x14ac:dyDescent="0.2">
      <c r="A781" s="238" t="s">
        <v>1617</v>
      </c>
      <c r="B781" s="629" t="s">
        <v>3705</v>
      </c>
      <c r="C781" s="630" t="s">
        <v>405</v>
      </c>
      <c r="D781" s="630"/>
      <c r="E781" s="661">
        <v>92820</v>
      </c>
    </row>
    <row r="782" spans="1:5" x14ac:dyDescent="0.2">
      <c r="A782" s="238" t="s">
        <v>1618</v>
      </c>
      <c r="B782" s="629" t="s">
        <v>3682</v>
      </c>
      <c r="C782" s="630" t="s">
        <v>405</v>
      </c>
      <c r="D782" s="630"/>
      <c r="E782" s="661">
        <v>105672</v>
      </c>
    </row>
    <row r="783" spans="1:5" x14ac:dyDescent="0.2">
      <c r="A783" s="238" t="s">
        <v>1619</v>
      </c>
      <c r="B783" s="629" t="s">
        <v>3683</v>
      </c>
      <c r="C783" s="630" t="s">
        <v>405</v>
      </c>
      <c r="D783" s="630"/>
      <c r="E783" s="661">
        <v>137088</v>
      </c>
    </row>
    <row r="784" spans="1:5" x14ac:dyDescent="0.2">
      <c r="A784" s="238" t="s">
        <v>1621</v>
      </c>
      <c r="B784" s="629" t="s">
        <v>3706</v>
      </c>
      <c r="C784" s="630" t="s">
        <v>405</v>
      </c>
      <c r="D784" s="630"/>
      <c r="E784" s="661">
        <v>234136</v>
      </c>
    </row>
    <row r="785" spans="1:5" x14ac:dyDescent="0.2">
      <c r="A785" s="238" t="s">
        <v>1622</v>
      </c>
      <c r="B785" s="629" t="s">
        <v>3684</v>
      </c>
      <c r="C785" s="630" t="s">
        <v>405</v>
      </c>
      <c r="D785" s="630"/>
      <c r="E785" s="661">
        <v>448868</v>
      </c>
    </row>
    <row r="786" spans="1:5" x14ac:dyDescent="0.2">
      <c r="A786" s="238" t="s">
        <v>1623</v>
      </c>
      <c r="B786" s="629" t="s">
        <v>3685</v>
      </c>
      <c r="C786" s="630" t="s">
        <v>405</v>
      </c>
      <c r="D786" s="630"/>
      <c r="E786" s="661">
        <v>549177</v>
      </c>
    </row>
    <row r="787" spans="1:5" x14ac:dyDescent="0.2">
      <c r="A787" s="238" t="s">
        <v>1624</v>
      </c>
      <c r="B787" s="629" t="s">
        <v>3686</v>
      </c>
      <c r="C787" s="630" t="s">
        <v>405</v>
      </c>
      <c r="D787" s="630"/>
      <c r="E787" s="661">
        <v>697975</v>
      </c>
    </row>
    <row r="788" spans="1:5" x14ac:dyDescent="0.2">
      <c r="A788" s="238" t="s">
        <v>1625</v>
      </c>
      <c r="B788" s="629" t="s">
        <v>3687</v>
      </c>
      <c r="C788" s="630" t="s">
        <v>405</v>
      </c>
      <c r="D788" s="630"/>
      <c r="E788" s="661">
        <v>525076</v>
      </c>
    </row>
    <row r="789" spans="1:5" x14ac:dyDescent="0.2">
      <c r="A789" s="238" t="s">
        <v>1626</v>
      </c>
      <c r="B789" s="629" t="s">
        <v>3688</v>
      </c>
      <c r="C789" s="630" t="s">
        <v>405</v>
      </c>
      <c r="D789" s="630"/>
      <c r="E789" s="661">
        <v>568454</v>
      </c>
    </row>
    <row r="790" spans="1:5" x14ac:dyDescent="0.2">
      <c r="A790" s="238" t="s">
        <v>1627</v>
      </c>
      <c r="B790" s="629" t="s">
        <v>3689</v>
      </c>
      <c r="C790" s="630" t="s">
        <v>405</v>
      </c>
      <c r="D790" s="630"/>
      <c r="E790" s="661">
        <v>755412</v>
      </c>
    </row>
    <row r="791" spans="1:5" x14ac:dyDescent="0.2">
      <c r="A791" s="239" t="s">
        <v>1760</v>
      </c>
      <c r="B791" s="642" t="s">
        <v>2163</v>
      </c>
      <c r="C791" s="623" t="s">
        <v>405</v>
      </c>
      <c r="D791" s="623"/>
      <c r="E791" s="661">
        <f>117900/6</f>
        <v>19650</v>
      </c>
    </row>
    <row r="792" spans="1:5" x14ac:dyDescent="0.2">
      <c r="A792" s="238" t="s">
        <v>1628</v>
      </c>
      <c r="B792" s="642" t="s">
        <v>204</v>
      </c>
      <c r="C792" s="623" t="s">
        <v>405</v>
      </c>
      <c r="D792" s="623"/>
      <c r="E792" s="661">
        <f>435842/6</f>
        <v>72640.333333333328</v>
      </c>
    </row>
    <row r="793" spans="1:5" x14ac:dyDescent="0.2">
      <c r="A793" s="238" t="s">
        <v>1629</v>
      </c>
      <c r="B793" s="629" t="s">
        <v>3077</v>
      </c>
      <c r="C793" s="630" t="s">
        <v>405</v>
      </c>
      <c r="D793" s="630"/>
      <c r="E793" s="661">
        <v>10712</v>
      </c>
    </row>
    <row r="794" spans="1:5" x14ac:dyDescent="0.2">
      <c r="A794" s="222" t="s">
        <v>1673</v>
      </c>
      <c r="B794" s="629" t="s">
        <v>3162</v>
      </c>
      <c r="C794" s="225" t="s">
        <v>411</v>
      </c>
      <c r="D794" s="225"/>
      <c r="E794" s="661">
        <v>64270</v>
      </c>
    </row>
    <row r="795" spans="1:5" x14ac:dyDescent="0.2">
      <c r="A795" s="238" t="s">
        <v>1630</v>
      </c>
      <c r="B795" s="629" t="s">
        <v>3078</v>
      </c>
      <c r="C795" s="630" t="s">
        <v>405</v>
      </c>
      <c r="D795" s="630"/>
      <c r="E795" s="661">
        <v>3950</v>
      </c>
    </row>
    <row r="796" spans="1:5" x14ac:dyDescent="0.2">
      <c r="A796" s="238" t="s">
        <v>1631</v>
      </c>
      <c r="B796" s="629" t="s">
        <v>2081</v>
      </c>
      <c r="C796" s="630" t="s">
        <v>405</v>
      </c>
      <c r="D796" s="630"/>
      <c r="E796" s="661">
        <v>12317</v>
      </c>
    </row>
    <row r="797" spans="1:5" x14ac:dyDescent="0.2">
      <c r="A797" s="238" t="s">
        <v>1632</v>
      </c>
      <c r="B797" s="629" t="s">
        <v>2080</v>
      </c>
      <c r="C797" s="630" t="s">
        <v>405</v>
      </c>
      <c r="D797" s="630"/>
      <c r="E797" s="661">
        <v>34984</v>
      </c>
    </row>
    <row r="798" spans="1:5" x14ac:dyDescent="0.2">
      <c r="A798" s="238" t="s">
        <v>1633</v>
      </c>
      <c r="B798" s="629" t="s">
        <v>2079</v>
      </c>
      <c r="C798" s="630" t="s">
        <v>405</v>
      </c>
      <c r="D798" s="630"/>
      <c r="E798" s="661">
        <v>73150</v>
      </c>
    </row>
    <row r="799" spans="1:5" x14ac:dyDescent="0.2">
      <c r="A799" s="238" t="s">
        <v>1634</v>
      </c>
      <c r="B799" s="629" t="s">
        <v>2078</v>
      </c>
      <c r="C799" s="630" t="s">
        <v>405</v>
      </c>
      <c r="D799" s="630"/>
      <c r="E799" s="661">
        <v>90650</v>
      </c>
    </row>
    <row r="800" spans="1:5" x14ac:dyDescent="0.2">
      <c r="A800" s="238" t="s">
        <v>1635</v>
      </c>
      <c r="B800" s="629" t="s">
        <v>2077</v>
      </c>
      <c r="C800" s="630" t="s">
        <v>405</v>
      </c>
      <c r="D800" s="630"/>
      <c r="E800" s="661">
        <f>864504/6</f>
        <v>144084</v>
      </c>
    </row>
    <row r="801" spans="1:5" x14ac:dyDescent="0.2">
      <c r="A801" s="238" t="s">
        <v>1636</v>
      </c>
      <c r="B801" s="629" t="s">
        <v>243</v>
      </c>
      <c r="C801" s="630" t="s">
        <v>405</v>
      </c>
      <c r="D801" s="630"/>
      <c r="E801" s="661">
        <f>48900/3</f>
        <v>16300</v>
      </c>
    </row>
    <row r="802" spans="1:5" x14ac:dyDescent="0.2">
      <c r="A802" s="238" t="s">
        <v>1637</v>
      </c>
      <c r="B802" s="629" t="s">
        <v>564</v>
      </c>
      <c r="C802" s="630" t="s">
        <v>405</v>
      </c>
      <c r="D802" s="630"/>
      <c r="E802" s="661">
        <v>8484</v>
      </c>
    </row>
    <row r="803" spans="1:5" x14ac:dyDescent="0.2">
      <c r="A803" s="238" t="s">
        <v>1638</v>
      </c>
      <c r="B803" s="629" t="s">
        <v>565</v>
      </c>
      <c r="C803" s="630" t="s">
        <v>405</v>
      </c>
      <c r="D803" s="630"/>
      <c r="E803" s="661">
        <v>12317</v>
      </c>
    </row>
    <row r="804" spans="1:5" x14ac:dyDescent="0.2">
      <c r="A804" s="238" t="s">
        <v>1639</v>
      </c>
      <c r="B804" s="629" t="s">
        <v>566</v>
      </c>
      <c r="C804" s="630" t="s">
        <v>405</v>
      </c>
      <c r="D804" s="630"/>
      <c r="E804" s="661">
        <f>96850/6</f>
        <v>16141.666666666666</v>
      </c>
    </row>
    <row r="805" spans="1:5" x14ac:dyDescent="0.2">
      <c r="A805" s="238" t="s">
        <v>1642</v>
      </c>
      <c r="B805" s="629" t="s">
        <v>7</v>
      </c>
      <c r="C805" s="630" t="s">
        <v>405</v>
      </c>
      <c r="D805" s="630"/>
      <c r="E805" s="661">
        <v>17990</v>
      </c>
    </row>
    <row r="806" spans="1:5" x14ac:dyDescent="0.2">
      <c r="A806" s="238" t="s">
        <v>1643</v>
      </c>
      <c r="B806" s="629" t="s">
        <v>9</v>
      </c>
      <c r="C806" s="630" t="s">
        <v>405</v>
      </c>
      <c r="D806" s="630"/>
      <c r="E806" s="661">
        <v>34260</v>
      </c>
    </row>
    <row r="807" spans="1:5" x14ac:dyDescent="0.2">
      <c r="A807" s="238" t="s">
        <v>1644</v>
      </c>
      <c r="B807" s="629" t="s">
        <v>8</v>
      </c>
      <c r="C807" s="630" t="s">
        <v>405</v>
      </c>
      <c r="D807" s="630"/>
      <c r="E807" s="661">
        <v>30670.666666666668</v>
      </c>
    </row>
    <row r="808" spans="1:5" x14ac:dyDescent="0.2">
      <c r="A808" s="238" t="s">
        <v>1645</v>
      </c>
      <c r="B808" s="664" t="s">
        <v>30</v>
      </c>
      <c r="C808" s="630" t="s">
        <v>405</v>
      </c>
      <c r="D808" s="630"/>
      <c r="E808" s="661">
        <v>63484</v>
      </c>
    </row>
    <row r="809" spans="1:5" x14ac:dyDescent="0.2">
      <c r="A809" s="238" t="s">
        <v>1646</v>
      </c>
      <c r="B809" s="664" t="s">
        <v>31</v>
      </c>
      <c r="C809" s="630" t="s">
        <v>405</v>
      </c>
      <c r="D809" s="630"/>
      <c r="E809" s="661">
        <v>124650</v>
      </c>
    </row>
    <row r="810" spans="1:5" x14ac:dyDescent="0.2">
      <c r="A810" s="238" t="s">
        <v>1647</v>
      </c>
      <c r="B810" s="664" t="s">
        <v>32</v>
      </c>
      <c r="C810" s="630" t="s">
        <v>405</v>
      </c>
      <c r="D810" s="630"/>
      <c r="E810" s="661">
        <v>228650</v>
      </c>
    </row>
    <row r="811" spans="1:5" x14ac:dyDescent="0.2">
      <c r="A811" s="238" t="s">
        <v>1681</v>
      </c>
      <c r="B811" s="664" t="s">
        <v>27</v>
      </c>
      <c r="C811" s="630" t="s">
        <v>405</v>
      </c>
      <c r="D811" s="630"/>
      <c r="E811" s="661">
        <f>76900/6</f>
        <v>12816.666666666666</v>
      </c>
    </row>
    <row r="812" spans="1:5" x14ac:dyDescent="0.2">
      <c r="A812" s="238" t="s">
        <v>1648</v>
      </c>
      <c r="B812" s="664" t="s">
        <v>28</v>
      </c>
      <c r="C812" s="630" t="s">
        <v>405</v>
      </c>
      <c r="D812" s="630"/>
      <c r="E812" s="661">
        <v>41484</v>
      </c>
    </row>
    <row r="813" spans="1:5" x14ac:dyDescent="0.2">
      <c r="A813" s="238" t="s">
        <v>1649</v>
      </c>
      <c r="B813" s="664" t="s">
        <v>29</v>
      </c>
      <c r="C813" s="630" t="s">
        <v>405</v>
      </c>
      <c r="D813" s="630"/>
      <c r="E813" s="661">
        <v>43150</v>
      </c>
    </row>
    <row r="814" spans="1:5" x14ac:dyDescent="0.2">
      <c r="A814" s="583" t="s">
        <v>1784</v>
      </c>
      <c r="B814" s="629" t="s">
        <v>1786</v>
      </c>
      <c r="C814" s="623" t="s">
        <v>405</v>
      </c>
      <c r="D814" s="623"/>
      <c r="E814" s="661">
        <f>3946700/6.5</f>
        <v>607184.61538461538</v>
      </c>
    </row>
    <row r="815" spans="1:5" x14ac:dyDescent="0.2">
      <c r="A815" s="583" t="s">
        <v>1650</v>
      </c>
      <c r="B815" s="629" t="s">
        <v>682</v>
      </c>
      <c r="C815" s="623" t="s">
        <v>405</v>
      </c>
      <c r="D815" s="623"/>
      <c r="E815" s="661">
        <f>4641200/6.5</f>
        <v>714030.76923076925</v>
      </c>
    </row>
    <row r="816" spans="1:5" x14ac:dyDescent="0.2">
      <c r="A816" s="583" t="s">
        <v>1651</v>
      </c>
      <c r="B816" s="629" t="s">
        <v>681</v>
      </c>
      <c r="C816" s="623" t="s">
        <v>405</v>
      </c>
      <c r="D816" s="623"/>
      <c r="E816" s="661">
        <v>813114</v>
      </c>
    </row>
    <row r="817" spans="1:5" x14ac:dyDescent="0.2">
      <c r="A817" s="583" t="s">
        <v>1652</v>
      </c>
      <c r="B817" s="629" t="s">
        <v>683</v>
      </c>
      <c r="C817" s="623" t="s">
        <v>405</v>
      </c>
      <c r="D817" s="623"/>
      <c r="E817" s="661">
        <f>10750300/6.5</f>
        <v>1653892.3076923077</v>
      </c>
    </row>
    <row r="818" spans="1:5" x14ac:dyDescent="0.2">
      <c r="A818" s="583" t="s">
        <v>1653</v>
      </c>
      <c r="B818" s="629" t="s">
        <v>685</v>
      </c>
      <c r="C818" s="623" t="s">
        <v>405</v>
      </c>
      <c r="D818" s="623"/>
      <c r="E818" s="661">
        <f>16885950/6.5</f>
        <v>2597838.4615384615</v>
      </c>
    </row>
    <row r="819" spans="1:5" x14ac:dyDescent="0.2">
      <c r="A819" s="222" t="s">
        <v>1811</v>
      </c>
      <c r="B819" s="629" t="s">
        <v>1810</v>
      </c>
      <c r="C819" s="630" t="s">
        <v>405</v>
      </c>
      <c r="D819" s="630"/>
      <c r="E819" s="661">
        <v>2547435.076923077</v>
      </c>
    </row>
    <row r="820" spans="1:5" x14ac:dyDescent="0.2">
      <c r="A820" s="222" t="s">
        <v>1654</v>
      </c>
      <c r="B820" s="629" t="s">
        <v>1247</v>
      </c>
      <c r="C820" s="630" t="s">
        <v>405</v>
      </c>
      <c r="D820" s="630"/>
      <c r="E820" s="661">
        <v>3105506.153846154</v>
      </c>
    </row>
    <row r="821" spans="1:5" x14ac:dyDescent="0.2">
      <c r="A821" s="222" t="s">
        <v>1655</v>
      </c>
      <c r="B821" s="629" t="s">
        <v>3079</v>
      </c>
      <c r="C821" s="630" t="s">
        <v>405</v>
      </c>
      <c r="D821" s="630"/>
      <c r="E821" s="661">
        <v>601948.16666666663</v>
      </c>
    </row>
    <row r="822" spans="1:5" x14ac:dyDescent="0.2">
      <c r="A822" s="222" t="s">
        <v>1656</v>
      </c>
      <c r="B822" s="629" t="s">
        <v>3080</v>
      </c>
      <c r="C822" s="630" t="s">
        <v>405</v>
      </c>
      <c r="D822" s="630"/>
      <c r="E822" s="661">
        <v>633693.66666666663</v>
      </c>
    </row>
    <row r="823" spans="1:5" x14ac:dyDescent="0.2">
      <c r="A823" s="222" t="s">
        <v>1682</v>
      </c>
      <c r="B823" s="629" t="s">
        <v>3081</v>
      </c>
      <c r="C823" s="630" t="s">
        <v>405</v>
      </c>
      <c r="D823" s="630"/>
      <c r="E823" s="661">
        <v>661732</v>
      </c>
    </row>
    <row r="824" spans="1:5" x14ac:dyDescent="0.2">
      <c r="A824" s="222" t="s">
        <v>1658</v>
      </c>
      <c r="B824" s="629" t="s">
        <v>3082</v>
      </c>
      <c r="C824" s="630" t="s">
        <v>405</v>
      </c>
      <c r="D824" s="630"/>
      <c r="E824" s="661">
        <v>749553.66666666663</v>
      </c>
    </row>
    <row r="825" spans="1:5" x14ac:dyDescent="0.2">
      <c r="A825" s="238" t="s">
        <v>1659</v>
      </c>
      <c r="B825" s="629" t="s">
        <v>244</v>
      </c>
      <c r="C825" s="630" t="s">
        <v>405</v>
      </c>
      <c r="D825" s="630"/>
      <c r="E825" s="661">
        <v>8484</v>
      </c>
    </row>
    <row r="826" spans="1:5" x14ac:dyDescent="0.2">
      <c r="A826" s="238" t="s">
        <v>1660</v>
      </c>
      <c r="B826" s="629" t="s">
        <v>245</v>
      </c>
      <c r="C826" s="630" t="s">
        <v>405</v>
      </c>
      <c r="D826" s="630"/>
      <c r="E826" s="661">
        <v>12317</v>
      </c>
    </row>
    <row r="827" spans="1:5" x14ac:dyDescent="0.2">
      <c r="A827" s="238" t="s">
        <v>1664</v>
      </c>
      <c r="B827" s="629" t="s">
        <v>3083</v>
      </c>
      <c r="C827" s="630" t="s">
        <v>405</v>
      </c>
      <c r="D827" s="630"/>
      <c r="E827" s="661">
        <v>2317</v>
      </c>
    </row>
    <row r="828" spans="1:5" x14ac:dyDescent="0.2">
      <c r="A828" s="222" t="s">
        <v>1662</v>
      </c>
      <c r="B828" s="637" t="s">
        <v>3084</v>
      </c>
      <c r="C828" s="225" t="s">
        <v>405</v>
      </c>
      <c r="D828" s="225"/>
      <c r="E828" s="661">
        <v>9484</v>
      </c>
    </row>
    <row r="829" spans="1:5" x14ac:dyDescent="0.2">
      <c r="A829" s="238" t="s">
        <v>1661</v>
      </c>
      <c r="B829" s="629" t="s">
        <v>3085</v>
      </c>
      <c r="C829" s="630" t="s">
        <v>405</v>
      </c>
      <c r="D829" s="630"/>
      <c r="E829" s="661">
        <v>12484</v>
      </c>
    </row>
    <row r="830" spans="1:5" x14ac:dyDescent="0.2">
      <c r="A830" s="238" t="s">
        <v>1663</v>
      </c>
      <c r="B830" s="629" t="s">
        <v>2076</v>
      </c>
      <c r="C830" s="630" t="s">
        <v>405</v>
      </c>
      <c r="D830" s="630"/>
      <c r="E830" s="661">
        <v>5484</v>
      </c>
    </row>
    <row r="831" spans="1:5" x14ac:dyDescent="0.2">
      <c r="A831" s="222" t="s">
        <v>1665</v>
      </c>
      <c r="B831" s="637" t="s">
        <v>2075</v>
      </c>
      <c r="C831" s="225" t="s">
        <v>405</v>
      </c>
      <c r="D831" s="225"/>
      <c r="E831" s="661">
        <v>18817</v>
      </c>
    </row>
    <row r="832" spans="1:5" x14ac:dyDescent="0.2">
      <c r="A832" s="222" t="s">
        <v>1666</v>
      </c>
      <c r="B832" s="637" t="s">
        <v>2107</v>
      </c>
      <c r="C832" s="225" t="s">
        <v>405</v>
      </c>
      <c r="D832" s="225"/>
      <c r="E832" s="661">
        <v>12550</v>
      </c>
    </row>
    <row r="833" spans="1:5" x14ac:dyDescent="0.2">
      <c r="A833" s="238" t="s">
        <v>1667</v>
      </c>
      <c r="B833" s="629" t="s">
        <v>2072</v>
      </c>
      <c r="C833" s="630" t="s">
        <v>405</v>
      </c>
      <c r="D833" s="630"/>
      <c r="E833" s="661">
        <v>1250</v>
      </c>
    </row>
    <row r="834" spans="1:5" x14ac:dyDescent="0.2">
      <c r="A834" s="238" t="s">
        <v>1668</v>
      </c>
      <c r="B834" s="629" t="s">
        <v>246</v>
      </c>
      <c r="C834" s="630" t="s">
        <v>405</v>
      </c>
      <c r="D834" s="630"/>
      <c r="E834" s="661">
        <v>8317</v>
      </c>
    </row>
    <row r="835" spans="1:5" x14ac:dyDescent="0.2">
      <c r="A835" s="238" t="s">
        <v>1669</v>
      </c>
      <c r="B835" s="218" t="s">
        <v>211</v>
      </c>
      <c r="C835" s="630" t="s">
        <v>405</v>
      </c>
      <c r="D835" s="630"/>
      <c r="E835" s="661">
        <v>12983</v>
      </c>
    </row>
    <row r="836" spans="1:5" x14ac:dyDescent="0.2">
      <c r="A836" s="238" t="s">
        <v>1671</v>
      </c>
      <c r="B836" s="629" t="s">
        <v>247</v>
      </c>
      <c r="C836" s="630" t="s">
        <v>405</v>
      </c>
      <c r="D836" s="630"/>
      <c r="E836" s="661">
        <v>18317</v>
      </c>
    </row>
    <row r="837" spans="1:5" x14ac:dyDescent="0.2">
      <c r="A837" s="238" t="s">
        <v>1672</v>
      </c>
      <c r="B837" s="629" t="s">
        <v>248</v>
      </c>
      <c r="C837" s="630" t="s">
        <v>405</v>
      </c>
      <c r="D837" s="630"/>
      <c r="E837" s="661">
        <v>38300</v>
      </c>
    </row>
    <row r="838" spans="1:5" x14ac:dyDescent="0.2">
      <c r="A838" s="222" t="s">
        <v>2779</v>
      </c>
      <c r="B838" s="635" t="s">
        <v>3523</v>
      </c>
      <c r="C838" s="225" t="s">
        <v>405</v>
      </c>
      <c r="D838" s="225"/>
      <c r="E838" s="661">
        <v>20150</v>
      </c>
    </row>
    <row r="839" spans="1:5" x14ac:dyDescent="0.2">
      <c r="A839" s="222" t="s">
        <v>1814</v>
      </c>
      <c r="B839" s="897" t="s">
        <v>3175</v>
      </c>
      <c r="C839" s="225" t="s">
        <v>411</v>
      </c>
      <c r="D839" s="225"/>
      <c r="E839" s="661">
        <v>250</v>
      </c>
    </row>
    <row r="840" spans="1:5" x14ac:dyDescent="0.2">
      <c r="A840" s="222" t="s">
        <v>3086</v>
      </c>
      <c r="B840" s="893" t="s">
        <v>3087</v>
      </c>
      <c r="C840" s="633" t="s">
        <v>411</v>
      </c>
      <c r="D840" s="633"/>
      <c r="E840" s="663">
        <v>3900</v>
      </c>
    </row>
    <row r="841" spans="1:5" x14ac:dyDescent="0.2">
      <c r="A841" s="222" t="s">
        <v>3088</v>
      </c>
      <c r="B841" s="893" t="s">
        <v>3089</v>
      </c>
      <c r="C841" s="633" t="s">
        <v>411</v>
      </c>
      <c r="D841" s="633"/>
      <c r="E841" s="663">
        <v>1990</v>
      </c>
    </row>
    <row r="842" spans="1:5" x14ac:dyDescent="0.2">
      <c r="A842" s="222" t="s">
        <v>3090</v>
      </c>
      <c r="B842" s="893" t="s">
        <v>3091</v>
      </c>
      <c r="C842" s="633" t="s">
        <v>411</v>
      </c>
      <c r="D842" s="633"/>
      <c r="E842" s="663">
        <v>4386</v>
      </c>
    </row>
    <row r="843" spans="1:5" x14ac:dyDescent="0.2">
      <c r="A843" s="222" t="s">
        <v>3092</v>
      </c>
      <c r="B843" s="893" t="s">
        <v>3093</v>
      </c>
      <c r="C843" s="633" t="s">
        <v>411</v>
      </c>
      <c r="D843" s="633"/>
      <c r="E843" s="663">
        <v>20250</v>
      </c>
    </row>
    <row r="844" spans="1:5" x14ac:dyDescent="0.2">
      <c r="A844" s="222" t="s">
        <v>3094</v>
      </c>
      <c r="B844" s="893" t="s">
        <v>3095</v>
      </c>
      <c r="C844" s="633" t="s">
        <v>411</v>
      </c>
      <c r="D844" s="633"/>
      <c r="E844" s="663">
        <v>1150</v>
      </c>
    </row>
    <row r="845" spans="1:5" x14ac:dyDescent="0.2">
      <c r="A845" s="222" t="s">
        <v>3096</v>
      </c>
      <c r="B845" s="893" t="s">
        <v>3097</v>
      </c>
      <c r="C845" s="633" t="s">
        <v>411</v>
      </c>
      <c r="D845" s="633"/>
      <c r="E845" s="663">
        <v>28300</v>
      </c>
    </row>
    <row r="846" spans="1:5" x14ac:dyDescent="0.2">
      <c r="A846" s="222" t="s">
        <v>3098</v>
      </c>
      <c r="B846" s="893" t="s">
        <v>3099</v>
      </c>
      <c r="C846" s="633" t="s">
        <v>411</v>
      </c>
      <c r="D846" s="633"/>
      <c r="E846" s="662">
        <v>3500</v>
      </c>
    </row>
    <row r="847" spans="1:5" x14ac:dyDescent="0.2">
      <c r="A847" s="222" t="s">
        <v>2653</v>
      </c>
      <c r="B847" s="895" t="s">
        <v>1241</v>
      </c>
      <c r="C847" s="632" t="s">
        <v>411</v>
      </c>
      <c r="D847" s="632"/>
      <c r="E847" s="661">
        <v>2250</v>
      </c>
    </row>
    <row r="848" spans="1:5" x14ac:dyDescent="0.2">
      <c r="A848" s="222" t="s">
        <v>3100</v>
      </c>
      <c r="B848" s="893" t="s">
        <v>3101</v>
      </c>
      <c r="C848" s="633" t="s">
        <v>411</v>
      </c>
      <c r="D848" s="633"/>
      <c r="E848" s="662">
        <v>5400</v>
      </c>
    </row>
    <row r="849" spans="1:5" x14ac:dyDescent="0.2">
      <c r="A849" s="222" t="s">
        <v>3102</v>
      </c>
      <c r="B849" s="893" t="s">
        <v>3103</v>
      </c>
      <c r="C849" s="633" t="s">
        <v>411</v>
      </c>
      <c r="D849" s="633"/>
      <c r="E849" s="662">
        <v>1400</v>
      </c>
    </row>
    <row r="850" spans="1:5" x14ac:dyDescent="0.2">
      <c r="A850" s="239" t="s">
        <v>1674</v>
      </c>
      <c r="B850" s="629" t="s">
        <v>3104</v>
      </c>
      <c r="C850" s="623" t="s">
        <v>411</v>
      </c>
      <c r="D850" s="623"/>
      <c r="E850" s="661">
        <v>57900</v>
      </c>
    </row>
    <row r="851" spans="1:5" x14ac:dyDescent="0.2">
      <c r="A851" s="239" t="s">
        <v>1675</v>
      </c>
      <c r="B851" s="629" t="s">
        <v>577</v>
      </c>
      <c r="C851" s="623" t="s">
        <v>411</v>
      </c>
      <c r="D851" s="623"/>
      <c r="E851" s="661">
        <v>29377</v>
      </c>
    </row>
    <row r="852" spans="1:5" x14ac:dyDescent="0.2">
      <c r="A852" s="239" t="s">
        <v>1676</v>
      </c>
      <c r="B852" s="629" t="s">
        <v>578</v>
      </c>
      <c r="C852" s="623" t="s">
        <v>411</v>
      </c>
      <c r="D852" s="623"/>
      <c r="E852" s="661">
        <v>56900</v>
      </c>
    </row>
    <row r="853" spans="1:5" x14ac:dyDescent="0.2">
      <c r="A853" s="239" t="s">
        <v>1677</v>
      </c>
      <c r="B853" s="629" t="s">
        <v>579</v>
      </c>
      <c r="C853" s="885" t="s">
        <v>411</v>
      </c>
      <c r="D853" s="623"/>
      <c r="E853" s="661">
        <v>71559</v>
      </c>
    </row>
    <row r="854" spans="1:5" x14ac:dyDescent="0.2">
      <c r="A854" s="239" t="s">
        <v>1678</v>
      </c>
      <c r="B854" s="629" t="s">
        <v>580</v>
      </c>
      <c r="C854" s="885" t="s">
        <v>411</v>
      </c>
      <c r="D854" s="623"/>
      <c r="E854" s="661">
        <v>192900</v>
      </c>
    </row>
    <row r="855" spans="1:5" x14ac:dyDescent="0.2">
      <c r="A855" s="238" t="s">
        <v>1679</v>
      </c>
      <c r="B855" s="629" t="s">
        <v>581</v>
      </c>
      <c r="C855" s="630" t="s">
        <v>411</v>
      </c>
      <c r="D855" s="630"/>
      <c r="E855" s="661">
        <v>286061</v>
      </c>
    </row>
    <row r="856" spans="1:5" x14ac:dyDescent="0.2">
      <c r="A856" s="222" t="s">
        <v>3105</v>
      </c>
      <c r="B856" s="893" t="s">
        <v>3106</v>
      </c>
      <c r="C856" s="633" t="s">
        <v>411</v>
      </c>
      <c r="D856" s="633"/>
      <c r="E856" s="662">
        <v>8816</v>
      </c>
    </row>
    <row r="857" spans="1:5" x14ac:dyDescent="0.2">
      <c r="A857" s="238" t="s">
        <v>1680</v>
      </c>
      <c r="B857" s="629" t="s">
        <v>3107</v>
      </c>
      <c r="C857" s="630" t="s">
        <v>411</v>
      </c>
      <c r="D857" s="630"/>
      <c r="E857" s="661">
        <v>33900</v>
      </c>
    </row>
    <row r="858" spans="1:5" x14ac:dyDescent="0.2">
      <c r="A858" s="238" t="s">
        <v>1779</v>
      </c>
      <c r="B858" s="629" t="s">
        <v>1782</v>
      </c>
      <c r="C858" s="630" t="s">
        <v>411</v>
      </c>
      <c r="D858" s="630"/>
      <c r="E858" s="661">
        <v>14900</v>
      </c>
    </row>
    <row r="859" spans="1:5" x14ac:dyDescent="0.2">
      <c r="A859" s="238" t="s">
        <v>1683</v>
      </c>
      <c r="B859" s="629" t="s">
        <v>5</v>
      </c>
      <c r="C859" s="630" t="s">
        <v>411</v>
      </c>
      <c r="D859" s="630"/>
      <c r="E859" s="661">
        <v>30900</v>
      </c>
    </row>
    <row r="860" spans="1:5" x14ac:dyDescent="0.2">
      <c r="A860" s="238" t="s">
        <v>1684</v>
      </c>
      <c r="B860" s="629" t="s">
        <v>3</v>
      </c>
      <c r="C860" s="630" t="s">
        <v>411</v>
      </c>
      <c r="D860" s="630"/>
      <c r="E860" s="661">
        <v>8900</v>
      </c>
    </row>
    <row r="861" spans="1:5" x14ac:dyDescent="0.2">
      <c r="A861" s="238" t="s">
        <v>1780</v>
      </c>
      <c r="B861" s="629" t="s">
        <v>3108</v>
      </c>
      <c r="C861" s="630" t="s">
        <v>411</v>
      </c>
      <c r="D861" s="630"/>
      <c r="E861" s="661">
        <v>8900</v>
      </c>
    </row>
    <row r="862" spans="1:5" ht="14.25" x14ac:dyDescent="0.2">
      <c r="A862" s="222" t="s">
        <v>1685</v>
      </c>
      <c r="B862" s="629" t="s">
        <v>3109</v>
      </c>
      <c r="C862" s="630" t="s">
        <v>288</v>
      </c>
      <c r="D862" s="630"/>
      <c r="E862" s="661">
        <v>60000</v>
      </c>
    </row>
    <row r="863" spans="1:5" ht="25.5" x14ac:dyDescent="0.2">
      <c r="A863" s="222" t="s">
        <v>3110</v>
      </c>
      <c r="B863" s="900" t="s">
        <v>2312</v>
      </c>
      <c r="C863" s="633" t="s">
        <v>411</v>
      </c>
      <c r="D863" s="633"/>
      <c r="E863" s="662">
        <f>ROUND(3939142*1.1076,0)</f>
        <v>4362994</v>
      </c>
    </row>
    <row r="864" spans="1:5" ht="25.5" x14ac:dyDescent="0.2">
      <c r="A864" s="222" t="s">
        <v>3111</v>
      </c>
      <c r="B864" s="900" t="s">
        <v>2434</v>
      </c>
      <c r="C864" s="633" t="s">
        <v>411</v>
      </c>
      <c r="D864" s="633"/>
      <c r="E864" s="662">
        <f>ROUND(11809338*1.1076,0)</f>
        <v>13080023</v>
      </c>
    </row>
    <row r="865" spans="1:5" ht="25.5" x14ac:dyDescent="0.2">
      <c r="A865" s="222" t="s">
        <v>3112</v>
      </c>
      <c r="B865" s="900" t="s">
        <v>3113</v>
      </c>
      <c r="C865" s="633" t="s">
        <v>411</v>
      </c>
      <c r="D865" s="633"/>
      <c r="E865" s="662">
        <f>ROUND(23314799*1.1076,0)</f>
        <v>25823471</v>
      </c>
    </row>
    <row r="866" spans="1:5" ht="38.25" x14ac:dyDescent="0.2">
      <c r="A866" s="222" t="s">
        <v>3114</v>
      </c>
      <c r="B866" s="900" t="s">
        <v>2429</v>
      </c>
      <c r="C866" s="633" t="s">
        <v>2425</v>
      </c>
      <c r="D866" s="633"/>
      <c r="E866" s="662">
        <f>ROUND(6794414*1.1076,0)</f>
        <v>7525493</v>
      </c>
    </row>
    <row r="867" spans="1:5" x14ac:dyDescent="0.2">
      <c r="A867" s="238" t="s">
        <v>1686</v>
      </c>
      <c r="B867" s="629" t="s">
        <v>235</v>
      </c>
      <c r="C867" s="630" t="s">
        <v>411</v>
      </c>
      <c r="D867" s="630"/>
      <c r="E867" s="661">
        <v>547500</v>
      </c>
    </row>
    <row r="868" spans="1:5" x14ac:dyDescent="0.2">
      <c r="A868" s="238" t="s">
        <v>1687</v>
      </c>
      <c r="B868" s="629" t="s">
        <v>237</v>
      </c>
      <c r="C868" s="630" t="s">
        <v>411</v>
      </c>
      <c r="D868" s="630"/>
      <c r="E868" s="661">
        <v>407408</v>
      </c>
    </row>
    <row r="869" spans="1:5" x14ac:dyDescent="0.2">
      <c r="A869" s="222" t="s">
        <v>1835</v>
      </c>
      <c r="B869" s="893" t="s">
        <v>2665</v>
      </c>
      <c r="C869" s="633" t="s">
        <v>411</v>
      </c>
      <c r="D869" s="633"/>
      <c r="E869" s="662">
        <v>59900</v>
      </c>
    </row>
    <row r="870" spans="1:5" x14ac:dyDescent="0.2">
      <c r="A870" s="238" t="s">
        <v>1688</v>
      </c>
      <c r="B870" s="637" t="s">
        <v>3115</v>
      </c>
      <c r="C870" s="630" t="s">
        <v>405</v>
      </c>
      <c r="D870" s="630"/>
      <c r="E870" s="661">
        <v>6984</v>
      </c>
    </row>
    <row r="871" spans="1:5" x14ac:dyDescent="0.2">
      <c r="A871" s="238" t="s">
        <v>1689</v>
      </c>
      <c r="B871" s="883" t="s">
        <v>182</v>
      </c>
      <c r="C871" s="630" t="s">
        <v>405</v>
      </c>
      <c r="D871" s="630"/>
      <c r="E871" s="661">
        <f>3600/2.8</f>
        <v>1285.7142857142858</v>
      </c>
    </row>
    <row r="872" spans="1:5" x14ac:dyDescent="0.2">
      <c r="A872" s="222" t="s">
        <v>1836</v>
      </c>
      <c r="B872" s="897" t="s">
        <v>3176</v>
      </c>
      <c r="C872" s="886" t="s">
        <v>405</v>
      </c>
      <c r="D872" s="225"/>
      <c r="E872" s="661">
        <v>11900</v>
      </c>
    </row>
    <row r="873" spans="1:5" x14ac:dyDescent="0.2">
      <c r="A873" s="222" t="s">
        <v>2787</v>
      </c>
      <c r="B873" s="635" t="s">
        <v>3655</v>
      </c>
      <c r="C873" s="886" t="s">
        <v>411</v>
      </c>
      <c r="D873" s="225"/>
      <c r="E873" s="661">
        <v>6000</v>
      </c>
    </row>
    <row r="874" spans="1:5" x14ac:dyDescent="0.2">
      <c r="A874" s="222" t="s">
        <v>1690</v>
      </c>
      <c r="B874" s="645" t="s">
        <v>2749</v>
      </c>
      <c r="C874" s="884" t="s">
        <v>405</v>
      </c>
      <c r="D874" s="630"/>
      <c r="E874" s="661">
        <v>1540</v>
      </c>
    </row>
    <row r="875" spans="1:5" x14ac:dyDescent="0.2">
      <c r="A875" s="238" t="s">
        <v>1691</v>
      </c>
      <c r="B875" s="629" t="s">
        <v>249</v>
      </c>
      <c r="C875" s="884" t="s">
        <v>590</v>
      </c>
      <c r="D875" s="630"/>
      <c r="E875" s="661">
        <f>30.22*500</f>
        <v>15110</v>
      </c>
    </row>
    <row r="876" spans="1:5" ht="14.25" x14ac:dyDescent="0.2">
      <c r="A876" s="238" t="s">
        <v>2550</v>
      </c>
      <c r="B876" s="638" t="s">
        <v>3899</v>
      </c>
      <c r="C876" s="884" t="s">
        <v>288</v>
      </c>
      <c r="D876" s="630"/>
      <c r="E876" s="661">
        <f>177900/(1.5*1.2)</f>
        <v>98833.333333333343</v>
      </c>
    </row>
    <row r="877" spans="1:5" ht="14.25" x14ac:dyDescent="0.2">
      <c r="A877" s="222" t="s">
        <v>1692</v>
      </c>
      <c r="B877" s="635" t="s">
        <v>199</v>
      </c>
      <c r="C877" s="886" t="s">
        <v>288</v>
      </c>
      <c r="D877" s="225"/>
      <c r="E877" s="661">
        <f>100167/1.5/1.2</f>
        <v>55648.333333333336</v>
      </c>
    </row>
    <row r="878" spans="1:5" ht="14.25" x14ac:dyDescent="0.2">
      <c r="A878" s="222" t="s">
        <v>1693</v>
      </c>
      <c r="B878" s="635" t="s">
        <v>198</v>
      </c>
      <c r="C878" s="886" t="s">
        <v>288</v>
      </c>
      <c r="D878" s="225"/>
      <c r="E878" s="661">
        <v>128296.8</v>
      </c>
    </row>
    <row r="879" spans="1:5" ht="14.25" x14ac:dyDescent="0.2">
      <c r="A879" s="222" t="s">
        <v>1694</v>
      </c>
      <c r="B879" s="635" t="s">
        <v>196</v>
      </c>
      <c r="C879" s="886" t="s">
        <v>288</v>
      </c>
      <c r="D879" s="225"/>
      <c r="E879" s="661">
        <v>185000</v>
      </c>
    </row>
    <row r="880" spans="1:5" ht="14.25" x14ac:dyDescent="0.2">
      <c r="A880" s="238" t="s">
        <v>1696</v>
      </c>
      <c r="B880" s="629" t="s">
        <v>2750</v>
      </c>
      <c r="C880" s="884" t="s">
        <v>288</v>
      </c>
      <c r="D880" s="630"/>
      <c r="E880" s="661">
        <v>101000</v>
      </c>
    </row>
    <row r="881" spans="1:5" x14ac:dyDescent="0.2">
      <c r="A881" s="222" t="s">
        <v>1697</v>
      </c>
      <c r="B881" s="637" t="s">
        <v>3733</v>
      </c>
      <c r="C881" s="886" t="s">
        <v>411</v>
      </c>
      <c r="D881" s="225"/>
      <c r="E881" s="661">
        <v>5950</v>
      </c>
    </row>
    <row r="882" spans="1:5" x14ac:dyDescent="0.2">
      <c r="A882" s="238" t="s">
        <v>1698</v>
      </c>
      <c r="B882" s="629" t="s">
        <v>180</v>
      </c>
      <c r="C882" s="884" t="s">
        <v>406</v>
      </c>
      <c r="D882" s="630"/>
      <c r="E882" s="661">
        <f>13900/5</f>
        <v>2780</v>
      </c>
    </row>
    <row r="883" spans="1:5" x14ac:dyDescent="0.2">
      <c r="A883" s="225" t="s">
        <v>1388</v>
      </c>
      <c r="B883" s="628"/>
      <c r="C883" s="633"/>
      <c r="D883" s="633"/>
      <c r="E883" s="662"/>
    </row>
    <row r="884" spans="1:5" x14ac:dyDescent="0.2">
      <c r="A884" s="630" t="s">
        <v>1550</v>
      </c>
      <c r="B884" s="902"/>
      <c r="C884" s="643"/>
      <c r="D884" s="643"/>
      <c r="E884" s="663"/>
    </row>
    <row r="885" spans="1:5" x14ac:dyDescent="0.2">
      <c r="A885" s="630" t="s">
        <v>1724</v>
      </c>
      <c r="B885" s="628"/>
      <c r="C885" s="633"/>
      <c r="D885" s="633"/>
      <c r="E885" s="663"/>
    </row>
    <row r="886" spans="1:5" x14ac:dyDescent="0.2">
      <c r="A886" s="805" t="s">
        <v>1828</v>
      </c>
      <c r="B886" s="651"/>
      <c r="C886" s="632"/>
      <c r="D886" s="632"/>
      <c r="E886" s="661"/>
    </row>
    <row r="887" spans="1:5" x14ac:dyDescent="0.2">
      <c r="A887" s="805" t="s">
        <v>1829</v>
      </c>
      <c r="B887" s="631"/>
      <c r="C887" s="632"/>
      <c r="D887" s="632"/>
      <c r="E887" s="661"/>
    </row>
    <row r="888" spans="1:5" x14ac:dyDescent="0.2">
      <c r="A888" s="805" t="s">
        <v>1834</v>
      </c>
      <c r="B888" s="631"/>
      <c r="C888" s="632"/>
      <c r="D888" s="632"/>
      <c r="E888" s="661"/>
    </row>
    <row r="889" spans="1:5" x14ac:dyDescent="0.2">
      <c r="A889" s="805" t="s">
        <v>1840</v>
      </c>
      <c r="B889" s="631"/>
      <c r="C889" s="632"/>
      <c r="D889" s="632"/>
      <c r="E889" s="661"/>
    </row>
    <row r="890" spans="1:5" x14ac:dyDescent="0.2">
      <c r="A890" s="805" t="s">
        <v>1841</v>
      </c>
      <c r="B890" s="631"/>
      <c r="C890" s="632"/>
      <c r="D890" s="632"/>
      <c r="E890" s="661"/>
    </row>
    <row r="891" spans="1:5" x14ac:dyDescent="0.2">
      <c r="A891" s="225" t="s">
        <v>2676</v>
      </c>
      <c r="B891" s="631"/>
      <c r="C891" s="632"/>
      <c r="D891" s="632"/>
      <c r="E891" s="661"/>
    </row>
    <row r="892" spans="1:5" x14ac:dyDescent="0.2">
      <c r="A892" s="222" t="s">
        <v>4115</v>
      </c>
      <c r="B892" s="584"/>
      <c r="C892" s="222"/>
      <c r="D892" s="222"/>
      <c r="E892" s="661"/>
    </row>
    <row r="893" spans="1:5" x14ac:dyDescent="0.2">
      <c r="A893" s="623" t="s">
        <v>4116</v>
      </c>
      <c r="B893" s="726"/>
      <c r="C893" s="806"/>
      <c r="D893" s="632"/>
      <c r="E893" s="661"/>
    </row>
    <row r="894" spans="1:5" x14ac:dyDescent="0.2">
      <c r="A894" s="222" t="s">
        <v>3977</v>
      </c>
      <c r="B894" s="584"/>
      <c r="C894" s="222"/>
      <c r="D894" s="222"/>
      <c r="E894" s="661"/>
    </row>
    <row r="895" spans="1:5" x14ac:dyDescent="0.2">
      <c r="A895" s="222" t="s">
        <v>3978</v>
      </c>
      <c r="B895" s="584"/>
      <c r="C895" s="222"/>
      <c r="D895" s="222"/>
      <c r="E895" s="661"/>
    </row>
    <row r="896" spans="1:5" x14ac:dyDescent="0.2">
      <c r="A896" s="222" t="s">
        <v>3979</v>
      </c>
      <c r="B896" s="584"/>
      <c r="C896" s="222"/>
      <c r="D896" s="222"/>
      <c r="E896" s="661"/>
    </row>
    <row r="897" spans="1:5" x14ac:dyDescent="0.2">
      <c r="A897" s="222" t="s">
        <v>3980</v>
      </c>
      <c r="B897" s="584"/>
      <c r="C897" s="222"/>
      <c r="D897" s="222"/>
      <c r="E897" s="661"/>
    </row>
    <row r="898" spans="1:5" x14ac:dyDescent="0.2">
      <c r="A898" s="222" t="s">
        <v>3981</v>
      </c>
      <c r="B898" s="584"/>
      <c r="C898" s="222"/>
      <c r="D898" s="222"/>
      <c r="E898" s="661"/>
    </row>
    <row r="899" spans="1:5" x14ac:dyDescent="0.2">
      <c r="A899" s="222" t="s">
        <v>3982</v>
      </c>
      <c r="B899" s="584"/>
      <c r="C899" s="222"/>
      <c r="D899" s="222"/>
      <c r="E899" s="661"/>
    </row>
    <row r="900" spans="1:5" x14ac:dyDescent="0.2">
      <c r="A900" s="222" t="s">
        <v>3983</v>
      </c>
      <c r="B900" s="584"/>
      <c r="C900" s="222"/>
      <c r="D900" s="222"/>
      <c r="E900" s="661"/>
    </row>
    <row r="901" spans="1:5" x14ac:dyDescent="0.2">
      <c r="A901" s="222" t="s">
        <v>3984</v>
      </c>
      <c r="B901" s="584"/>
      <c r="C901" s="222"/>
      <c r="D901" s="222"/>
      <c r="E901" s="661"/>
    </row>
    <row r="902" spans="1:5" x14ac:dyDescent="0.2">
      <c r="A902" s="222" t="s">
        <v>3985</v>
      </c>
      <c r="B902" s="584"/>
      <c r="C902" s="222"/>
      <c r="D902" s="222"/>
      <c r="E902" s="661"/>
    </row>
    <row r="903" spans="1:5" x14ac:dyDescent="0.2">
      <c r="A903" s="222" t="s">
        <v>3986</v>
      </c>
      <c r="B903" s="584"/>
      <c r="C903" s="222"/>
      <c r="D903" s="222"/>
      <c r="E903" s="661"/>
    </row>
    <row r="904" spans="1:5" x14ac:dyDescent="0.2">
      <c r="A904" s="222" t="s">
        <v>3987</v>
      </c>
      <c r="B904" s="584"/>
      <c r="C904" s="222"/>
      <c r="D904" s="222"/>
      <c r="E904" s="661"/>
    </row>
    <row r="905" spans="1:5" x14ac:dyDescent="0.2">
      <c r="A905" s="222" t="s">
        <v>3988</v>
      </c>
      <c r="B905" s="584"/>
      <c r="C905" s="222"/>
      <c r="D905" s="222"/>
      <c r="E905" s="661"/>
    </row>
    <row r="906" spans="1:5" x14ac:dyDescent="0.2">
      <c r="A906" s="222" t="s">
        <v>3989</v>
      </c>
      <c r="B906" s="584"/>
      <c r="C906" s="222"/>
      <c r="D906" s="222"/>
      <c r="E906" s="661"/>
    </row>
    <row r="907" spans="1:5" x14ac:dyDescent="0.2">
      <c r="A907" s="805" t="s">
        <v>3992</v>
      </c>
      <c r="B907" s="634"/>
      <c r="C907" s="633"/>
      <c r="D907" s="632"/>
      <c r="E907" s="661"/>
    </row>
    <row r="908" spans="1:5" x14ac:dyDescent="0.2">
      <c r="A908" s="623" t="s">
        <v>4088</v>
      </c>
      <c r="B908" s="634"/>
      <c r="C908" s="633"/>
      <c r="D908" s="632"/>
      <c r="E908" s="661"/>
    </row>
    <row r="909" spans="1:5" x14ac:dyDescent="0.2">
      <c r="A909" s="222" t="s">
        <v>4117</v>
      </c>
      <c r="B909" s="584"/>
      <c r="C909" s="222"/>
      <c r="D909" s="222"/>
      <c r="E909" s="661"/>
    </row>
    <row r="910" spans="1:5" x14ac:dyDescent="0.2">
      <c r="A910" s="222" t="s">
        <v>4118</v>
      </c>
      <c r="B910" s="584"/>
      <c r="C910" s="222"/>
      <c r="D910" s="222"/>
      <c r="E910" s="661"/>
    </row>
    <row r="911" spans="1:5" x14ac:dyDescent="0.2">
      <c r="A911" s="623" t="s">
        <v>4104</v>
      </c>
      <c r="B911" s="634"/>
      <c r="C911" s="633"/>
      <c r="D911" s="632"/>
      <c r="E911" s="661"/>
    </row>
    <row r="912" spans="1:5" x14ac:dyDescent="0.2">
      <c r="A912" s="623" t="s">
        <v>4105</v>
      </c>
      <c r="B912" s="634"/>
      <c r="C912" s="633"/>
      <c r="D912" s="632"/>
      <c r="E912" s="661"/>
    </row>
    <row r="913" spans="1:5" x14ac:dyDescent="0.2">
      <c r="A913" s="623" t="s">
        <v>4106</v>
      </c>
      <c r="B913" s="634"/>
      <c r="C913" s="633"/>
      <c r="D913" s="632"/>
      <c r="E913" s="661"/>
    </row>
    <row r="914" spans="1:5" x14ac:dyDescent="0.2">
      <c r="A914" s="623" t="s">
        <v>4107</v>
      </c>
      <c r="B914" s="634"/>
      <c r="C914" s="633"/>
      <c r="D914" s="632"/>
      <c r="E914" s="661"/>
    </row>
    <row r="915" spans="1:5" x14ac:dyDescent="0.2">
      <c r="A915" s="623" t="s">
        <v>4109</v>
      </c>
      <c r="B915" s="634"/>
      <c r="C915" s="633"/>
      <c r="D915" s="632"/>
      <c r="E915" s="661"/>
    </row>
    <row r="916" spans="1:5" x14ac:dyDescent="0.2">
      <c r="A916" s="623" t="s">
        <v>4114</v>
      </c>
      <c r="B916" s="634"/>
      <c r="C916" s="633"/>
      <c r="D916" s="632"/>
      <c r="E916" s="661"/>
    </row>
    <row r="917" spans="1:5" x14ac:dyDescent="0.2">
      <c r="A917" s="908"/>
      <c r="B917" s="631" t="s">
        <v>4231</v>
      </c>
      <c r="C917" s="632"/>
      <c r="D917" s="632"/>
      <c r="E917" s="661"/>
    </row>
    <row r="918" spans="1:5" x14ac:dyDescent="0.2">
      <c r="A918" s="909"/>
      <c r="B918" s="897" t="s">
        <v>4232</v>
      </c>
      <c r="C918" s="222"/>
      <c r="D918" s="222"/>
      <c r="E918" s="661"/>
    </row>
    <row r="919" spans="1:5" x14ac:dyDescent="0.2">
      <c r="A919" s="222"/>
      <c r="B919" s="584"/>
      <c r="C919" s="222"/>
      <c r="D919" s="222"/>
      <c r="E919" s="661"/>
    </row>
    <row r="920" spans="1:5" ht="11.25" customHeight="1" x14ac:dyDescent="0.2">
      <c r="A920" s="930" t="s">
        <v>2759</v>
      </c>
      <c r="B920" s="931"/>
      <c r="C920" s="931"/>
      <c r="D920" s="931"/>
      <c r="E920" s="932"/>
    </row>
    <row r="921" spans="1:5" ht="12" x14ac:dyDescent="0.2">
      <c r="A921" s="933"/>
      <c r="B921" s="934"/>
      <c r="C921" s="934"/>
      <c r="D921" s="934"/>
      <c r="E921" s="935"/>
    </row>
    <row r="922" spans="1:5" x14ac:dyDescent="0.2">
      <c r="A922" s="226" t="s">
        <v>649</v>
      </c>
      <c r="B922" s="230" t="s">
        <v>3634</v>
      </c>
      <c r="C922" s="226" t="s">
        <v>585</v>
      </c>
      <c r="D922" s="231"/>
      <c r="E922" s="887">
        <f>11350000/30</f>
        <v>378333.33333333331</v>
      </c>
    </row>
    <row r="923" spans="1:5" x14ac:dyDescent="0.2">
      <c r="A923" s="222" t="s">
        <v>4024</v>
      </c>
      <c r="B923" s="230" t="s">
        <v>4031</v>
      </c>
      <c r="C923" s="226" t="s">
        <v>585</v>
      </c>
      <c r="D923" s="226"/>
      <c r="E923" s="484">
        <v>98462</v>
      </c>
    </row>
    <row r="924" spans="1:5" ht="25.5" x14ac:dyDescent="0.2">
      <c r="A924" s="222" t="s">
        <v>378</v>
      </c>
      <c r="B924" s="647" t="s">
        <v>2669</v>
      </c>
      <c r="C924" s="226" t="s">
        <v>585</v>
      </c>
      <c r="D924" s="910"/>
      <c r="E924" s="484">
        <v>315206</v>
      </c>
    </row>
    <row r="925" spans="1:5" x14ac:dyDescent="0.2">
      <c r="A925" s="226" t="s">
        <v>598</v>
      </c>
      <c r="B925" s="230" t="s">
        <v>3360</v>
      </c>
      <c r="C925" s="226" t="s">
        <v>586</v>
      </c>
      <c r="D925" s="231"/>
      <c r="E925" s="887">
        <v>0</v>
      </c>
    </row>
    <row r="926" spans="1:5" x14ac:dyDescent="0.2">
      <c r="A926" s="226" t="s">
        <v>347</v>
      </c>
      <c r="B926" s="230" t="s">
        <v>3924</v>
      </c>
      <c r="C926" s="226" t="s">
        <v>585</v>
      </c>
      <c r="D926" s="231"/>
      <c r="E926" s="887">
        <f>28560+21500+13090</f>
        <v>63150</v>
      </c>
    </row>
    <row r="927" spans="1:5" x14ac:dyDescent="0.2">
      <c r="A927" s="226" t="s">
        <v>1910</v>
      </c>
      <c r="B927" s="230" t="s">
        <v>1911</v>
      </c>
      <c r="C927" s="226" t="s">
        <v>585</v>
      </c>
      <c r="D927" s="231"/>
      <c r="E927" s="887">
        <v>20760</v>
      </c>
    </row>
    <row r="928" spans="1:5" x14ac:dyDescent="0.2">
      <c r="A928" s="226" t="s">
        <v>340</v>
      </c>
      <c r="B928" s="230" t="s">
        <v>259</v>
      </c>
      <c r="C928" s="226" t="s">
        <v>614</v>
      </c>
      <c r="D928" s="231"/>
      <c r="E928" s="887">
        <v>48300</v>
      </c>
    </row>
    <row r="929" spans="1:5" x14ac:dyDescent="0.2">
      <c r="A929" s="222" t="s">
        <v>700</v>
      </c>
      <c r="B929" s="230" t="s">
        <v>3787</v>
      </c>
      <c r="C929" s="226" t="s">
        <v>614</v>
      </c>
      <c r="D929" s="226"/>
      <c r="E929" s="484">
        <f>115000*0.2</f>
        <v>23000</v>
      </c>
    </row>
    <row r="930" spans="1:5" x14ac:dyDescent="0.2">
      <c r="A930" s="226" t="s">
        <v>615</v>
      </c>
      <c r="B930" s="230" t="s">
        <v>3753</v>
      </c>
      <c r="C930" s="226" t="s">
        <v>614</v>
      </c>
      <c r="D930" s="231"/>
      <c r="E930" s="887">
        <f>200000*1.19</f>
        <v>238000</v>
      </c>
    </row>
    <row r="931" spans="1:5" x14ac:dyDescent="0.2">
      <c r="A931" s="226" t="s">
        <v>646</v>
      </c>
      <c r="B931" s="230" t="s">
        <v>375</v>
      </c>
      <c r="C931" s="226" t="s">
        <v>1953</v>
      </c>
      <c r="D931" s="231"/>
      <c r="E931" s="887">
        <v>26747</v>
      </c>
    </row>
    <row r="932" spans="1:5" x14ac:dyDescent="0.2">
      <c r="A932" s="226" t="s">
        <v>1926</v>
      </c>
      <c r="B932" s="230" t="s">
        <v>1927</v>
      </c>
      <c r="C932" s="226" t="s">
        <v>1958</v>
      </c>
      <c r="D932" s="231"/>
      <c r="E932" s="887">
        <v>60000</v>
      </c>
    </row>
    <row r="933" spans="1:5" x14ac:dyDescent="0.2">
      <c r="A933" s="226" t="s">
        <v>129</v>
      </c>
      <c r="B933" s="230" t="s">
        <v>130</v>
      </c>
      <c r="C933" s="226" t="s">
        <v>585</v>
      </c>
      <c r="D933" s="231"/>
      <c r="E933" s="887">
        <v>39444</v>
      </c>
    </row>
    <row r="934" spans="1:5" ht="14.25" x14ac:dyDescent="0.2">
      <c r="A934" s="226" t="s">
        <v>630</v>
      </c>
      <c r="B934" s="230" t="s">
        <v>2177</v>
      </c>
      <c r="C934" s="226" t="s">
        <v>614</v>
      </c>
      <c r="D934" s="231"/>
      <c r="E934" s="887">
        <v>190000</v>
      </c>
    </row>
    <row r="935" spans="1:5" x14ac:dyDescent="0.2">
      <c r="A935" s="226" t="s">
        <v>626</v>
      </c>
      <c r="B935" s="230" t="s">
        <v>627</v>
      </c>
      <c r="C935" s="226" t="s">
        <v>614</v>
      </c>
      <c r="D935" s="231"/>
      <c r="E935" s="887">
        <f>700000*1.19/8</f>
        <v>104125</v>
      </c>
    </row>
    <row r="936" spans="1:5" x14ac:dyDescent="0.2">
      <c r="A936" s="226" t="s">
        <v>209</v>
      </c>
      <c r="B936" s="230" t="s">
        <v>210</v>
      </c>
      <c r="C936" s="226" t="s">
        <v>614</v>
      </c>
      <c r="D936" s="231"/>
      <c r="E936" s="887">
        <f>90000*1.19</f>
        <v>107100</v>
      </c>
    </row>
    <row r="937" spans="1:5" x14ac:dyDescent="0.2">
      <c r="A937" s="226" t="s">
        <v>1924</v>
      </c>
      <c r="B937" s="230" t="s">
        <v>1967</v>
      </c>
      <c r="C937" s="226" t="s">
        <v>585</v>
      </c>
      <c r="D937" s="231"/>
      <c r="E937" s="887">
        <v>550</v>
      </c>
    </row>
    <row r="938" spans="1:5" x14ac:dyDescent="0.2">
      <c r="A938" s="226" t="s">
        <v>625</v>
      </c>
      <c r="B938" s="230" t="s">
        <v>385</v>
      </c>
      <c r="C938" s="226" t="s">
        <v>614</v>
      </c>
      <c r="D938" s="231"/>
      <c r="E938" s="887">
        <v>90000</v>
      </c>
    </row>
    <row r="939" spans="1:5" x14ac:dyDescent="0.2">
      <c r="A939" s="226" t="s">
        <v>655</v>
      </c>
      <c r="B939" s="230" t="s">
        <v>1954</v>
      </c>
      <c r="C939" s="226" t="s">
        <v>585</v>
      </c>
      <c r="D939" s="231"/>
      <c r="E939" s="887">
        <v>71400</v>
      </c>
    </row>
    <row r="940" spans="1:5" x14ac:dyDescent="0.2">
      <c r="A940" s="226" t="s">
        <v>623</v>
      </c>
      <c r="B940" s="230" t="s">
        <v>1951</v>
      </c>
      <c r="C940" s="226" t="s">
        <v>614</v>
      </c>
      <c r="D940" s="231"/>
      <c r="E940" s="887">
        <v>165410</v>
      </c>
    </row>
    <row r="941" spans="1:5" x14ac:dyDescent="0.2">
      <c r="A941" s="226" t="s">
        <v>1908</v>
      </c>
      <c r="B941" s="230" t="s">
        <v>1957</v>
      </c>
      <c r="C941" s="226" t="s">
        <v>585</v>
      </c>
      <c r="D941" s="231"/>
      <c r="E941" s="887">
        <v>59000</v>
      </c>
    </row>
    <row r="942" spans="1:5" ht="14.25" x14ac:dyDescent="0.2">
      <c r="A942" s="226" t="s">
        <v>613</v>
      </c>
      <c r="B942" s="230" t="s">
        <v>2181</v>
      </c>
      <c r="C942" s="226" t="s">
        <v>614</v>
      </c>
      <c r="D942" s="231"/>
      <c r="E942" s="887">
        <v>95200</v>
      </c>
    </row>
    <row r="943" spans="1:5" x14ac:dyDescent="0.2">
      <c r="A943" s="226" t="s">
        <v>337</v>
      </c>
      <c r="B943" s="230" t="s">
        <v>338</v>
      </c>
      <c r="C943" s="226" t="s">
        <v>585</v>
      </c>
      <c r="D943" s="231"/>
      <c r="E943" s="887">
        <v>35700</v>
      </c>
    </row>
    <row r="944" spans="1:5" x14ac:dyDescent="0.2">
      <c r="A944" s="222" t="s">
        <v>1930</v>
      </c>
      <c r="B944" s="230" t="s">
        <v>4029</v>
      </c>
      <c r="C944" s="226" t="s">
        <v>3737</v>
      </c>
      <c r="D944" s="226"/>
      <c r="E944" s="484">
        <v>7000</v>
      </c>
    </row>
    <row r="945" spans="1:5" x14ac:dyDescent="0.2">
      <c r="A945" s="226" t="s">
        <v>620</v>
      </c>
      <c r="B945" s="223" t="s">
        <v>354</v>
      </c>
      <c r="C945" s="226" t="s">
        <v>585</v>
      </c>
      <c r="D945" s="231"/>
      <c r="E945" s="887">
        <v>71400</v>
      </c>
    </row>
    <row r="946" spans="1:5" x14ac:dyDescent="0.2">
      <c r="A946" s="226" t="s">
        <v>274</v>
      </c>
      <c r="B946" s="223" t="s">
        <v>275</v>
      </c>
      <c r="C946" s="226" t="s">
        <v>586</v>
      </c>
      <c r="D946" s="231"/>
      <c r="E946" s="887">
        <v>0</v>
      </c>
    </row>
    <row r="947" spans="1:5" x14ac:dyDescent="0.2">
      <c r="A947" s="226" t="s">
        <v>647</v>
      </c>
      <c r="B947" s="230" t="s">
        <v>52</v>
      </c>
      <c r="C947" s="226" t="s">
        <v>585</v>
      </c>
      <c r="D947" s="231"/>
      <c r="E947" s="887">
        <f>140000*1.19</f>
        <v>166600</v>
      </c>
    </row>
    <row r="948" spans="1:5" x14ac:dyDescent="0.2">
      <c r="A948" s="226" t="s">
        <v>656</v>
      </c>
      <c r="B948" s="230" t="s">
        <v>1251</v>
      </c>
      <c r="C948" s="226" t="s">
        <v>585</v>
      </c>
      <c r="D948" s="231"/>
      <c r="E948" s="887">
        <v>65500</v>
      </c>
    </row>
    <row r="949" spans="1:5" x14ac:dyDescent="0.2">
      <c r="A949" s="226" t="s">
        <v>135</v>
      </c>
      <c r="B949" s="230" t="s">
        <v>136</v>
      </c>
      <c r="C949" s="226" t="s">
        <v>411</v>
      </c>
      <c r="D949" s="225"/>
      <c r="E949" s="887">
        <v>12852</v>
      </c>
    </row>
    <row r="950" spans="1:5" x14ac:dyDescent="0.2">
      <c r="A950" s="226" t="s">
        <v>276</v>
      </c>
      <c r="B950" s="230" t="s">
        <v>2754</v>
      </c>
      <c r="C950" s="226" t="s">
        <v>586</v>
      </c>
      <c r="D950" s="231"/>
      <c r="E950" s="887">
        <v>0</v>
      </c>
    </row>
    <row r="951" spans="1:5" x14ac:dyDescent="0.2">
      <c r="A951" s="222" t="s">
        <v>1928</v>
      </c>
      <c r="B951" s="230" t="s">
        <v>3866</v>
      </c>
      <c r="C951" s="226" t="s">
        <v>585</v>
      </c>
      <c r="D951" s="226"/>
      <c r="E951" s="484">
        <v>100000</v>
      </c>
    </row>
    <row r="952" spans="1:5" x14ac:dyDescent="0.2">
      <c r="A952" s="226" t="s">
        <v>258</v>
      </c>
      <c r="B952" s="230" t="s">
        <v>2755</v>
      </c>
      <c r="C952" s="226" t="s">
        <v>585</v>
      </c>
      <c r="D952" s="231"/>
      <c r="E952" s="887">
        <v>73880.688000000009</v>
      </c>
    </row>
    <row r="953" spans="1:5" x14ac:dyDescent="0.2">
      <c r="A953" s="226" t="s">
        <v>595</v>
      </c>
      <c r="B953" s="230" t="s">
        <v>4023</v>
      </c>
      <c r="C953" s="226" t="s">
        <v>585</v>
      </c>
      <c r="D953" s="231"/>
      <c r="E953" s="887">
        <v>50000</v>
      </c>
    </row>
    <row r="954" spans="1:5" ht="102.75" customHeight="1" x14ac:dyDescent="0.2">
      <c r="A954" s="222" t="s">
        <v>4025</v>
      </c>
      <c r="B954" s="230" t="s">
        <v>4234</v>
      </c>
      <c r="C954" s="226" t="s">
        <v>462</v>
      </c>
      <c r="D954" s="226"/>
      <c r="E954" s="484">
        <f>65000000/100*2</f>
        <v>1300000</v>
      </c>
    </row>
    <row r="955" spans="1:5" x14ac:dyDescent="0.2">
      <c r="A955" s="226" t="s">
        <v>650</v>
      </c>
      <c r="B955" s="230" t="s">
        <v>1964</v>
      </c>
      <c r="C955" s="226" t="s">
        <v>585</v>
      </c>
      <c r="D955" s="231"/>
      <c r="E955" s="887">
        <v>582243.26399999997</v>
      </c>
    </row>
    <row r="956" spans="1:5" x14ac:dyDescent="0.2">
      <c r="A956" s="226" t="s">
        <v>261</v>
      </c>
      <c r="B956" s="230" t="s">
        <v>82</v>
      </c>
      <c r="C956" s="226" t="s">
        <v>614</v>
      </c>
      <c r="D956" s="231"/>
      <c r="E956" s="887">
        <v>400687.72200000001</v>
      </c>
    </row>
    <row r="957" spans="1:5" x14ac:dyDescent="0.2">
      <c r="A957" s="226" t="s">
        <v>254</v>
      </c>
      <c r="B957" s="230" t="s">
        <v>341</v>
      </c>
      <c r="C957" s="226" t="s">
        <v>585</v>
      </c>
      <c r="D957" s="231"/>
      <c r="E957" s="887">
        <v>48000</v>
      </c>
    </row>
    <row r="958" spans="1:5" x14ac:dyDescent="0.2">
      <c r="A958" s="222" t="s">
        <v>350</v>
      </c>
      <c r="B958" s="911" t="s">
        <v>2668</v>
      </c>
      <c r="C958" s="226" t="s">
        <v>614</v>
      </c>
      <c r="D958" s="910"/>
      <c r="E958" s="484">
        <v>8714</v>
      </c>
    </row>
    <row r="959" spans="1:5" ht="14.25" x14ac:dyDescent="0.2">
      <c r="A959" s="226" t="s">
        <v>657</v>
      </c>
      <c r="B959" s="230" t="s">
        <v>3931</v>
      </c>
      <c r="C959" s="226" t="s">
        <v>614</v>
      </c>
      <c r="D959" s="231"/>
      <c r="E959" s="887">
        <v>180000</v>
      </c>
    </row>
    <row r="960" spans="1:5" x14ac:dyDescent="0.2">
      <c r="A960" s="226" t="s">
        <v>207</v>
      </c>
      <c r="B960" s="230" t="s">
        <v>208</v>
      </c>
      <c r="C960" s="226" t="s">
        <v>614</v>
      </c>
      <c r="D960" s="231"/>
      <c r="E960" s="887">
        <v>173872.266</v>
      </c>
    </row>
    <row r="961" spans="1:5" x14ac:dyDescent="0.2">
      <c r="A961" s="226" t="s">
        <v>127</v>
      </c>
      <c r="B961" s="230" t="s">
        <v>128</v>
      </c>
      <c r="C961" s="226" t="s">
        <v>585</v>
      </c>
      <c r="D961" s="231"/>
      <c r="E961" s="887">
        <f>47600/2</f>
        <v>23800</v>
      </c>
    </row>
    <row r="962" spans="1:5" x14ac:dyDescent="0.2">
      <c r="A962" s="226" t="s">
        <v>277</v>
      </c>
      <c r="B962" s="230" t="s">
        <v>278</v>
      </c>
      <c r="C962" s="226" t="s">
        <v>585</v>
      </c>
      <c r="D962" s="231"/>
      <c r="E962" s="887">
        <f>E961</f>
        <v>23800</v>
      </c>
    </row>
    <row r="963" spans="1:5" x14ac:dyDescent="0.2">
      <c r="A963" s="226" t="s">
        <v>666</v>
      </c>
      <c r="B963" s="230" t="s">
        <v>667</v>
      </c>
      <c r="C963" s="226" t="s">
        <v>585</v>
      </c>
      <c r="D963" s="231"/>
      <c r="E963" s="887">
        <v>47600</v>
      </c>
    </row>
    <row r="964" spans="1:5" x14ac:dyDescent="0.2">
      <c r="A964" s="226" t="s">
        <v>672</v>
      </c>
      <c r="B964" s="230" t="s">
        <v>1952</v>
      </c>
      <c r="C964" s="226" t="s">
        <v>585</v>
      </c>
      <c r="D964" s="231"/>
      <c r="E964" s="887">
        <v>4400</v>
      </c>
    </row>
    <row r="965" spans="1:5" ht="25.5" x14ac:dyDescent="0.2">
      <c r="A965" s="222" t="s">
        <v>379</v>
      </c>
      <c r="B965" s="647" t="s">
        <v>2670</v>
      </c>
      <c r="C965" s="226" t="s">
        <v>614</v>
      </c>
      <c r="D965" s="226"/>
      <c r="E965" s="484">
        <v>134053</v>
      </c>
    </row>
    <row r="966" spans="1:5" x14ac:dyDescent="0.2">
      <c r="A966" s="226" t="s">
        <v>658</v>
      </c>
      <c r="B966" s="230" t="s">
        <v>2013</v>
      </c>
      <c r="C966" s="226" t="s">
        <v>614</v>
      </c>
      <c r="D966" s="231"/>
      <c r="E966" s="887">
        <v>183310.80000000002</v>
      </c>
    </row>
    <row r="967" spans="1:5" x14ac:dyDescent="0.2">
      <c r="A967" s="226" t="s">
        <v>333</v>
      </c>
      <c r="B967" s="230" t="s">
        <v>334</v>
      </c>
      <c r="C967" s="226" t="s">
        <v>585</v>
      </c>
      <c r="D967" s="231"/>
      <c r="E967" s="887">
        <v>35700</v>
      </c>
    </row>
    <row r="968" spans="1:5" x14ac:dyDescent="0.2">
      <c r="A968" s="226" t="s">
        <v>269</v>
      </c>
      <c r="B968" s="223" t="s">
        <v>273</v>
      </c>
      <c r="C968" s="226" t="s">
        <v>586</v>
      </c>
      <c r="D968" s="231"/>
      <c r="E968" s="887">
        <v>0</v>
      </c>
    </row>
    <row r="969" spans="1:5" x14ac:dyDescent="0.2">
      <c r="A969" s="226" t="s">
        <v>250</v>
      </c>
      <c r="B969" s="230" t="s">
        <v>251</v>
      </c>
      <c r="C969" s="226" t="s">
        <v>586</v>
      </c>
      <c r="D969" s="231"/>
      <c r="E969" s="887">
        <v>0</v>
      </c>
    </row>
    <row r="970" spans="1:5" x14ac:dyDescent="0.2">
      <c r="A970" s="222" t="s">
        <v>63</v>
      </c>
      <c r="B970" s="230" t="s">
        <v>3656</v>
      </c>
      <c r="C970" s="226" t="s">
        <v>614</v>
      </c>
      <c r="D970" s="226"/>
      <c r="E970" s="484">
        <v>43612</v>
      </c>
    </row>
    <row r="971" spans="1:5" x14ac:dyDescent="0.2">
      <c r="A971" s="225" t="s">
        <v>1929</v>
      </c>
      <c r="B971" s="230" t="s">
        <v>3925</v>
      </c>
      <c r="C971" s="226" t="s">
        <v>614</v>
      </c>
      <c r="D971" s="226"/>
      <c r="E971" s="484">
        <v>98000</v>
      </c>
    </row>
    <row r="972" spans="1:5" x14ac:dyDescent="0.2">
      <c r="A972" s="222" t="s">
        <v>345</v>
      </c>
      <c r="B972" s="911" t="s">
        <v>4233</v>
      </c>
      <c r="C972" s="226" t="s">
        <v>411</v>
      </c>
      <c r="D972" s="226"/>
      <c r="E972" s="484">
        <v>406886</v>
      </c>
    </row>
    <row r="973" spans="1:5" ht="14.25" x14ac:dyDescent="0.2">
      <c r="A973" s="226" t="s">
        <v>1914</v>
      </c>
      <c r="B973" s="230" t="s">
        <v>1965</v>
      </c>
      <c r="C973" s="226" t="s">
        <v>285</v>
      </c>
      <c r="D973" s="231"/>
      <c r="E973" s="887">
        <v>41520</v>
      </c>
    </row>
    <row r="974" spans="1:5" x14ac:dyDescent="0.2">
      <c r="A974" s="226" t="s">
        <v>609</v>
      </c>
      <c r="B974" s="230" t="s">
        <v>610</v>
      </c>
      <c r="C974" s="226" t="s">
        <v>585</v>
      </c>
      <c r="D974" s="231"/>
      <c r="E974" s="887">
        <v>71400</v>
      </c>
    </row>
    <row r="975" spans="1:5" x14ac:dyDescent="0.2">
      <c r="A975" s="226" t="s">
        <v>624</v>
      </c>
      <c r="B975" s="230" t="s">
        <v>377</v>
      </c>
      <c r="C975" s="226" t="s">
        <v>614</v>
      </c>
      <c r="D975" s="231"/>
      <c r="E975" s="887">
        <v>200000</v>
      </c>
    </row>
    <row r="976" spans="1:5" ht="14.25" x14ac:dyDescent="0.2">
      <c r="A976" s="226" t="s">
        <v>1905</v>
      </c>
      <c r="B976" s="230" t="s">
        <v>2753</v>
      </c>
      <c r="C976" s="226" t="s">
        <v>585</v>
      </c>
      <c r="D976" s="231"/>
      <c r="E976" s="887">
        <v>27000</v>
      </c>
    </row>
    <row r="977" spans="1:5" x14ac:dyDescent="0.2">
      <c r="A977" s="226" t="s">
        <v>1915</v>
      </c>
      <c r="B977" s="230" t="s">
        <v>1916</v>
      </c>
      <c r="C977" s="226" t="s">
        <v>614</v>
      </c>
      <c r="D977" s="231"/>
      <c r="E977" s="887">
        <v>275070</v>
      </c>
    </row>
    <row r="978" spans="1:5" x14ac:dyDescent="0.2">
      <c r="A978" s="226" t="s">
        <v>169</v>
      </c>
      <c r="B978" s="230" t="s">
        <v>170</v>
      </c>
      <c r="C978" s="226" t="s">
        <v>585</v>
      </c>
      <c r="D978" s="231"/>
      <c r="E978" s="887">
        <v>39984</v>
      </c>
    </row>
    <row r="979" spans="1:5" x14ac:dyDescent="0.2">
      <c r="A979" s="226" t="s">
        <v>670</v>
      </c>
      <c r="B979" s="230" t="s">
        <v>671</v>
      </c>
      <c r="C979" s="226" t="s">
        <v>585</v>
      </c>
      <c r="D979" s="231"/>
      <c r="E979" s="887">
        <v>65450</v>
      </c>
    </row>
    <row r="980" spans="1:5" x14ac:dyDescent="0.2">
      <c r="A980" s="226" t="s">
        <v>1917</v>
      </c>
      <c r="B980" s="230" t="s">
        <v>3926</v>
      </c>
      <c r="C980" s="226" t="s">
        <v>614</v>
      </c>
      <c r="D980" s="231"/>
      <c r="E980" s="887">
        <f>220000*1.19</f>
        <v>261800</v>
      </c>
    </row>
    <row r="981" spans="1:5" x14ac:dyDescent="0.2">
      <c r="A981" s="226" t="s">
        <v>343</v>
      </c>
      <c r="B981" s="230" t="s">
        <v>1956</v>
      </c>
      <c r="C981" s="226" t="s">
        <v>585</v>
      </c>
      <c r="D981" s="231"/>
      <c r="E981" s="887">
        <v>952</v>
      </c>
    </row>
    <row r="982" spans="1:5" x14ac:dyDescent="0.2">
      <c r="A982" s="226" t="s">
        <v>663</v>
      </c>
      <c r="B982" s="230" t="s">
        <v>1950</v>
      </c>
      <c r="C982" s="226" t="s">
        <v>585</v>
      </c>
      <c r="D982" s="231"/>
      <c r="E982" s="887">
        <v>286</v>
      </c>
    </row>
    <row r="983" spans="1:5" x14ac:dyDescent="0.2">
      <c r="A983" s="226" t="s">
        <v>342</v>
      </c>
      <c r="B983" s="230" t="s">
        <v>1955</v>
      </c>
      <c r="C983" s="226" t="s">
        <v>585</v>
      </c>
      <c r="D983" s="231"/>
      <c r="E983" s="887">
        <v>369</v>
      </c>
    </row>
    <row r="984" spans="1:5" x14ac:dyDescent="0.2">
      <c r="A984" s="226" t="s">
        <v>344</v>
      </c>
      <c r="B984" s="230" t="s">
        <v>2004</v>
      </c>
      <c r="C984" s="226" t="s">
        <v>585</v>
      </c>
      <c r="D984" s="231"/>
      <c r="E984" s="887">
        <v>145950</v>
      </c>
    </row>
    <row r="985" spans="1:5" x14ac:dyDescent="0.2">
      <c r="A985" s="222" t="s">
        <v>122</v>
      </c>
      <c r="B985" s="230" t="s">
        <v>3786</v>
      </c>
      <c r="C985" s="226" t="s">
        <v>614</v>
      </c>
      <c r="D985" s="226"/>
      <c r="E985" s="484">
        <v>107100</v>
      </c>
    </row>
    <row r="986" spans="1:5" x14ac:dyDescent="0.2">
      <c r="A986" s="226" t="s">
        <v>2614</v>
      </c>
      <c r="B986" s="230" t="s">
        <v>2005</v>
      </c>
      <c r="C986" s="226" t="s">
        <v>585</v>
      </c>
      <c r="D986" s="231"/>
      <c r="E986" s="887">
        <v>241650</v>
      </c>
    </row>
    <row r="987" spans="1:5" x14ac:dyDescent="0.2">
      <c r="A987" s="735" t="s">
        <v>64</v>
      </c>
      <c r="B987" s="230" t="s">
        <v>660</v>
      </c>
      <c r="C987" s="226" t="s">
        <v>585</v>
      </c>
      <c r="D987" s="231"/>
      <c r="E987" s="887">
        <v>595</v>
      </c>
    </row>
    <row r="988" spans="1:5" x14ac:dyDescent="0.2">
      <c r="A988" s="226" t="s">
        <v>137</v>
      </c>
      <c r="B988" s="230" t="s">
        <v>138</v>
      </c>
      <c r="C988" s="226" t="s">
        <v>411</v>
      </c>
      <c r="D988" s="225"/>
      <c r="E988" s="887">
        <v>77474</v>
      </c>
    </row>
    <row r="989" spans="1:5" x14ac:dyDescent="0.2">
      <c r="A989" s="226" t="s">
        <v>279</v>
      </c>
      <c r="B989" s="230" t="s">
        <v>291</v>
      </c>
      <c r="C989" s="226" t="s">
        <v>292</v>
      </c>
      <c r="D989" s="231"/>
      <c r="E989" s="887">
        <v>0</v>
      </c>
    </row>
    <row r="990" spans="1:5" x14ac:dyDescent="0.2">
      <c r="A990" s="226" t="s">
        <v>339</v>
      </c>
      <c r="B990" s="230" t="s">
        <v>356</v>
      </c>
      <c r="C990" s="226" t="s">
        <v>659</v>
      </c>
      <c r="D990" s="231"/>
      <c r="E990" s="887">
        <f>ROUND(4152*1.056,0)</f>
        <v>4385</v>
      </c>
    </row>
    <row r="991" spans="1:5" x14ac:dyDescent="0.2">
      <c r="A991" s="226" t="s">
        <v>668</v>
      </c>
      <c r="B991" s="230" t="s">
        <v>669</v>
      </c>
      <c r="C991" s="226" t="s">
        <v>585</v>
      </c>
      <c r="D991" s="231"/>
      <c r="E991" s="887">
        <v>58310</v>
      </c>
    </row>
    <row r="992" spans="1:5" x14ac:dyDescent="0.2">
      <c r="A992" s="226" t="s">
        <v>621</v>
      </c>
      <c r="B992" s="230" t="s">
        <v>355</v>
      </c>
      <c r="C992" s="226" t="s">
        <v>585</v>
      </c>
      <c r="D992" s="231"/>
      <c r="E992" s="887">
        <v>71400</v>
      </c>
    </row>
    <row r="993" spans="1:5" ht="14.25" x14ac:dyDescent="0.2">
      <c r="A993" s="226" t="s">
        <v>631</v>
      </c>
      <c r="B993" s="230" t="s">
        <v>370</v>
      </c>
      <c r="C993" s="226" t="s">
        <v>614</v>
      </c>
      <c r="D993" s="231"/>
      <c r="E993" s="887">
        <f>140000*1.19</f>
        <v>166600</v>
      </c>
    </row>
    <row r="994" spans="1:5" x14ac:dyDescent="0.2">
      <c r="A994" s="222" t="s">
        <v>4026</v>
      </c>
      <c r="B994" s="230"/>
      <c r="C994" s="226"/>
      <c r="D994" s="226"/>
      <c r="E994" s="484"/>
    </row>
    <row r="995" spans="1:5" x14ac:dyDescent="0.2">
      <c r="A995" s="222" t="s">
        <v>4027</v>
      </c>
      <c r="B995" s="230"/>
      <c r="C995" s="226"/>
      <c r="D995" s="226"/>
      <c r="E995" s="484"/>
    </row>
    <row r="996" spans="1:5" x14ac:dyDescent="0.2">
      <c r="A996" s="222" t="s">
        <v>4028</v>
      </c>
      <c r="B996" s="230"/>
      <c r="C996" s="226"/>
      <c r="D996" s="226"/>
      <c r="E996" s="484"/>
    </row>
    <row r="997" spans="1:5" x14ac:dyDescent="0.2">
      <c r="A997" s="222"/>
      <c r="B997" s="230"/>
      <c r="C997" s="226"/>
      <c r="D997" s="226"/>
      <c r="E997" s="484"/>
    </row>
    <row r="999" spans="1:5" x14ac:dyDescent="0.2">
      <c r="A999" s="729"/>
    </row>
    <row r="1000" spans="1:5" x14ac:dyDescent="0.2">
      <c r="A1000" s="729"/>
    </row>
    <row r="1001" spans="1:5" x14ac:dyDescent="0.2">
      <c r="A1001" s="729"/>
    </row>
    <row r="1002" spans="1:5" x14ac:dyDescent="0.2">
      <c r="A1002" s="729"/>
    </row>
    <row r="1003" spans="1:5" x14ac:dyDescent="0.2">
      <c r="A1003" s="729"/>
    </row>
    <row r="1004" spans="1:5" x14ac:dyDescent="0.2">
      <c r="A1004" s="729"/>
    </row>
    <row r="1005" spans="1:5" x14ac:dyDescent="0.2">
      <c r="A1005" s="729"/>
    </row>
    <row r="1006" spans="1:5" x14ac:dyDescent="0.2">
      <c r="A1006" s="729"/>
    </row>
    <row r="1007" spans="1:5" x14ac:dyDescent="0.2">
      <c r="A1007" s="729"/>
    </row>
    <row r="1008" spans="1:5" x14ac:dyDescent="0.2">
      <c r="A1008" s="729"/>
    </row>
    <row r="1009" spans="1:1" x14ac:dyDescent="0.2">
      <c r="A1009" s="729"/>
    </row>
    <row r="1010" spans="1:1" x14ac:dyDescent="0.2">
      <c r="A1010" s="729"/>
    </row>
    <row r="1011" spans="1:1" x14ac:dyDescent="0.2">
      <c r="A1011" s="729"/>
    </row>
    <row r="1012" spans="1:1" x14ac:dyDescent="0.2">
      <c r="A1012" s="729"/>
    </row>
    <row r="1013" spans="1:1" x14ac:dyDescent="0.2">
      <c r="A1013" s="729"/>
    </row>
    <row r="1014" spans="1:1" x14ac:dyDescent="0.2">
      <c r="A1014" s="729"/>
    </row>
    <row r="1015" spans="1:1" x14ac:dyDescent="0.2">
      <c r="A1015" s="729"/>
    </row>
    <row r="1016" spans="1:1" x14ac:dyDescent="0.2">
      <c r="A1016" s="729"/>
    </row>
    <row r="1017" spans="1:1" x14ac:dyDescent="0.2">
      <c r="A1017" s="729"/>
    </row>
  </sheetData>
  <sortState ref="A923:E993">
    <sortCondition ref="B923:B993"/>
  </sortState>
  <mergeCells count="4">
    <mergeCell ref="A1:E1"/>
    <mergeCell ref="A3:E3"/>
    <mergeCell ref="A29:E30"/>
    <mergeCell ref="A920:E921"/>
  </mergeCells>
  <phoneticPr fontId="26" type="noConversion"/>
  <conditionalFormatting sqref="A211">
    <cfRule type="duplicateValues" dxfId="4" priority="8"/>
  </conditionalFormatting>
  <conditionalFormatting sqref="A226:A227">
    <cfRule type="duplicateValues" dxfId="3" priority="7"/>
  </conditionalFormatting>
  <conditionalFormatting sqref="A253">
    <cfRule type="duplicateValues" dxfId="2" priority="6"/>
  </conditionalFormatting>
  <conditionalFormatting sqref="A587">
    <cfRule type="duplicateValues" dxfId="1" priority="5"/>
  </conditionalFormatting>
  <conditionalFormatting sqref="A679">
    <cfRule type="duplicateValues" dxfId="0" priority="4"/>
  </conditionalFormatting>
  <printOptions horizontalCentered="1"/>
  <pageMargins left="0.51181102362204722" right="0.51181102362204722" top="0.51181102362204722" bottom="0.51181102362204722" header="0" footer="0"/>
  <pageSetup scale="85" fitToWidth="2" fitToHeight="0" orientation="portrait" r:id="rId1"/>
  <headerFooter>
    <oddHeader>&amp;L&amp;"+,Regular"&amp;16&amp;K04+035Customer&amp;"-,Regular"&amp;K01+000 Contacts</oddHeader>
    <oddFooter>Page &amp;P of &amp;N</oddFooter>
  </headerFooter>
  <rowBreaks count="1" manualBreakCount="1">
    <brk id="919"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autoPageBreaks="0"/>
  </sheetPr>
  <dimension ref="A1:I4055"/>
  <sheetViews>
    <sheetView showGridLines="0" tabSelected="1" showWhiteSpace="0" zoomScale="99" zoomScaleNormal="99" zoomScaleSheetLayoutView="85" zoomScalePageLayoutView="130" workbookViewId="0">
      <pane xSplit="1" topLeftCell="B1" activePane="topRight" state="frozen"/>
      <selection pane="topRight" sqref="A1:H1"/>
    </sheetView>
  </sheetViews>
  <sheetFormatPr baseColWidth="10" defaultColWidth="9.140625" defaultRowHeight="12.75" x14ac:dyDescent="0.2"/>
  <cols>
    <col min="1" max="1" width="12.5703125" style="38" customWidth="1"/>
    <col min="2" max="2" width="10.42578125" style="21" bestFit="1" customWidth="1"/>
    <col min="3" max="3" width="61.7109375" customWidth="1"/>
    <col min="4" max="4" width="13.42578125" bestFit="1" customWidth="1"/>
    <col min="5" max="5" width="8.5703125" style="210" bestFit="1" customWidth="1"/>
    <col min="6" max="6" width="12.42578125" style="53" bestFit="1" customWidth="1"/>
    <col min="7" max="7" width="17.7109375" style="35" bestFit="1" customWidth="1"/>
    <col min="8" max="8" width="11.42578125" style="168" bestFit="1" customWidth="1"/>
    <col min="9" max="9" width="14.5703125" style="738" bestFit="1" customWidth="1"/>
  </cols>
  <sheetData>
    <row r="1" spans="1:9" ht="77.45" customHeight="1" x14ac:dyDescent="0.2">
      <c r="A1" s="961" t="s">
        <v>4236</v>
      </c>
      <c r="B1" s="962"/>
      <c r="C1" s="962"/>
      <c r="D1" s="962"/>
      <c r="E1" s="962"/>
      <c r="F1" s="962"/>
      <c r="G1" s="962"/>
      <c r="H1" s="963"/>
    </row>
    <row r="2" spans="1:9" ht="85.9" customHeight="1" x14ac:dyDescent="0.2">
      <c r="A2" s="964" t="s">
        <v>2568</v>
      </c>
      <c r="B2" s="965"/>
      <c r="C2" s="965"/>
      <c r="D2" s="965"/>
      <c r="E2" s="965"/>
      <c r="F2" s="965"/>
      <c r="G2" s="965"/>
      <c r="H2" s="966"/>
    </row>
    <row r="3" spans="1:9" ht="36" customHeight="1" x14ac:dyDescent="0.2">
      <c r="A3" s="964" t="s">
        <v>4229</v>
      </c>
      <c r="B3" s="965"/>
      <c r="C3" s="965"/>
      <c r="D3" s="965"/>
      <c r="E3" s="965"/>
      <c r="F3" s="965"/>
      <c r="G3" s="965"/>
      <c r="H3" s="966"/>
    </row>
    <row r="4" spans="1:9" ht="33" customHeight="1" x14ac:dyDescent="0.2">
      <c r="A4" s="964" t="s">
        <v>4237</v>
      </c>
      <c r="B4" s="965"/>
      <c r="C4" s="965"/>
      <c r="D4" s="965"/>
      <c r="E4" s="965"/>
      <c r="F4" s="965"/>
      <c r="G4" s="965"/>
      <c r="H4" s="966"/>
    </row>
    <row r="5" spans="1:9" ht="13.5" thickBot="1" x14ac:dyDescent="0.25">
      <c r="A5" s="95"/>
      <c r="B5" s="39"/>
      <c r="C5" s="39"/>
      <c r="D5" s="39"/>
      <c r="E5" s="190"/>
      <c r="F5" s="54"/>
      <c r="G5" s="40"/>
      <c r="H5" s="96"/>
    </row>
    <row r="6" spans="1:9" ht="67.5" customHeight="1" thickBot="1" x14ac:dyDescent="0.25">
      <c r="A6" s="1014" t="s">
        <v>2150</v>
      </c>
      <c r="B6" s="1015"/>
      <c r="C6" s="1015"/>
      <c r="D6" s="1016"/>
      <c r="E6" s="191"/>
      <c r="F6" s="55"/>
      <c r="G6" s="1017"/>
      <c r="H6" s="1018"/>
    </row>
    <row r="7" spans="1:9" ht="16.5" thickBot="1" x14ac:dyDescent="0.25">
      <c r="A7" s="1019" t="s">
        <v>2208</v>
      </c>
      <c r="B7" s="1020"/>
      <c r="C7" s="1020"/>
      <c r="D7" s="1020"/>
      <c r="E7" s="1020"/>
      <c r="F7" s="1020"/>
      <c r="G7" s="1020"/>
      <c r="H7" s="1021"/>
    </row>
    <row r="8" spans="1:9" ht="15.75" thickBot="1" x14ac:dyDescent="0.25">
      <c r="A8" s="1022" t="s">
        <v>2218</v>
      </c>
      <c r="B8" s="1023"/>
      <c r="C8" s="1023"/>
      <c r="D8" s="1023"/>
      <c r="E8" s="1023"/>
      <c r="F8" s="1023"/>
      <c r="G8" s="1023"/>
      <c r="H8" s="1024"/>
    </row>
    <row r="9" spans="1:9" s="9" customFormat="1" ht="45.75" thickBot="1" x14ac:dyDescent="0.25">
      <c r="A9" s="74" t="s">
        <v>2044</v>
      </c>
      <c r="B9" s="74" t="s">
        <v>265</v>
      </c>
      <c r="C9" s="74" t="s">
        <v>402</v>
      </c>
      <c r="D9" s="354" t="s">
        <v>346</v>
      </c>
      <c r="E9" s="192" t="s">
        <v>2173</v>
      </c>
      <c r="F9" s="162" t="s">
        <v>3165</v>
      </c>
      <c r="G9" s="290" t="s">
        <v>281</v>
      </c>
      <c r="H9" s="74" t="s">
        <v>3164</v>
      </c>
    </row>
    <row r="10" spans="1:9" s="42" customFormat="1" ht="17.25" x14ac:dyDescent="0.2">
      <c r="A10" s="394" t="s">
        <v>796</v>
      </c>
      <c r="B10" s="527"/>
      <c r="C10" s="388" t="s">
        <v>2082</v>
      </c>
      <c r="D10" s="389" t="s">
        <v>3225</v>
      </c>
      <c r="E10" s="395"/>
      <c r="F10" s="391">
        <f>ROUND(SUM(H10:H17),0)</f>
        <v>374067</v>
      </c>
      <c r="G10" s="396"/>
      <c r="H10" s="397"/>
      <c r="I10" s="738"/>
    </row>
    <row r="11" spans="1:9" x14ac:dyDescent="0.2">
      <c r="A11" s="936" t="s">
        <v>382</v>
      </c>
      <c r="B11" s="241" t="s">
        <v>1279</v>
      </c>
      <c r="C11" s="3" t="s">
        <v>349</v>
      </c>
      <c r="D11" s="2" t="s">
        <v>617</v>
      </c>
      <c r="E11" s="114">
        <v>160</v>
      </c>
      <c r="F11" s="23">
        <f>VLOOKUP(B11,'BASE DE DATOS'!$A$5:$E$997,5,FALSE)</f>
        <v>19</v>
      </c>
      <c r="G11" s="104">
        <v>1.03</v>
      </c>
      <c r="H11" s="252">
        <f t="shared" ref="H11:H17" si="0">IF(G11&gt;0,(G11*F11*E11),(F11*E11))</f>
        <v>3131.2</v>
      </c>
    </row>
    <row r="12" spans="1:9" ht="14.25" x14ac:dyDescent="0.2">
      <c r="A12" s="936"/>
      <c r="B12" s="241" t="s">
        <v>1291</v>
      </c>
      <c r="C12" s="3" t="s">
        <v>648</v>
      </c>
      <c r="D12" s="2" t="s">
        <v>285</v>
      </c>
      <c r="E12" s="114">
        <v>0.56000000000000005</v>
      </c>
      <c r="F12" s="23">
        <f>VLOOKUP(B12,'BASE DE DATOS'!$A$5:$E$997,5,FALSE)</f>
        <v>71990</v>
      </c>
      <c r="G12" s="104">
        <v>1.03</v>
      </c>
      <c r="H12" s="252">
        <f t="shared" si="0"/>
        <v>41523.832000000002</v>
      </c>
    </row>
    <row r="13" spans="1:9" x14ac:dyDescent="0.2">
      <c r="A13" s="936"/>
      <c r="B13" s="241" t="s">
        <v>1319</v>
      </c>
      <c r="C13" s="20" t="s">
        <v>2569</v>
      </c>
      <c r="D13" s="2" t="s">
        <v>616</v>
      </c>
      <c r="E13" s="114">
        <v>3.5</v>
      </c>
      <c r="F13" s="23">
        <f>VLOOKUP(B13,'BASE DE DATOS'!$A$5:$E$997,5,FALSE)</f>
        <v>32900</v>
      </c>
      <c r="G13" s="104">
        <v>1.03</v>
      </c>
      <c r="H13" s="252">
        <f t="shared" si="0"/>
        <v>118604.5</v>
      </c>
    </row>
    <row r="14" spans="1:9" ht="14.25" x14ac:dyDescent="0.2">
      <c r="A14" s="936"/>
      <c r="B14" s="241" t="s">
        <v>1611</v>
      </c>
      <c r="C14" s="3" t="s">
        <v>3732</v>
      </c>
      <c r="D14" s="2" t="s">
        <v>285</v>
      </c>
      <c r="E14" s="114">
        <v>0.97</v>
      </c>
      <c r="F14" s="23">
        <f>VLOOKUP(B14,'BASE DE DATOS'!$A$5:$E$997,5,FALSE)</f>
        <v>74972.5</v>
      </c>
      <c r="G14" s="104">
        <v>1.03</v>
      </c>
      <c r="H14" s="252">
        <f t="shared" si="0"/>
        <v>74905.024749999997</v>
      </c>
    </row>
    <row r="15" spans="1:9" s="9" customFormat="1" x14ac:dyDescent="0.2">
      <c r="A15" s="81" t="s">
        <v>2555</v>
      </c>
      <c r="B15" s="241" t="s">
        <v>618</v>
      </c>
      <c r="C15" s="3" t="s">
        <v>619</v>
      </c>
      <c r="D15" s="2" t="s">
        <v>585</v>
      </c>
      <c r="E15" s="114">
        <v>1</v>
      </c>
      <c r="F15" s="23">
        <f>VLOOKUP(B15,'BASE DE DATOS'!$A$5:$E$997,5,FALSE)</f>
        <v>780376</v>
      </c>
      <c r="G15" s="104">
        <f>1/6.66667</f>
        <v>0.1499999250000375</v>
      </c>
      <c r="H15" s="252">
        <f t="shared" si="0"/>
        <v>117056.34147182926</v>
      </c>
    </row>
    <row r="16" spans="1:9" x14ac:dyDescent="0.2">
      <c r="A16" s="944" t="s">
        <v>293</v>
      </c>
      <c r="B16" s="241" t="s">
        <v>620</v>
      </c>
      <c r="C16" s="218" t="s">
        <v>66</v>
      </c>
      <c r="D16" s="219" t="s">
        <v>585</v>
      </c>
      <c r="E16" s="114">
        <v>1</v>
      </c>
      <c r="F16" s="220">
        <f>VLOOKUP(B16,'BASE DE DATOS'!$A$5:$E$997,5,FALSE)</f>
        <v>71400</v>
      </c>
      <c r="G16" s="187">
        <f>1/10</f>
        <v>0.1</v>
      </c>
      <c r="H16" s="252">
        <f t="shared" si="0"/>
        <v>7140</v>
      </c>
    </row>
    <row r="17" spans="1:9" ht="13.5" thickBot="1" x14ac:dyDescent="0.25">
      <c r="A17" s="945"/>
      <c r="B17" s="528" t="s">
        <v>269</v>
      </c>
      <c r="C17" s="88" t="s">
        <v>284</v>
      </c>
      <c r="D17" s="89" t="s">
        <v>586</v>
      </c>
      <c r="E17" s="193">
        <v>0.1</v>
      </c>
      <c r="F17" s="90">
        <f>H15</f>
        <v>117056.34147182926</v>
      </c>
      <c r="G17" s="153">
        <v>0</v>
      </c>
      <c r="H17" s="255">
        <f t="shared" si="0"/>
        <v>11705.634147182927</v>
      </c>
    </row>
    <row r="18" spans="1:9" s="42" customFormat="1" ht="17.25" x14ac:dyDescent="0.2">
      <c r="A18" s="394" t="s">
        <v>797</v>
      </c>
      <c r="B18" s="529"/>
      <c r="C18" s="388" t="s">
        <v>2083</v>
      </c>
      <c r="D18" s="389" t="s">
        <v>3225</v>
      </c>
      <c r="E18" s="395"/>
      <c r="F18" s="391">
        <f>ROUND(SUM(H18:H25),0)</f>
        <v>421463</v>
      </c>
      <c r="G18" s="392"/>
      <c r="H18" s="252"/>
      <c r="I18" s="738"/>
    </row>
    <row r="19" spans="1:9" x14ac:dyDescent="0.2">
      <c r="A19" s="936" t="s">
        <v>382</v>
      </c>
      <c r="B19" s="241" t="s">
        <v>1279</v>
      </c>
      <c r="C19" s="3" t="s">
        <v>349</v>
      </c>
      <c r="D19" s="2" t="s">
        <v>617</v>
      </c>
      <c r="E19" s="114">
        <v>185</v>
      </c>
      <c r="F19" s="23">
        <f>VLOOKUP(B19,'BASE DE DATOS'!$A$5:$E$997,5,FALSE)</f>
        <v>19</v>
      </c>
      <c r="G19" s="104">
        <v>1.03</v>
      </c>
      <c r="H19" s="252">
        <f t="shared" ref="H19:H25" si="1">IF(G19&gt;0,(G19*F19*E19),(F19*E19))</f>
        <v>3620.4500000000003</v>
      </c>
    </row>
    <row r="20" spans="1:9" ht="14.25" x14ac:dyDescent="0.2">
      <c r="A20" s="936"/>
      <c r="B20" s="241" t="s">
        <v>1291</v>
      </c>
      <c r="C20" s="3" t="s">
        <v>648</v>
      </c>
      <c r="D20" s="2" t="s">
        <v>285</v>
      </c>
      <c r="E20" s="114">
        <v>0.63</v>
      </c>
      <c r="F20" s="23">
        <f>VLOOKUP(B20,'BASE DE DATOS'!$A$5:$E$997,5,FALSE)</f>
        <v>71990</v>
      </c>
      <c r="G20" s="104">
        <v>1.03</v>
      </c>
      <c r="H20" s="252">
        <f t="shared" si="1"/>
        <v>46714.311000000002</v>
      </c>
    </row>
    <row r="21" spans="1:9" x14ac:dyDescent="0.2">
      <c r="A21" s="936"/>
      <c r="B21" s="241" t="s">
        <v>1319</v>
      </c>
      <c r="C21" s="20" t="s">
        <v>2569</v>
      </c>
      <c r="D21" s="2" t="s">
        <v>616</v>
      </c>
      <c r="E21" s="114">
        <v>5.2</v>
      </c>
      <c r="F21" s="23">
        <f>VLOOKUP(B21,'BASE DE DATOS'!$A$5:$E$997,5,FALSE)</f>
        <v>32900</v>
      </c>
      <c r="G21" s="104">
        <v>1.03</v>
      </c>
      <c r="H21" s="252">
        <f t="shared" si="1"/>
        <v>176212.4</v>
      </c>
    </row>
    <row r="22" spans="1:9" s="33" customFormat="1" ht="14.25" x14ac:dyDescent="0.2">
      <c r="A22" s="936"/>
      <c r="B22" s="241" t="s">
        <v>1611</v>
      </c>
      <c r="C22" s="3" t="s">
        <v>3732</v>
      </c>
      <c r="D22" s="2" t="s">
        <v>285</v>
      </c>
      <c r="E22" s="114">
        <v>0.84</v>
      </c>
      <c r="F22" s="23">
        <f>VLOOKUP(B22,'BASE DE DATOS'!$A$5:$E$997,5,FALSE)</f>
        <v>74972.5</v>
      </c>
      <c r="G22" s="104">
        <v>1.03</v>
      </c>
      <c r="H22" s="252">
        <f t="shared" si="1"/>
        <v>64866.207000000002</v>
      </c>
    </row>
    <row r="23" spans="1:9" x14ac:dyDescent="0.2">
      <c r="A23" s="81" t="s">
        <v>2555</v>
      </c>
      <c r="B23" s="241" t="s">
        <v>618</v>
      </c>
      <c r="C23" s="3" t="s">
        <v>619</v>
      </c>
      <c r="D23" s="2" t="s">
        <v>585</v>
      </c>
      <c r="E23" s="114">
        <v>1</v>
      </c>
      <c r="F23" s="23">
        <f>VLOOKUP(B23,'BASE DE DATOS'!$A$5:$E$997,5,FALSE)</f>
        <v>780376</v>
      </c>
      <c r="G23" s="104">
        <f>1/6.66667</f>
        <v>0.1499999250000375</v>
      </c>
      <c r="H23" s="252">
        <f t="shared" si="1"/>
        <v>117056.34147182926</v>
      </c>
    </row>
    <row r="24" spans="1:9" x14ac:dyDescent="0.2">
      <c r="A24" s="944" t="s">
        <v>293</v>
      </c>
      <c r="B24" s="241" t="s">
        <v>620</v>
      </c>
      <c r="C24" s="218" t="s">
        <v>66</v>
      </c>
      <c r="D24" s="219" t="s">
        <v>585</v>
      </c>
      <c r="E24" s="114">
        <v>1</v>
      </c>
      <c r="F24" s="220">
        <f>VLOOKUP(B24,'BASE DE DATOS'!$A$5:$E$997,5,FALSE)</f>
        <v>71400</v>
      </c>
      <c r="G24" s="187">
        <f>1/10</f>
        <v>0.1</v>
      </c>
      <c r="H24" s="252">
        <f t="shared" si="1"/>
        <v>7140</v>
      </c>
    </row>
    <row r="25" spans="1:9" ht="13.5" thickBot="1" x14ac:dyDescent="0.25">
      <c r="A25" s="945"/>
      <c r="B25" s="528" t="s">
        <v>269</v>
      </c>
      <c r="C25" s="88" t="s">
        <v>284</v>
      </c>
      <c r="D25" s="89" t="s">
        <v>586</v>
      </c>
      <c r="E25" s="193">
        <v>0.05</v>
      </c>
      <c r="F25" s="90">
        <f>H23</f>
        <v>117056.34147182926</v>
      </c>
      <c r="G25" s="153">
        <v>0</v>
      </c>
      <c r="H25" s="255">
        <f t="shared" si="1"/>
        <v>5852.8170735914637</v>
      </c>
    </row>
    <row r="26" spans="1:9" s="42" customFormat="1" ht="17.25" x14ac:dyDescent="0.2">
      <c r="A26" s="394" t="s">
        <v>798</v>
      </c>
      <c r="B26" s="529"/>
      <c r="C26" s="388" t="s">
        <v>2084</v>
      </c>
      <c r="D26" s="389" t="s">
        <v>3225</v>
      </c>
      <c r="E26" s="395"/>
      <c r="F26" s="391">
        <f>ROUND(SUM(H26:H33),0)</f>
        <v>456694</v>
      </c>
      <c r="G26" s="392"/>
      <c r="H26" s="252"/>
      <c r="I26" s="738"/>
    </row>
    <row r="27" spans="1:9" x14ac:dyDescent="0.2">
      <c r="A27" s="936" t="s">
        <v>382</v>
      </c>
      <c r="B27" s="241" t="s">
        <v>1279</v>
      </c>
      <c r="C27" s="3" t="s">
        <v>349</v>
      </c>
      <c r="D27" s="2" t="s">
        <v>617</v>
      </c>
      <c r="E27" s="114">
        <v>170</v>
      </c>
      <c r="F27" s="23">
        <f>VLOOKUP(B27,'BASE DE DATOS'!$A$5:$E$997,5,FALSE)</f>
        <v>19</v>
      </c>
      <c r="G27" s="104">
        <v>1.03</v>
      </c>
      <c r="H27" s="252">
        <f t="shared" ref="H27:H33" si="2">IF(G27&gt;0,(G27*F27*E27),(F27*E27))</f>
        <v>3326.9</v>
      </c>
    </row>
    <row r="28" spans="1:9" ht="14.25" x14ac:dyDescent="0.2">
      <c r="A28" s="936"/>
      <c r="B28" s="241" t="s">
        <v>1291</v>
      </c>
      <c r="C28" s="3" t="s">
        <v>648</v>
      </c>
      <c r="D28" s="2" t="s">
        <v>285</v>
      </c>
      <c r="E28" s="114">
        <v>0.55000000000000004</v>
      </c>
      <c r="F28" s="23">
        <f>VLOOKUP(B28,'BASE DE DATOS'!$A$5:$E$997,5,FALSE)</f>
        <v>71990</v>
      </c>
      <c r="G28" s="104">
        <v>1.03</v>
      </c>
      <c r="H28" s="252">
        <f t="shared" si="2"/>
        <v>40782.334999999999</v>
      </c>
    </row>
    <row r="29" spans="1:9" x14ac:dyDescent="0.2">
      <c r="A29" s="936"/>
      <c r="B29" s="241" t="s">
        <v>1319</v>
      </c>
      <c r="C29" s="20" t="s">
        <v>2569</v>
      </c>
      <c r="D29" s="2" t="s">
        <v>616</v>
      </c>
      <c r="E29" s="114">
        <v>6</v>
      </c>
      <c r="F29" s="23">
        <f>VLOOKUP(B29,'BASE DE DATOS'!$A$5:$E$997,5,FALSE)</f>
        <v>32900</v>
      </c>
      <c r="G29" s="104">
        <v>1.03</v>
      </c>
      <c r="H29" s="252">
        <f t="shared" si="2"/>
        <v>203322</v>
      </c>
    </row>
    <row r="30" spans="1:9" ht="14.25" x14ac:dyDescent="0.2">
      <c r="A30" s="936"/>
      <c r="B30" s="241" t="s">
        <v>1611</v>
      </c>
      <c r="C30" s="3" t="s">
        <v>3732</v>
      </c>
      <c r="D30" s="2" t="s">
        <v>285</v>
      </c>
      <c r="E30" s="114">
        <v>0.95</v>
      </c>
      <c r="F30" s="23">
        <f>VLOOKUP(B30,'BASE DE DATOS'!$A$5:$E$997,5,FALSE)</f>
        <v>74972.5</v>
      </c>
      <c r="G30" s="104">
        <v>1.03</v>
      </c>
      <c r="H30" s="252">
        <f t="shared" si="2"/>
        <v>73360.591249999998</v>
      </c>
    </row>
    <row r="31" spans="1:9" x14ac:dyDescent="0.2">
      <c r="A31" s="81" t="s">
        <v>2555</v>
      </c>
      <c r="B31" s="241" t="s">
        <v>618</v>
      </c>
      <c r="C31" s="3" t="s">
        <v>619</v>
      </c>
      <c r="D31" s="2" t="s">
        <v>585</v>
      </c>
      <c r="E31" s="114">
        <v>1</v>
      </c>
      <c r="F31" s="23">
        <f>VLOOKUP(B31,'BASE DE DATOS'!$A$5:$E$997,5,FALSE)</f>
        <v>780376</v>
      </c>
      <c r="G31" s="104">
        <f>1/6.66667</f>
        <v>0.1499999250000375</v>
      </c>
      <c r="H31" s="252">
        <f t="shared" si="2"/>
        <v>117056.34147182926</v>
      </c>
    </row>
    <row r="32" spans="1:9" x14ac:dyDescent="0.2">
      <c r="A32" s="944" t="s">
        <v>293</v>
      </c>
      <c r="B32" s="241" t="s">
        <v>620</v>
      </c>
      <c r="C32" s="218" t="s">
        <v>66</v>
      </c>
      <c r="D32" s="219" t="s">
        <v>585</v>
      </c>
      <c r="E32" s="114">
        <v>1</v>
      </c>
      <c r="F32" s="220">
        <f>VLOOKUP(B32,'BASE DE DATOS'!$A$5:$E$997,5,FALSE)</f>
        <v>71400</v>
      </c>
      <c r="G32" s="187">
        <f>1/10</f>
        <v>0.1</v>
      </c>
      <c r="H32" s="252">
        <f t="shared" si="2"/>
        <v>7140</v>
      </c>
    </row>
    <row r="33" spans="1:9" s="34" customFormat="1" ht="13.5" thickBot="1" x14ac:dyDescent="0.25">
      <c r="A33" s="945"/>
      <c r="B33" s="528" t="s">
        <v>269</v>
      </c>
      <c r="C33" s="88" t="s">
        <v>284</v>
      </c>
      <c r="D33" s="89" t="s">
        <v>586</v>
      </c>
      <c r="E33" s="193">
        <v>0.1</v>
      </c>
      <c r="F33" s="90">
        <f>H31</f>
        <v>117056.34147182926</v>
      </c>
      <c r="G33" s="153">
        <v>0</v>
      </c>
      <c r="H33" s="255">
        <f t="shared" si="2"/>
        <v>11705.634147182927</v>
      </c>
    </row>
    <row r="34" spans="1:9" s="42" customFormat="1" ht="17.25" x14ac:dyDescent="0.2">
      <c r="A34" s="394" t="s">
        <v>799</v>
      </c>
      <c r="B34" s="529"/>
      <c r="C34" s="388" t="s">
        <v>2085</v>
      </c>
      <c r="D34" s="389" t="s">
        <v>3225</v>
      </c>
      <c r="E34" s="395"/>
      <c r="F34" s="391">
        <f>ROUND(SUM(H34:H41),0)</f>
        <v>482282</v>
      </c>
      <c r="G34" s="392"/>
      <c r="H34" s="252"/>
      <c r="I34" s="738"/>
    </row>
    <row r="35" spans="1:9" x14ac:dyDescent="0.2">
      <c r="A35" s="936" t="s">
        <v>382</v>
      </c>
      <c r="B35" s="241" t="s">
        <v>1279</v>
      </c>
      <c r="C35" s="3" t="s">
        <v>349</v>
      </c>
      <c r="D35" s="2" t="s">
        <v>617</v>
      </c>
      <c r="E35" s="114">
        <v>180</v>
      </c>
      <c r="F35" s="23">
        <f>VLOOKUP(B35,'BASE DE DATOS'!$A$5:$E$997,5,FALSE)</f>
        <v>19</v>
      </c>
      <c r="G35" s="104">
        <v>1.03</v>
      </c>
      <c r="H35" s="252">
        <f t="shared" ref="H35:H41" si="3">IF(G35&gt;0,(G35*F35*E35),(F35*E35))</f>
        <v>3522.6</v>
      </c>
    </row>
    <row r="36" spans="1:9" ht="14.25" x14ac:dyDescent="0.2">
      <c r="A36" s="936"/>
      <c r="B36" s="241" t="s">
        <v>1291</v>
      </c>
      <c r="C36" s="3" t="s">
        <v>648</v>
      </c>
      <c r="D36" s="2" t="s">
        <v>285</v>
      </c>
      <c r="E36" s="114">
        <v>0.55000000000000004</v>
      </c>
      <c r="F36" s="23">
        <f>VLOOKUP(B36,'BASE DE DATOS'!$A$5:$E$997,5,FALSE)</f>
        <v>71990</v>
      </c>
      <c r="G36" s="104">
        <v>1.03</v>
      </c>
      <c r="H36" s="252">
        <f t="shared" si="3"/>
        <v>40782.334999999999</v>
      </c>
    </row>
    <row r="37" spans="1:9" x14ac:dyDescent="0.2">
      <c r="A37" s="936"/>
      <c r="B37" s="241" t="s">
        <v>1319</v>
      </c>
      <c r="C37" s="20" t="s">
        <v>2569</v>
      </c>
      <c r="D37" s="2" t="s">
        <v>616</v>
      </c>
      <c r="E37" s="114">
        <v>7</v>
      </c>
      <c r="F37" s="23">
        <f>VLOOKUP(B37,'BASE DE DATOS'!$A$5:$E$997,5,FALSE)</f>
        <v>32900</v>
      </c>
      <c r="G37" s="104">
        <v>1.03</v>
      </c>
      <c r="H37" s="252">
        <f t="shared" si="3"/>
        <v>237209</v>
      </c>
    </row>
    <row r="38" spans="1:9" ht="14.25" x14ac:dyDescent="0.2">
      <c r="A38" s="936"/>
      <c r="B38" s="241" t="s">
        <v>1611</v>
      </c>
      <c r="C38" s="3" t="s">
        <v>3732</v>
      </c>
      <c r="D38" s="2" t="s">
        <v>285</v>
      </c>
      <c r="E38" s="114">
        <v>0.84</v>
      </c>
      <c r="F38" s="23">
        <f>VLOOKUP(B38,'BASE DE DATOS'!$A$5:$E$997,5,FALSE)</f>
        <v>74972.5</v>
      </c>
      <c r="G38" s="104">
        <v>1.03</v>
      </c>
      <c r="H38" s="252">
        <f t="shared" si="3"/>
        <v>64866.207000000002</v>
      </c>
    </row>
    <row r="39" spans="1:9" s="34" customFormat="1" x14ac:dyDescent="0.2">
      <c r="A39" s="81" t="s">
        <v>2555</v>
      </c>
      <c r="B39" s="241" t="s">
        <v>618</v>
      </c>
      <c r="C39" s="3" t="s">
        <v>619</v>
      </c>
      <c r="D39" s="2" t="s">
        <v>585</v>
      </c>
      <c r="E39" s="114">
        <v>1</v>
      </c>
      <c r="F39" s="23">
        <f>VLOOKUP(B39,'BASE DE DATOS'!$A$5:$E$997,5,FALSE)</f>
        <v>780376</v>
      </c>
      <c r="G39" s="104">
        <f>1/6.66667</f>
        <v>0.1499999250000375</v>
      </c>
      <c r="H39" s="252">
        <f t="shared" si="3"/>
        <v>117056.34147182926</v>
      </c>
    </row>
    <row r="40" spans="1:9" x14ac:dyDescent="0.2">
      <c r="A40" s="944" t="s">
        <v>293</v>
      </c>
      <c r="B40" s="241" t="s">
        <v>620</v>
      </c>
      <c r="C40" s="218" t="s">
        <v>66</v>
      </c>
      <c r="D40" s="219" t="s">
        <v>585</v>
      </c>
      <c r="E40" s="114">
        <v>1</v>
      </c>
      <c r="F40" s="220">
        <f>VLOOKUP(B40,'BASE DE DATOS'!$A$5:$E$997,5,FALSE)</f>
        <v>71400</v>
      </c>
      <c r="G40" s="187">
        <f>1/10</f>
        <v>0.1</v>
      </c>
      <c r="H40" s="252">
        <f t="shared" si="3"/>
        <v>7140</v>
      </c>
    </row>
    <row r="41" spans="1:9" ht="13.5" thickBot="1" x14ac:dyDescent="0.25">
      <c r="A41" s="945"/>
      <c r="B41" s="528" t="s">
        <v>269</v>
      </c>
      <c r="C41" s="88" t="s">
        <v>284</v>
      </c>
      <c r="D41" s="89" t="s">
        <v>586</v>
      </c>
      <c r="E41" s="193">
        <v>0.1</v>
      </c>
      <c r="F41" s="90">
        <f>H39</f>
        <v>117056.34147182926</v>
      </c>
      <c r="G41" s="153">
        <v>0</v>
      </c>
      <c r="H41" s="255">
        <f t="shared" si="3"/>
        <v>11705.634147182927</v>
      </c>
    </row>
    <row r="42" spans="1:9" s="42" customFormat="1" ht="17.25" x14ac:dyDescent="0.2">
      <c r="A42" s="394" t="s">
        <v>800</v>
      </c>
      <c r="B42" s="526"/>
      <c r="C42" s="399" t="s">
        <v>2086</v>
      </c>
      <c r="D42" s="326" t="s">
        <v>3225</v>
      </c>
      <c r="E42" s="400"/>
      <c r="F42" s="401">
        <f>ROUND(SUM(H42:H49),0)</f>
        <v>533927</v>
      </c>
      <c r="G42" s="402"/>
      <c r="H42" s="252"/>
      <c r="I42" s="738"/>
    </row>
    <row r="43" spans="1:9" x14ac:dyDescent="0.2">
      <c r="A43" s="936" t="s">
        <v>382</v>
      </c>
      <c r="B43" s="244" t="s">
        <v>1279</v>
      </c>
      <c r="C43" s="20" t="s">
        <v>358</v>
      </c>
      <c r="D43" s="19" t="s">
        <v>617</v>
      </c>
      <c r="E43" s="194">
        <v>190</v>
      </c>
      <c r="F43" s="23">
        <f>VLOOKUP(B43,'BASE DE DATOS'!$A$5:$E$997,5,FALSE)</f>
        <v>19</v>
      </c>
      <c r="G43" s="58">
        <v>1.03</v>
      </c>
      <c r="H43" s="252">
        <f t="shared" ref="H43:H49" si="4">IF(G43&gt;0,(G43*F43*E43),(F43*E43))</f>
        <v>3718.3</v>
      </c>
    </row>
    <row r="44" spans="1:9" ht="14.25" x14ac:dyDescent="0.2">
      <c r="A44" s="936"/>
      <c r="B44" s="244" t="s">
        <v>1291</v>
      </c>
      <c r="C44" s="20" t="s">
        <v>648</v>
      </c>
      <c r="D44" s="19" t="s">
        <v>285</v>
      </c>
      <c r="E44" s="194">
        <v>0.6</v>
      </c>
      <c r="F44" s="23">
        <f>VLOOKUP(B44,'BASE DE DATOS'!$A$5:$E$997,5,FALSE)</f>
        <v>71990</v>
      </c>
      <c r="G44" s="58">
        <v>1.03</v>
      </c>
      <c r="H44" s="252">
        <f t="shared" si="4"/>
        <v>44489.82</v>
      </c>
    </row>
    <row r="45" spans="1:9" x14ac:dyDescent="0.2">
      <c r="A45" s="936"/>
      <c r="B45" s="244" t="s">
        <v>1319</v>
      </c>
      <c r="C45" s="20" t="s">
        <v>2569</v>
      </c>
      <c r="D45" s="19" t="s">
        <v>616</v>
      </c>
      <c r="E45" s="194">
        <v>8.5</v>
      </c>
      <c r="F45" s="23">
        <f>VLOOKUP(B45,'BASE DE DATOS'!$A$5:$E$997,5,FALSE)</f>
        <v>32900</v>
      </c>
      <c r="G45" s="58">
        <v>1.03</v>
      </c>
      <c r="H45" s="252">
        <f t="shared" si="4"/>
        <v>288039.5</v>
      </c>
    </row>
    <row r="46" spans="1:9" s="25" customFormat="1" ht="14.25" x14ac:dyDescent="0.2">
      <c r="A46" s="936"/>
      <c r="B46" s="244" t="s">
        <v>1611</v>
      </c>
      <c r="C46" s="20" t="s">
        <v>3732</v>
      </c>
      <c r="D46" s="19" t="s">
        <v>285</v>
      </c>
      <c r="E46" s="194">
        <v>0.8</v>
      </c>
      <c r="F46" s="23">
        <f>VLOOKUP(B46,'BASE DE DATOS'!$A$5:$E$997,5,FALSE)</f>
        <v>74972.5</v>
      </c>
      <c r="G46" s="58">
        <v>1.03</v>
      </c>
      <c r="H46" s="252">
        <f t="shared" si="4"/>
        <v>61777.340000000004</v>
      </c>
    </row>
    <row r="47" spans="1:9" x14ac:dyDescent="0.2">
      <c r="A47" s="81" t="s">
        <v>2555</v>
      </c>
      <c r="B47" s="244" t="s">
        <v>618</v>
      </c>
      <c r="C47" s="20" t="s">
        <v>619</v>
      </c>
      <c r="D47" s="19" t="s">
        <v>585</v>
      </c>
      <c r="E47" s="194">
        <v>1</v>
      </c>
      <c r="F47" s="23">
        <f>VLOOKUP(B47,'BASE DE DATOS'!$A$5:$E$997,5,FALSE)</f>
        <v>780376</v>
      </c>
      <c r="G47" s="104">
        <f>1/6.66667</f>
        <v>0.1499999250000375</v>
      </c>
      <c r="H47" s="252">
        <f t="shared" si="4"/>
        <v>117056.34147182926</v>
      </c>
    </row>
    <row r="48" spans="1:9" x14ac:dyDescent="0.2">
      <c r="A48" s="944" t="s">
        <v>293</v>
      </c>
      <c r="B48" s="244" t="s">
        <v>620</v>
      </c>
      <c r="C48" s="214" t="s">
        <v>66</v>
      </c>
      <c r="D48" s="215" t="s">
        <v>585</v>
      </c>
      <c r="E48" s="194">
        <v>1</v>
      </c>
      <c r="F48" s="220">
        <f>VLOOKUP(B48,'BASE DE DATOS'!$A$5:$E$997,5,FALSE)</f>
        <v>71400</v>
      </c>
      <c r="G48" s="216">
        <f>1/10</f>
        <v>0.1</v>
      </c>
      <c r="H48" s="252">
        <f t="shared" si="4"/>
        <v>7140</v>
      </c>
    </row>
    <row r="49" spans="1:9" ht="13.5" thickBot="1" x14ac:dyDescent="0.25">
      <c r="A49" s="945"/>
      <c r="B49" s="543" t="s">
        <v>269</v>
      </c>
      <c r="C49" s="70" t="s">
        <v>284</v>
      </c>
      <c r="D49" s="49" t="s">
        <v>586</v>
      </c>
      <c r="E49" s="195">
        <v>0.1</v>
      </c>
      <c r="F49" s="100">
        <f>H47</f>
        <v>117056.34147182926</v>
      </c>
      <c r="G49" s="154">
        <v>0</v>
      </c>
      <c r="H49" s="255">
        <f t="shared" si="4"/>
        <v>11705.634147182927</v>
      </c>
    </row>
    <row r="50" spans="1:9" s="42" customFormat="1" ht="17.25" x14ac:dyDescent="0.2">
      <c r="A50" s="394" t="s">
        <v>801</v>
      </c>
      <c r="B50" s="529"/>
      <c r="C50" s="388" t="s">
        <v>2087</v>
      </c>
      <c r="D50" s="389" t="s">
        <v>3225</v>
      </c>
      <c r="E50" s="395"/>
      <c r="F50" s="391">
        <f>ROUND(SUM(H50:H57),0)</f>
        <v>563161</v>
      </c>
      <c r="G50" s="392"/>
      <c r="H50" s="252"/>
      <c r="I50" s="738"/>
    </row>
    <row r="51" spans="1:9" x14ac:dyDescent="0.2">
      <c r="A51" s="936" t="s">
        <v>382</v>
      </c>
      <c r="B51" s="241" t="s">
        <v>1279</v>
      </c>
      <c r="C51" s="3" t="s">
        <v>358</v>
      </c>
      <c r="D51" s="2" t="s">
        <v>617</v>
      </c>
      <c r="E51" s="114">
        <v>200</v>
      </c>
      <c r="F51" s="23">
        <f>VLOOKUP(B51,'BASE DE DATOS'!$A$5:$E$997,5,FALSE)</f>
        <v>19</v>
      </c>
      <c r="G51" s="104">
        <v>1.03</v>
      </c>
      <c r="H51" s="252">
        <f t="shared" ref="H51:H57" si="5">IF(G51&gt;0,(G51*F51*E51),(F51*E51))</f>
        <v>3914</v>
      </c>
    </row>
    <row r="52" spans="1:9" s="9" customFormat="1" ht="14.25" x14ac:dyDescent="0.2">
      <c r="A52" s="936"/>
      <c r="B52" s="241" t="s">
        <v>1291</v>
      </c>
      <c r="C52" s="3" t="s">
        <v>648</v>
      </c>
      <c r="D52" s="2" t="s">
        <v>285</v>
      </c>
      <c r="E52" s="114">
        <v>0.67</v>
      </c>
      <c r="F52" s="23">
        <f>VLOOKUP(B52,'BASE DE DATOS'!$A$5:$E$997,5,FALSE)</f>
        <v>71990</v>
      </c>
      <c r="G52" s="104">
        <v>1.03</v>
      </c>
      <c r="H52" s="252">
        <f t="shared" si="5"/>
        <v>49680.298999999999</v>
      </c>
    </row>
    <row r="53" spans="1:9" x14ac:dyDescent="0.2">
      <c r="A53" s="936"/>
      <c r="B53" s="241" t="s">
        <v>1319</v>
      </c>
      <c r="C53" s="20" t="s">
        <v>2569</v>
      </c>
      <c r="D53" s="2" t="s">
        <v>616</v>
      </c>
      <c r="E53" s="114">
        <v>9.5</v>
      </c>
      <c r="F53" s="23">
        <f>VLOOKUP(B53,'BASE DE DATOS'!$A$5:$E$997,5,FALSE)</f>
        <v>32900</v>
      </c>
      <c r="G53" s="104">
        <v>1.03</v>
      </c>
      <c r="H53" s="252">
        <f t="shared" si="5"/>
        <v>321926.5</v>
      </c>
    </row>
    <row r="54" spans="1:9" ht="14.25" x14ac:dyDescent="0.2">
      <c r="A54" s="936"/>
      <c r="B54" s="241" t="s">
        <v>1611</v>
      </c>
      <c r="C54" s="3" t="s">
        <v>3732</v>
      </c>
      <c r="D54" s="2" t="s">
        <v>285</v>
      </c>
      <c r="E54" s="114">
        <v>0.67</v>
      </c>
      <c r="F54" s="23">
        <f>VLOOKUP(B54,'BASE DE DATOS'!$A$5:$E$997,5,FALSE)</f>
        <v>74972.5</v>
      </c>
      <c r="G54" s="104">
        <v>1.03</v>
      </c>
      <c r="H54" s="252">
        <f t="shared" si="5"/>
        <v>51738.522250000002</v>
      </c>
    </row>
    <row r="55" spans="1:9" s="33" customFormat="1" x14ac:dyDescent="0.2">
      <c r="A55" s="81" t="s">
        <v>2555</v>
      </c>
      <c r="B55" s="241" t="s">
        <v>618</v>
      </c>
      <c r="C55" s="3" t="s">
        <v>619</v>
      </c>
      <c r="D55" s="2" t="s">
        <v>585</v>
      </c>
      <c r="E55" s="114">
        <v>1</v>
      </c>
      <c r="F55" s="23">
        <f>VLOOKUP(B55,'BASE DE DATOS'!$A$5:$E$997,5,FALSE)</f>
        <v>780376</v>
      </c>
      <c r="G55" s="104">
        <f>1/6.66667</f>
        <v>0.1499999250000375</v>
      </c>
      <c r="H55" s="252">
        <f t="shared" si="5"/>
        <v>117056.34147182926</v>
      </c>
    </row>
    <row r="56" spans="1:9" x14ac:dyDescent="0.2">
      <c r="A56" s="944" t="s">
        <v>293</v>
      </c>
      <c r="B56" s="241" t="s">
        <v>620</v>
      </c>
      <c r="C56" s="218" t="s">
        <v>66</v>
      </c>
      <c r="D56" s="219" t="s">
        <v>585</v>
      </c>
      <c r="E56" s="114">
        <v>1</v>
      </c>
      <c r="F56" s="220">
        <f>VLOOKUP(B56,'BASE DE DATOS'!$A$5:$E$997,5,FALSE)</f>
        <v>71400</v>
      </c>
      <c r="G56" s="187">
        <f>1/10</f>
        <v>0.1</v>
      </c>
      <c r="H56" s="252">
        <f t="shared" si="5"/>
        <v>7140</v>
      </c>
    </row>
    <row r="57" spans="1:9" ht="13.5" thickBot="1" x14ac:dyDescent="0.25">
      <c r="A57" s="945"/>
      <c r="B57" s="528" t="s">
        <v>269</v>
      </c>
      <c r="C57" s="88" t="s">
        <v>284</v>
      </c>
      <c r="D57" s="89" t="s">
        <v>586</v>
      </c>
      <c r="E57" s="193">
        <v>0.1</v>
      </c>
      <c r="F57" s="90">
        <f>H55</f>
        <v>117056.34147182926</v>
      </c>
      <c r="G57" s="153">
        <v>0</v>
      </c>
      <c r="H57" s="255">
        <f t="shared" si="5"/>
        <v>11705.634147182927</v>
      </c>
    </row>
    <row r="58" spans="1:9" s="42" customFormat="1" ht="33" customHeight="1" x14ac:dyDescent="0.2">
      <c r="A58" s="394" t="s">
        <v>802</v>
      </c>
      <c r="B58" s="529"/>
      <c r="C58" s="388" t="s">
        <v>2088</v>
      </c>
      <c r="D58" s="389" t="s">
        <v>3225</v>
      </c>
      <c r="E58" s="395"/>
      <c r="F58" s="391">
        <f>SUM(H58:H60)</f>
        <v>523640.36249999999</v>
      </c>
      <c r="G58" s="392"/>
      <c r="H58" s="252"/>
      <c r="I58" s="738"/>
    </row>
    <row r="59" spans="1:9" x14ac:dyDescent="0.2">
      <c r="A59" s="82" t="s">
        <v>382</v>
      </c>
      <c r="B59" s="241" t="s">
        <v>1429</v>
      </c>
      <c r="C59" s="3" t="s">
        <v>34</v>
      </c>
      <c r="D59" s="2" t="s">
        <v>406</v>
      </c>
      <c r="E59" s="114">
        <v>1.75</v>
      </c>
      <c r="F59" s="23">
        <f>VLOOKUP(B59,'BASE DE DATOS'!$A$5:$E$997,5,FALSE)</f>
        <v>22945</v>
      </c>
      <c r="G59" s="104">
        <v>1.03</v>
      </c>
      <c r="H59" s="252">
        <f>IF(G59&gt;0,(G59*F59*E59),(F59*E59))</f>
        <v>41358.362500000003</v>
      </c>
    </row>
    <row r="60" spans="1:9" s="34" customFormat="1" ht="15" thickBot="1" x14ac:dyDescent="0.25">
      <c r="A60" s="83" t="s">
        <v>3252</v>
      </c>
      <c r="B60" s="530" t="s">
        <v>799</v>
      </c>
      <c r="C60" s="88" t="s">
        <v>2089</v>
      </c>
      <c r="D60" s="89" t="s">
        <v>285</v>
      </c>
      <c r="E60" s="193">
        <v>1</v>
      </c>
      <c r="F60" s="110">
        <f>F34</f>
        <v>482282</v>
      </c>
      <c r="G60" s="153">
        <v>0</v>
      </c>
      <c r="H60" s="255">
        <f>IF(G60&gt;0,(G60*F60*E60),(F60*E60))</f>
        <v>482282</v>
      </c>
    </row>
    <row r="61" spans="1:9" s="42" customFormat="1" ht="17.25" x14ac:dyDescent="0.2">
      <c r="A61" s="394" t="s">
        <v>803</v>
      </c>
      <c r="B61" s="529"/>
      <c r="C61" s="388" t="s">
        <v>2141</v>
      </c>
      <c r="D61" s="389" t="s">
        <v>3225</v>
      </c>
      <c r="E61" s="395"/>
      <c r="F61" s="391">
        <f>ROUND(SUM(H61:H63),0)</f>
        <v>628991</v>
      </c>
      <c r="G61" s="392"/>
      <c r="H61" s="252"/>
      <c r="I61" s="738"/>
    </row>
    <row r="62" spans="1:9" x14ac:dyDescent="0.2">
      <c r="A62" s="82" t="s">
        <v>382</v>
      </c>
      <c r="B62" s="241" t="s">
        <v>1260</v>
      </c>
      <c r="C62" s="3" t="s">
        <v>3663</v>
      </c>
      <c r="D62" s="2" t="s">
        <v>406</v>
      </c>
      <c r="E62" s="114">
        <v>7</v>
      </c>
      <c r="F62" s="23">
        <f>VLOOKUP(B62,'BASE DE DATOS'!$A$5:$E$997,5,FALSE)</f>
        <v>20348</v>
      </c>
      <c r="G62" s="104">
        <v>1.03</v>
      </c>
      <c r="H62" s="252">
        <f>IF(G62&gt;0,(G62*F62*E62),(F62*E62))</f>
        <v>146709.08000000002</v>
      </c>
    </row>
    <row r="63" spans="1:9" ht="15" thickBot="1" x14ac:dyDescent="0.25">
      <c r="A63" s="64" t="s">
        <v>3252</v>
      </c>
      <c r="B63" s="530" t="s">
        <v>799</v>
      </c>
      <c r="C63" s="88" t="s">
        <v>2089</v>
      </c>
      <c r="D63" s="89" t="s">
        <v>285</v>
      </c>
      <c r="E63" s="193">
        <v>1</v>
      </c>
      <c r="F63" s="110">
        <f>F34</f>
        <v>482282</v>
      </c>
      <c r="G63" s="153">
        <v>0</v>
      </c>
      <c r="H63" s="255">
        <f>IF(G63&gt;0,(G63*F63*E63),(F63*E63))</f>
        <v>482282</v>
      </c>
    </row>
    <row r="64" spans="1:9" s="42" customFormat="1" ht="24.75" customHeight="1" x14ac:dyDescent="0.2">
      <c r="A64" s="398" t="s">
        <v>804</v>
      </c>
      <c r="B64" s="529"/>
      <c r="C64" s="388" t="s">
        <v>2142</v>
      </c>
      <c r="D64" s="389" t="s">
        <v>3225</v>
      </c>
      <c r="E64" s="395"/>
      <c r="F64" s="391">
        <f>ROUND(SUM(H64:H66),0)</f>
        <v>604519</v>
      </c>
      <c r="G64" s="392"/>
      <c r="H64" s="252"/>
      <c r="I64" s="738"/>
    </row>
    <row r="65" spans="1:9" x14ac:dyDescent="0.2">
      <c r="A65" s="82" t="s">
        <v>382</v>
      </c>
      <c r="B65" s="241" t="s">
        <v>1429</v>
      </c>
      <c r="C65" s="3" t="s">
        <v>34</v>
      </c>
      <c r="D65" s="2" t="s">
        <v>406</v>
      </c>
      <c r="E65" s="114">
        <v>1.75</v>
      </c>
      <c r="F65" s="23">
        <f>VLOOKUP(B65,'BASE DE DATOS'!$A$5:$E$997,5,FALSE)</f>
        <v>22945</v>
      </c>
      <c r="G65" s="104">
        <v>1.03</v>
      </c>
      <c r="H65" s="252">
        <f>IF(G65&gt;0,(G65*F65*E65),(F65*E65))</f>
        <v>41358.362500000003</v>
      </c>
    </row>
    <row r="66" spans="1:9" ht="15" thickBot="1" x14ac:dyDescent="0.25">
      <c r="A66" s="64" t="s">
        <v>3252</v>
      </c>
      <c r="B66" s="530" t="s">
        <v>801</v>
      </c>
      <c r="C66" s="88" t="s">
        <v>2090</v>
      </c>
      <c r="D66" s="89" t="s">
        <v>285</v>
      </c>
      <c r="E66" s="193">
        <v>1</v>
      </c>
      <c r="F66" s="110">
        <f>F50</f>
        <v>563161</v>
      </c>
      <c r="G66" s="153">
        <v>0</v>
      </c>
      <c r="H66" s="255">
        <f>IF(G66&gt;0,(G66*F66*E66),(F66*E66))</f>
        <v>563161</v>
      </c>
    </row>
    <row r="67" spans="1:9" s="42" customFormat="1" ht="17.25" x14ac:dyDescent="0.2">
      <c r="A67" s="398" t="s">
        <v>805</v>
      </c>
      <c r="B67" s="529"/>
      <c r="C67" s="388" t="s">
        <v>2143</v>
      </c>
      <c r="D67" s="389" t="s">
        <v>3225</v>
      </c>
      <c r="E67" s="395"/>
      <c r="F67" s="391">
        <f>ROUND(SUM(H67:H69),0)</f>
        <v>730829</v>
      </c>
      <c r="G67" s="392"/>
      <c r="H67" s="252"/>
      <c r="I67" s="738"/>
    </row>
    <row r="68" spans="1:9" s="9" customFormat="1" x14ac:dyDescent="0.2">
      <c r="A68" s="82" t="s">
        <v>382</v>
      </c>
      <c r="B68" s="241" t="s">
        <v>1260</v>
      </c>
      <c r="C68" s="3" t="s">
        <v>3663</v>
      </c>
      <c r="D68" s="2" t="s">
        <v>406</v>
      </c>
      <c r="E68" s="114">
        <v>8</v>
      </c>
      <c r="F68" s="23">
        <f>VLOOKUP(B68,'BASE DE DATOS'!$A$5:$E$997,5,FALSE)</f>
        <v>20348</v>
      </c>
      <c r="G68" s="104">
        <v>1.03</v>
      </c>
      <c r="H68" s="252">
        <f>IF(G68&gt;0,(G68*F68*E68),(F68*E68))</f>
        <v>167667.52000000002</v>
      </c>
    </row>
    <row r="69" spans="1:9" ht="15" thickBot="1" x14ac:dyDescent="0.25">
      <c r="A69" s="64" t="s">
        <v>3252</v>
      </c>
      <c r="B69" s="530" t="s">
        <v>801</v>
      </c>
      <c r="C69" s="88" t="s">
        <v>2090</v>
      </c>
      <c r="D69" s="89" t="s">
        <v>285</v>
      </c>
      <c r="E69" s="193">
        <v>1</v>
      </c>
      <c r="F69" s="110">
        <f>F50</f>
        <v>563161</v>
      </c>
      <c r="G69" s="153">
        <v>0</v>
      </c>
      <c r="H69" s="255">
        <f>IF(G69&gt;0,(G69*F69*E69),(F69*E69))</f>
        <v>563161</v>
      </c>
    </row>
    <row r="70" spans="1:9" s="42" customFormat="1" ht="17.25" x14ac:dyDescent="0.2">
      <c r="A70" s="398" t="s">
        <v>806</v>
      </c>
      <c r="B70" s="529"/>
      <c r="C70" s="388" t="s">
        <v>2091</v>
      </c>
      <c r="D70" s="389" t="s">
        <v>3225</v>
      </c>
      <c r="E70" s="395"/>
      <c r="F70" s="391">
        <f>ROUND(SUM(H70:H73),0)</f>
        <v>475537</v>
      </c>
      <c r="G70" s="392"/>
      <c r="H70" s="252"/>
      <c r="I70" s="738"/>
    </row>
    <row r="71" spans="1:9" ht="14.25" x14ac:dyDescent="0.2">
      <c r="A71" s="82" t="s">
        <v>382</v>
      </c>
      <c r="B71" s="241" t="s">
        <v>1521</v>
      </c>
      <c r="C71" s="3" t="s">
        <v>1963</v>
      </c>
      <c r="D71" s="2" t="s">
        <v>285</v>
      </c>
      <c r="E71" s="114">
        <v>0.4</v>
      </c>
      <c r="F71" s="23">
        <f>VLOOKUP(B71,'BASE DE DATOS'!$A$5:$E$997,5,FALSE)</f>
        <v>77345</v>
      </c>
      <c r="G71" s="104">
        <v>1.03</v>
      </c>
      <c r="H71" s="252">
        <f>IF(G71&gt;0,(G71*F71*E71),(F71*E71))</f>
        <v>31866.140000000003</v>
      </c>
    </row>
    <row r="72" spans="1:9" s="33" customFormat="1" ht="14.25" x14ac:dyDescent="0.2">
      <c r="A72" s="64" t="s">
        <v>3252</v>
      </c>
      <c r="B72" s="241" t="s">
        <v>799</v>
      </c>
      <c r="C72" s="3" t="s">
        <v>2092</v>
      </c>
      <c r="D72" s="2" t="s">
        <v>285</v>
      </c>
      <c r="E72" s="114">
        <v>0.6</v>
      </c>
      <c r="F72" s="23">
        <f>F34</f>
        <v>482282</v>
      </c>
      <c r="G72" s="104">
        <v>0</v>
      </c>
      <c r="H72" s="252">
        <f>IF(G72&gt;0,(G72*F72*E72),(F72*E72))</f>
        <v>289369.2</v>
      </c>
    </row>
    <row r="73" spans="1:9" ht="13.5" thickBot="1" x14ac:dyDescent="0.25">
      <c r="A73" s="86" t="s">
        <v>2555</v>
      </c>
      <c r="B73" s="530" t="s">
        <v>587</v>
      </c>
      <c r="C73" s="88" t="s">
        <v>588</v>
      </c>
      <c r="D73" s="89" t="s">
        <v>585</v>
      </c>
      <c r="E73" s="193">
        <v>1</v>
      </c>
      <c r="F73" s="110">
        <f>VLOOKUP(B73,'BASE DE DATOS'!$A$5:$E$997,5,FALSE)</f>
        <v>514339</v>
      </c>
      <c r="G73" s="153">
        <f>1/4*1.2</f>
        <v>0.3</v>
      </c>
      <c r="H73" s="255">
        <f>IF(G73&gt;0,(G73*F73*E73),(F73*E73))</f>
        <v>154301.69999999998</v>
      </c>
    </row>
    <row r="74" spans="1:9" s="42" customFormat="1" ht="17.25" x14ac:dyDescent="0.2">
      <c r="A74" s="394" t="s">
        <v>807</v>
      </c>
      <c r="B74" s="529"/>
      <c r="C74" s="403" t="s">
        <v>109</v>
      </c>
      <c r="D74" s="389" t="s">
        <v>3225</v>
      </c>
      <c r="E74" s="390"/>
      <c r="F74" s="391">
        <f>ROUND(SUM(H74:H78),0)</f>
        <v>537482</v>
      </c>
      <c r="G74" s="392"/>
      <c r="H74" s="252"/>
      <c r="I74" s="738"/>
    </row>
    <row r="75" spans="1:9" x14ac:dyDescent="0.2">
      <c r="A75" s="82" t="s">
        <v>382</v>
      </c>
      <c r="B75" s="241" t="s">
        <v>1396</v>
      </c>
      <c r="C75" s="44" t="s">
        <v>39</v>
      </c>
      <c r="D75" s="136" t="s">
        <v>406</v>
      </c>
      <c r="E75" s="114">
        <v>3.5</v>
      </c>
      <c r="F75" s="23">
        <f>VLOOKUP(B75,'BASE DE DATOS'!$A$5:$E$997,5,FALSE)</f>
        <v>20276</v>
      </c>
      <c r="G75" s="104">
        <v>1.03</v>
      </c>
      <c r="H75" s="252">
        <f>IF(G75&gt;0,(G75*F75*E75),(F75*E75))</f>
        <v>73094.98</v>
      </c>
    </row>
    <row r="76" spans="1:9" ht="14.25" x14ac:dyDescent="0.2">
      <c r="A76" s="64" t="s">
        <v>3252</v>
      </c>
      <c r="B76" s="241" t="s">
        <v>797</v>
      </c>
      <c r="C76" s="3" t="s">
        <v>2093</v>
      </c>
      <c r="D76" s="2" t="s">
        <v>285</v>
      </c>
      <c r="E76" s="114">
        <v>1</v>
      </c>
      <c r="F76" s="23">
        <f>F18</f>
        <v>421463</v>
      </c>
      <c r="G76" s="104">
        <v>1.05</v>
      </c>
      <c r="H76" s="252">
        <f>IF(G76&gt;0,(G76*F76*E76),(F76*E76))</f>
        <v>442536.15</v>
      </c>
    </row>
    <row r="77" spans="1:9" x14ac:dyDescent="0.2">
      <c r="A77" s="81" t="s">
        <v>2555</v>
      </c>
      <c r="B77" s="241" t="s">
        <v>644</v>
      </c>
      <c r="C77" s="3" t="s">
        <v>645</v>
      </c>
      <c r="D77" s="2" t="s">
        <v>585</v>
      </c>
      <c r="E77" s="196">
        <v>1</v>
      </c>
      <c r="F77" s="23">
        <f>VLOOKUP(B77,'BASE DE DATOS'!$A$5:$E$997,5,FALSE)</f>
        <v>248302</v>
      </c>
      <c r="G77" s="104">
        <f>1/12.5</f>
        <v>0.08</v>
      </c>
      <c r="H77" s="252">
        <f>IF(G77&gt;0,(G77*F77*E77),(F77*E77))</f>
        <v>19864.16</v>
      </c>
    </row>
    <row r="78" spans="1:9" ht="13.5" thickBot="1" x14ac:dyDescent="0.25">
      <c r="A78" s="85" t="s">
        <v>293</v>
      </c>
      <c r="B78" s="530" t="s">
        <v>269</v>
      </c>
      <c r="C78" s="88" t="s">
        <v>284</v>
      </c>
      <c r="D78" s="89" t="s">
        <v>586</v>
      </c>
      <c r="E78" s="197">
        <v>0.1</v>
      </c>
      <c r="F78" s="90">
        <f>H77</f>
        <v>19864.16</v>
      </c>
      <c r="G78" s="153">
        <v>0</v>
      </c>
      <c r="H78" s="255">
        <f>IF(G78&gt;0,(G78*F78*E78),(F78*E78))</f>
        <v>1986.4160000000002</v>
      </c>
    </row>
    <row r="79" spans="1:9" s="42" customFormat="1" ht="17.25" x14ac:dyDescent="0.2">
      <c r="A79" s="394" t="s">
        <v>808</v>
      </c>
      <c r="B79" s="557"/>
      <c r="C79" s="331" t="s">
        <v>2094</v>
      </c>
      <c r="D79" s="389" t="s">
        <v>3225</v>
      </c>
      <c r="E79" s="404"/>
      <c r="F79" s="405">
        <f>ROUND(SUM(H79:H83),0)</f>
        <v>548852</v>
      </c>
      <c r="G79" s="406"/>
      <c r="H79" s="252"/>
      <c r="I79" s="738"/>
    </row>
    <row r="80" spans="1:9" x14ac:dyDescent="0.2">
      <c r="A80" s="82" t="s">
        <v>382</v>
      </c>
      <c r="B80" s="244" t="s">
        <v>1396</v>
      </c>
      <c r="C80" s="102" t="s">
        <v>39</v>
      </c>
      <c r="D80" s="138" t="s">
        <v>406</v>
      </c>
      <c r="E80" s="194">
        <v>1.75</v>
      </c>
      <c r="F80" s="23">
        <f>VLOOKUP(B80,'BASE DE DATOS'!$A$5:$E$997,5,FALSE)</f>
        <v>20276</v>
      </c>
      <c r="G80" s="58">
        <v>1.03</v>
      </c>
      <c r="H80" s="252">
        <f>IF(G80&gt;0,(G80*F80*E80),(F80*E80))</f>
        <v>36547.49</v>
      </c>
    </row>
    <row r="81" spans="1:9" ht="14.25" x14ac:dyDescent="0.2">
      <c r="A81" s="64" t="s">
        <v>3252</v>
      </c>
      <c r="B81" s="244" t="s">
        <v>798</v>
      </c>
      <c r="C81" s="20" t="s">
        <v>2095</v>
      </c>
      <c r="D81" s="19" t="s">
        <v>285</v>
      </c>
      <c r="E81" s="194">
        <v>1</v>
      </c>
      <c r="F81" s="23">
        <f>F26</f>
        <v>456694</v>
      </c>
      <c r="G81" s="58">
        <v>1.05</v>
      </c>
      <c r="H81" s="252">
        <f>IF(G81&gt;0,(G81*F81*E81),(F81*E81))</f>
        <v>479528.7</v>
      </c>
    </row>
    <row r="82" spans="1:9" x14ac:dyDescent="0.2">
      <c r="A82" s="81" t="s">
        <v>2555</v>
      </c>
      <c r="B82" s="244" t="s">
        <v>644</v>
      </c>
      <c r="C82" s="20" t="s">
        <v>645</v>
      </c>
      <c r="D82" s="19" t="s">
        <v>585</v>
      </c>
      <c r="E82" s="198">
        <v>1</v>
      </c>
      <c r="F82" s="23">
        <f>VLOOKUP(B82,'BASE DE DATOS'!$A$5:$E$997,5,FALSE)</f>
        <v>248302</v>
      </c>
      <c r="G82" s="58">
        <f>1/8.3333</f>
        <v>0.12000048000192001</v>
      </c>
      <c r="H82" s="252">
        <f>IF(G82&gt;0,(G82*F82*E82),(F82*E82))</f>
        <v>29796.359185436744</v>
      </c>
    </row>
    <row r="83" spans="1:9" ht="13.5" thickBot="1" x14ac:dyDescent="0.25">
      <c r="A83" s="85" t="s">
        <v>293</v>
      </c>
      <c r="B83" s="531" t="s">
        <v>269</v>
      </c>
      <c r="C83" s="70" t="s">
        <v>284</v>
      </c>
      <c r="D83" s="49" t="s">
        <v>586</v>
      </c>
      <c r="E83" s="199">
        <v>0.1</v>
      </c>
      <c r="F83" s="100">
        <f>H82</f>
        <v>29796.359185436744</v>
      </c>
      <c r="G83" s="154">
        <v>0</v>
      </c>
      <c r="H83" s="255">
        <f>IF(G83&gt;0,(G83*F83*E83),(F83*E83))</f>
        <v>2979.6359185436745</v>
      </c>
    </row>
    <row r="84" spans="1:9" s="407" customFormat="1" ht="17.25" x14ac:dyDescent="0.2">
      <c r="A84" s="394" t="s">
        <v>809</v>
      </c>
      <c r="B84" s="529"/>
      <c r="C84" s="388" t="s">
        <v>2096</v>
      </c>
      <c r="D84" s="389" t="s">
        <v>3225</v>
      </c>
      <c r="E84" s="390"/>
      <c r="F84" s="405">
        <f>ROUND(SUM(H84:H89),0)</f>
        <v>636191</v>
      </c>
      <c r="G84" s="392"/>
      <c r="H84" s="252"/>
      <c r="I84" s="33"/>
    </row>
    <row r="85" spans="1:9" x14ac:dyDescent="0.2">
      <c r="A85" s="936" t="s">
        <v>382</v>
      </c>
      <c r="B85" s="241" t="s">
        <v>1279</v>
      </c>
      <c r="C85" s="3" t="s">
        <v>358</v>
      </c>
      <c r="D85" s="2" t="s">
        <v>617</v>
      </c>
      <c r="E85" s="114">
        <v>250</v>
      </c>
      <c r="F85" s="23">
        <f>VLOOKUP(B85,'BASE DE DATOS'!$A$5:$E$997,5,FALSE)</f>
        <v>19</v>
      </c>
      <c r="G85" s="104">
        <v>1.03</v>
      </c>
      <c r="H85" s="252">
        <f>IF(G85&gt;0,(G85*F85*E85),(F85*E85))</f>
        <v>4892.5</v>
      </c>
    </row>
    <row r="86" spans="1:9" ht="14.25" x14ac:dyDescent="0.2">
      <c r="A86" s="936"/>
      <c r="B86" s="241" t="s">
        <v>1291</v>
      </c>
      <c r="C86" s="3" t="s">
        <v>648</v>
      </c>
      <c r="D86" s="2" t="s">
        <v>285</v>
      </c>
      <c r="E86" s="114">
        <v>0.97</v>
      </c>
      <c r="F86" s="23">
        <f>VLOOKUP(B86,'BASE DE DATOS'!$A$5:$E$997,5,FALSE)</f>
        <v>71990</v>
      </c>
      <c r="G86" s="104">
        <v>1.03</v>
      </c>
      <c r="H86" s="252">
        <f>IF(G86&gt;0,(G86*F86*E86),(F86*E86))</f>
        <v>71925.208999999988</v>
      </c>
    </row>
    <row r="87" spans="1:9" x14ac:dyDescent="0.2">
      <c r="A87" s="936"/>
      <c r="B87" s="241" t="s">
        <v>1319</v>
      </c>
      <c r="C87" s="20" t="s">
        <v>2569</v>
      </c>
      <c r="D87" s="2" t="s">
        <v>616</v>
      </c>
      <c r="E87" s="114">
        <v>12.5</v>
      </c>
      <c r="F87" s="23">
        <f>VLOOKUP(B87,'BASE DE DATOS'!$A$5:$E$997,5,FALSE)</f>
        <v>32900</v>
      </c>
      <c r="G87" s="104">
        <v>1.03</v>
      </c>
      <c r="H87" s="252">
        <f>IF(G87&gt;0,(G87*F87*E87),(F87*E87))</f>
        <v>423587.5</v>
      </c>
    </row>
    <row r="88" spans="1:9" x14ac:dyDescent="0.2">
      <c r="A88" s="81" t="s">
        <v>2555</v>
      </c>
      <c r="B88" s="241" t="s">
        <v>587</v>
      </c>
      <c r="C88" s="44" t="s">
        <v>588</v>
      </c>
      <c r="D88" s="2" t="s">
        <v>585</v>
      </c>
      <c r="E88" s="114">
        <v>1</v>
      </c>
      <c r="F88" s="23">
        <f>VLOOKUP(B88,'BASE DE DATOS'!$A$5:$E$997,5,FALSE)</f>
        <v>514339</v>
      </c>
      <c r="G88" s="104">
        <f>1/4.16667</f>
        <v>0.23999980800015361</v>
      </c>
      <c r="H88" s="252">
        <f>IF(G88&gt;0,(G88*F88*E88),(F88*E88))</f>
        <v>123441.26124699101</v>
      </c>
    </row>
    <row r="89" spans="1:9" ht="13.5" thickBot="1" x14ac:dyDescent="0.25">
      <c r="A89" s="84" t="s">
        <v>293</v>
      </c>
      <c r="B89" s="530" t="s">
        <v>269</v>
      </c>
      <c r="C89" s="88" t="s">
        <v>284</v>
      </c>
      <c r="D89" s="89" t="s">
        <v>586</v>
      </c>
      <c r="E89" s="193">
        <v>0.1</v>
      </c>
      <c r="F89" s="90">
        <f>H88</f>
        <v>123441.26124699101</v>
      </c>
      <c r="G89" s="153">
        <v>0</v>
      </c>
      <c r="H89" s="255">
        <f>IF(G89&gt;0,(G89*F89*E89),(F89*E89))</f>
        <v>12344.126124699102</v>
      </c>
    </row>
    <row r="90" spans="1:9" s="42" customFormat="1" ht="17.25" x14ac:dyDescent="0.2">
      <c r="A90" s="394" t="s">
        <v>810</v>
      </c>
      <c r="B90" s="529"/>
      <c r="C90" s="388" t="s">
        <v>2097</v>
      </c>
      <c r="D90" s="389" t="s">
        <v>3225</v>
      </c>
      <c r="E90" s="395"/>
      <c r="F90" s="405">
        <f>ROUND(SUM(H90:H95),0)</f>
        <v>525897</v>
      </c>
      <c r="G90" s="392"/>
      <c r="H90" s="252"/>
      <c r="I90" s="738"/>
    </row>
    <row r="91" spans="1:9" x14ac:dyDescent="0.2">
      <c r="A91" s="936" t="s">
        <v>382</v>
      </c>
      <c r="B91" s="241" t="s">
        <v>1279</v>
      </c>
      <c r="C91" s="3" t="s">
        <v>358</v>
      </c>
      <c r="D91" s="2" t="s">
        <v>617</v>
      </c>
      <c r="E91" s="114">
        <v>220</v>
      </c>
      <c r="F91" s="23">
        <f>VLOOKUP(B91,'BASE DE DATOS'!$A$5:$E$997,5,FALSE)</f>
        <v>19</v>
      </c>
      <c r="G91" s="104">
        <v>1.03</v>
      </c>
      <c r="H91" s="252">
        <f>IF(G91&gt;0,(G91*F91*E91),(F91*E91))</f>
        <v>4305.3999999999996</v>
      </c>
    </row>
    <row r="92" spans="1:9" ht="14.25" x14ac:dyDescent="0.2">
      <c r="A92" s="936"/>
      <c r="B92" s="241" t="s">
        <v>1291</v>
      </c>
      <c r="C92" s="3" t="s">
        <v>648</v>
      </c>
      <c r="D92" s="2" t="s">
        <v>285</v>
      </c>
      <c r="E92" s="114">
        <v>1.0900000000000001</v>
      </c>
      <c r="F92" s="23">
        <f>VLOOKUP(B92,'BASE DE DATOS'!$A$5:$E$997,5,FALSE)</f>
        <v>71990</v>
      </c>
      <c r="G92" s="104">
        <v>1.03</v>
      </c>
      <c r="H92" s="252">
        <f>IF(G92&gt;0,(G92*F92*E92),(F92*E92))</f>
        <v>80823.17300000001</v>
      </c>
    </row>
    <row r="93" spans="1:9" x14ac:dyDescent="0.2">
      <c r="A93" s="936"/>
      <c r="B93" s="241" t="s">
        <v>1319</v>
      </c>
      <c r="C93" s="20" t="s">
        <v>2569</v>
      </c>
      <c r="D93" s="2" t="s">
        <v>616</v>
      </c>
      <c r="E93" s="114">
        <v>9</v>
      </c>
      <c r="F93" s="23">
        <f>VLOOKUP(B93,'BASE DE DATOS'!$A$5:$E$997,5,FALSE)</f>
        <v>32900</v>
      </c>
      <c r="G93" s="104">
        <v>1.03</v>
      </c>
      <c r="H93" s="252">
        <f>IF(G93&gt;0,(G93*F93*E93),(F93*E93))</f>
        <v>304983</v>
      </c>
    </row>
    <row r="94" spans="1:9" x14ac:dyDescent="0.2">
      <c r="A94" s="81" t="s">
        <v>2555</v>
      </c>
      <c r="B94" s="241" t="s">
        <v>587</v>
      </c>
      <c r="C94" s="44" t="s">
        <v>588</v>
      </c>
      <c r="D94" s="2" t="s">
        <v>585</v>
      </c>
      <c r="E94" s="114">
        <v>1</v>
      </c>
      <c r="F94" s="23">
        <f>VLOOKUP(B94,'BASE DE DATOS'!$A$5:$E$997,5,FALSE)</f>
        <v>514339</v>
      </c>
      <c r="G94" s="104">
        <f>1/4.16667</f>
        <v>0.23999980800015361</v>
      </c>
      <c r="H94" s="252">
        <f>IF(G94&gt;0,(G94*F94*E94),(F94*E94))</f>
        <v>123441.26124699101</v>
      </c>
    </row>
    <row r="95" spans="1:9" ht="13.5" thickBot="1" x14ac:dyDescent="0.25">
      <c r="A95" s="85" t="s">
        <v>293</v>
      </c>
      <c r="B95" s="530" t="s">
        <v>269</v>
      </c>
      <c r="C95" s="88" t="s">
        <v>284</v>
      </c>
      <c r="D95" s="89" t="s">
        <v>586</v>
      </c>
      <c r="E95" s="193">
        <v>0.1</v>
      </c>
      <c r="F95" s="90">
        <f>H94</f>
        <v>123441.26124699101</v>
      </c>
      <c r="G95" s="153">
        <v>0</v>
      </c>
      <c r="H95" s="255">
        <f>IF(G95&gt;0,(G95*F95*E95),(F95*E95))</f>
        <v>12344.126124699102</v>
      </c>
    </row>
    <row r="96" spans="1:9" s="42" customFormat="1" ht="17.25" x14ac:dyDescent="0.2">
      <c r="A96" s="394" t="s">
        <v>811</v>
      </c>
      <c r="B96" s="558"/>
      <c r="C96" s="408" t="s">
        <v>2098</v>
      </c>
      <c r="D96" s="409" t="s">
        <v>3225</v>
      </c>
      <c r="E96" s="410"/>
      <c r="F96" s="405">
        <f>ROUND(SUM(H96:H101),0)</f>
        <v>471394</v>
      </c>
      <c r="G96" s="411"/>
      <c r="H96" s="252"/>
      <c r="I96" s="738"/>
    </row>
    <row r="97" spans="1:9" s="42" customFormat="1" ht="14.25" x14ac:dyDescent="0.2">
      <c r="A97" s="936" t="s">
        <v>382</v>
      </c>
      <c r="B97" s="568" t="s">
        <v>1279</v>
      </c>
      <c r="C97" s="237" t="s">
        <v>358</v>
      </c>
      <c r="D97" s="597" t="s">
        <v>617</v>
      </c>
      <c r="E97" s="114">
        <v>200</v>
      </c>
      <c r="F97" s="23">
        <f>VLOOKUP(B97,'BASE DE DATOS'!$A$5:$E$997,5,FALSE)</f>
        <v>19</v>
      </c>
      <c r="G97" s="187">
        <v>1.03</v>
      </c>
      <c r="H97" s="252">
        <f>IF(G97&gt;0,(G97*F97*E97),(F97*E97))</f>
        <v>3914</v>
      </c>
      <c r="I97" s="738"/>
    </row>
    <row r="98" spans="1:9" ht="14.25" x14ac:dyDescent="0.2">
      <c r="A98" s="936"/>
      <c r="B98" s="241" t="s">
        <v>1291</v>
      </c>
      <c r="C98" s="237" t="s">
        <v>648</v>
      </c>
      <c r="D98" s="2" t="s">
        <v>285</v>
      </c>
      <c r="E98" s="114">
        <v>1.1599999999999999</v>
      </c>
      <c r="F98" s="23">
        <f>VLOOKUP(B98,'BASE DE DATOS'!$A$5:$E$997,5,FALSE)</f>
        <v>71990</v>
      </c>
      <c r="G98" s="104">
        <v>1.03</v>
      </c>
      <c r="H98" s="252">
        <f>IF(G98&gt;0,(G98*F98*E98),(F98*E98))</f>
        <v>86013.651999999987</v>
      </c>
    </row>
    <row r="99" spans="1:9" x14ac:dyDescent="0.2">
      <c r="A99" s="936"/>
      <c r="B99" s="241" t="s">
        <v>1319</v>
      </c>
      <c r="C99" s="603" t="s">
        <v>2569</v>
      </c>
      <c r="D99" s="2" t="s">
        <v>616</v>
      </c>
      <c r="E99" s="114">
        <v>7.25</v>
      </c>
      <c r="F99" s="23">
        <f>VLOOKUP(B99,'BASE DE DATOS'!$A$5:$E$997,5,FALSE)</f>
        <v>32900</v>
      </c>
      <c r="G99" s="104">
        <v>1.03</v>
      </c>
      <c r="H99" s="252">
        <f>IF(G99&gt;0,(G99*F99*E99),(F99*E99))</f>
        <v>245680.75</v>
      </c>
    </row>
    <row r="100" spans="1:9" x14ac:dyDescent="0.2">
      <c r="A100" s="81" t="s">
        <v>2555</v>
      </c>
      <c r="B100" s="241" t="s">
        <v>587</v>
      </c>
      <c r="C100" s="38" t="s">
        <v>588</v>
      </c>
      <c r="D100" s="2" t="s">
        <v>585</v>
      </c>
      <c r="E100" s="114">
        <v>1</v>
      </c>
      <c r="F100" s="23">
        <f>VLOOKUP(B100,'BASE DE DATOS'!$A$5:$E$997,5,FALSE)</f>
        <v>514339</v>
      </c>
      <c r="G100" s="104">
        <f>1/4.16667</f>
        <v>0.23999980800015361</v>
      </c>
      <c r="H100" s="252">
        <f>IF(G100&gt;0,(G100*F100*E100),(F100*E100))</f>
        <v>123441.26124699101</v>
      </c>
    </row>
    <row r="101" spans="1:9" ht="13.5" thickBot="1" x14ac:dyDescent="0.25">
      <c r="A101" s="84" t="s">
        <v>293</v>
      </c>
      <c r="B101" s="530" t="s">
        <v>269</v>
      </c>
      <c r="C101" s="604" t="s">
        <v>284</v>
      </c>
      <c r="D101" s="89" t="s">
        <v>586</v>
      </c>
      <c r="E101" s="193">
        <v>0.1</v>
      </c>
      <c r="F101" s="90">
        <f>H100</f>
        <v>123441.26124699101</v>
      </c>
      <c r="G101" s="153">
        <v>0</v>
      </c>
      <c r="H101" s="255">
        <f>IF(G101&gt;0,(G101*F101*E101),(F101*E101))</f>
        <v>12344.126124699102</v>
      </c>
    </row>
    <row r="102" spans="1:9" s="42" customFormat="1" ht="17.25" x14ac:dyDescent="0.2">
      <c r="A102" s="394" t="s">
        <v>812</v>
      </c>
      <c r="B102" s="558"/>
      <c r="C102" s="605" t="s">
        <v>2099</v>
      </c>
      <c r="D102" s="409" t="s">
        <v>3225</v>
      </c>
      <c r="E102" s="410"/>
      <c r="F102" s="405">
        <f>ROUND(SUM(H102:H107),0)</f>
        <v>431610</v>
      </c>
      <c r="G102" s="411"/>
      <c r="H102" s="252"/>
      <c r="I102" s="738"/>
    </row>
    <row r="103" spans="1:9" s="42" customFormat="1" ht="14.25" x14ac:dyDescent="0.2">
      <c r="A103" s="936" t="s">
        <v>382</v>
      </c>
      <c r="B103" s="568" t="s">
        <v>1279</v>
      </c>
      <c r="C103" s="237" t="s">
        <v>358</v>
      </c>
      <c r="D103" s="597" t="s">
        <v>617</v>
      </c>
      <c r="E103" s="114">
        <v>180</v>
      </c>
      <c r="F103" s="23">
        <f>VLOOKUP(B103,'BASE DE DATOS'!$A$5:$E$997,5,FALSE)</f>
        <v>19</v>
      </c>
      <c r="G103" s="187">
        <v>1.03</v>
      </c>
      <c r="H103" s="252">
        <f>IF(G103&gt;0,(G103*F103*E103),(F103*E103))</f>
        <v>3522.6</v>
      </c>
      <c r="I103" s="738"/>
    </row>
    <row r="104" spans="1:9" ht="14.25" x14ac:dyDescent="0.2">
      <c r="A104" s="936"/>
      <c r="B104" s="241" t="s">
        <v>1291</v>
      </c>
      <c r="C104" s="237" t="s">
        <v>648</v>
      </c>
      <c r="D104" s="2" t="s">
        <v>285</v>
      </c>
      <c r="E104" s="114">
        <v>1.2</v>
      </c>
      <c r="F104" s="23">
        <f>VLOOKUP(B104,'BASE DE DATOS'!$A$5:$E$997,5,FALSE)</f>
        <v>71990</v>
      </c>
      <c r="G104" s="104">
        <v>1.03</v>
      </c>
      <c r="H104" s="252">
        <f>IF(G104&gt;0,(G104*F104*E104),(F104*E104))</f>
        <v>88979.64</v>
      </c>
    </row>
    <row r="105" spans="1:9" x14ac:dyDescent="0.2">
      <c r="A105" s="936"/>
      <c r="B105" s="241" t="s">
        <v>1319</v>
      </c>
      <c r="C105" s="603" t="s">
        <v>2569</v>
      </c>
      <c r="D105" s="2" t="s">
        <v>616</v>
      </c>
      <c r="E105" s="114">
        <v>6</v>
      </c>
      <c r="F105" s="23">
        <f>VLOOKUP(B105,'BASE DE DATOS'!$A$5:$E$997,5,FALSE)</f>
        <v>32900</v>
      </c>
      <c r="G105" s="104">
        <v>1.03</v>
      </c>
      <c r="H105" s="252">
        <f>IF(G105&gt;0,(G105*F105*E105),(F105*E105))</f>
        <v>203322</v>
      </c>
    </row>
    <row r="106" spans="1:9" x14ac:dyDescent="0.2">
      <c r="A106" s="81" t="s">
        <v>2555</v>
      </c>
      <c r="B106" s="241" t="s">
        <v>587</v>
      </c>
      <c r="C106" s="44" t="s">
        <v>588</v>
      </c>
      <c r="D106" s="2" t="s">
        <v>585</v>
      </c>
      <c r="E106" s="114">
        <v>1</v>
      </c>
      <c r="F106" s="23">
        <f>VLOOKUP(B106,'BASE DE DATOS'!$A$5:$E$997,5,FALSE)</f>
        <v>514339</v>
      </c>
      <c r="G106" s="104">
        <f>1/4.16667</f>
        <v>0.23999980800015361</v>
      </c>
      <c r="H106" s="252">
        <f>IF(G106&gt;0,(G106*F106*E106),(F106*E106))</f>
        <v>123441.26124699101</v>
      </c>
    </row>
    <row r="107" spans="1:9" ht="13.5" thickBot="1" x14ac:dyDescent="0.25">
      <c r="A107" s="85" t="s">
        <v>293</v>
      </c>
      <c r="B107" s="530" t="s">
        <v>269</v>
      </c>
      <c r="C107" s="88" t="s">
        <v>284</v>
      </c>
      <c r="D107" s="89" t="s">
        <v>586</v>
      </c>
      <c r="E107" s="193">
        <v>0.1</v>
      </c>
      <c r="F107" s="90">
        <f>H106</f>
        <v>123441.26124699101</v>
      </c>
      <c r="G107" s="153">
        <v>0</v>
      </c>
      <c r="H107" s="255">
        <f>IF(G107&gt;0,(G107*F107*E107),(F107*E107))</f>
        <v>12344.126124699102</v>
      </c>
    </row>
    <row r="108" spans="1:9" s="42" customFormat="1" ht="17.25" x14ac:dyDescent="0.2">
      <c r="A108" s="394" t="s">
        <v>820</v>
      </c>
      <c r="B108" s="529"/>
      <c r="C108" s="388" t="s">
        <v>2100</v>
      </c>
      <c r="D108" s="389" t="s">
        <v>3225</v>
      </c>
      <c r="E108" s="395"/>
      <c r="F108" s="405">
        <f>ROUND(SUM(H108:H110),0)</f>
        <v>843974</v>
      </c>
      <c r="G108" s="392"/>
      <c r="H108" s="252"/>
      <c r="I108" s="738">
        <v>18</v>
      </c>
    </row>
    <row r="109" spans="1:9" x14ac:dyDescent="0.2">
      <c r="A109" s="82" t="s">
        <v>382</v>
      </c>
      <c r="B109" s="241" t="s">
        <v>1430</v>
      </c>
      <c r="C109" s="3" t="s">
        <v>1884</v>
      </c>
      <c r="D109" s="2" t="s">
        <v>406</v>
      </c>
      <c r="E109" s="114">
        <v>13.5</v>
      </c>
      <c r="F109" s="23">
        <f>VLOOKUP(B109,'BASE DE DATOS'!$A$5:$E$997,5,FALSE)</f>
        <v>22875</v>
      </c>
      <c r="G109" s="104">
        <v>1.03</v>
      </c>
      <c r="H109" s="252">
        <f>IF(G109&gt;0,(G109*F109*E109),(F109*E109))</f>
        <v>318076.875</v>
      </c>
    </row>
    <row r="110" spans="1:9" ht="15" thickBot="1" x14ac:dyDescent="0.25">
      <c r="A110" s="83" t="s">
        <v>3252</v>
      </c>
      <c r="B110" s="530" t="s">
        <v>810</v>
      </c>
      <c r="C110" s="88" t="s">
        <v>2097</v>
      </c>
      <c r="D110" s="89" t="s">
        <v>285</v>
      </c>
      <c r="E110" s="193">
        <v>1</v>
      </c>
      <c r="F110" s="23">
        <f>F90</f>
        <v>525897</v>
      </c>
      <c r="G110" s="153">
        <v>0</v>
      </c>
      <c r="H110" s="252">
        <f>IF(G110&gt;0,(G110*F110*E110),(F110*E110))</f>
        <v>525897</v>
      </c>
    </row>
    <row r="111" spans="1:9" ht="15.75" thickBot="1" x14ac:dyDescent="0.25">
      <c r="A111" s="980" t="s">
        <v>2219</v>
      </c>
      <c r="B111" s="981"/>
      <c r="C111" s="981"/>
      <c r="D111" s="981"/>
      <c r="E111" s="981"/>
      <c r="F111" s="981"/>
      <c r="G111" s="981"/>
      <c r="H111" s="1026"/>
    </row>
    <row r="112" spans="1:9" s="9" customFormat="1" ht="45.75" thickBot="1" x14ac:dyDescent="0.25">
      <c r="A112" s="74" t="s">
        <v>2044</v>
      </c>
      <c r="B112" s="74" t="s">
        <v>265</v>
      </c>
      <c r="C112" s="74" t="s">
        <v>402</v>
      </c>
      <c r="D112" s="354" t="s">
        <v>346</v>
      </c>
      <c r="E112" s="192" t="s">
        <v>2173</v>
      </c>
      <c r="F112" s="162" t="s">
        <v>3165</v>
      </c>
      <c r="G112" s="290" t="s">
        <v>281</v>
      </c>
      <c r="H112" s="74" t="s">
        <v>3164</v>
      </c>
    </row>
    <row r="113" spans="1:9" s="42" customFormat="1" ht="15" x14ac:dyDescent="0.2">
      <c r="A113" s="394" t="s">
        <v>813</v>
      </c>
      <c r="B113" s="559"/>
      <c r="C113" s="412" t="s">
        <v>2108</v>
      </c>
      <c r="D113" s="333" t="s">
        <v>406</v>
      </c>
      <c r="E113" s="400"/>
      <c r="F113" s="401">
        <f>ROUND(SUM(H113:H117),0)</f>
        <v>6882</v>
      </c>
      <c r="G113" s="402"/>
      <c r="H113" s="413"/>
      <c r="I113" s="738"/>
    </row>
    <row r="114" spans="1:9" ht="14.25" x14ac:dyDescent="0.2">
      <c r="A114" s="936" t="s">
        <v>382</v>
      </c>
      <c r="B114" s="241" t="s">
        <v>1262</v>
      </c>
      <c r="C114" s="29" t="s">
        <v>3808</v>
      </c>
      <c r="D114" s="19" t="s">
        <v>406</v>
      </c>
      <c r="E114" s="194">
        <v>1</v>
      </c>
      <c r="F114" s="56">
        <v>4613</v>
      </c>
      <c r="G114" s="58">
        <v>1.03</v>
      </c>
      <c r="H114" s="98">
        <f>ROUND((E114*F114*G114),0)</f>
        <v>4751</v>
      </c>
    </row>
    <row r="115" spans="1:9" x14ac:dyDescent="0.2">
      <c r="A115" s="936"/>
      <c r="B115" s="241" t="s">
        <v>1282</v>
      </c>
      <c r="C115" s="20" t="s">
        <v>2607</v>
      </c>
      <c r="D115" s="19" t="s">
        <v>406</v>
      </c>
      <c r="E115" s="194">
        <v>0.05</v>
      </c>
      <c r="F115" s="56">
        <v>10990</v>
      </c>
      <c r="G115" s="58">
        <v>1.03</v>
      </c>
      <c r="H115" s="98">
        <f>ROUND((E115*F115*G115),0)</f>
        <v>566</v>
      </c>
    </row>
    <row r="116" spans="1:9" x14ac:dyDescent="0.2">
      <c r="A116" s="81" t="s">
        <v>2555</v>
      </c>
      <c r="B116" s="241" t="s">
        <v>644</v>
      </c>
      <c r="C116" s="20" t="s">
        <v>645</v>
      </c>
      <c r="D116" s="19" t="s">
        <v>585</v>
      </c>
      <c r="E116" s="194">
        <v>1</v>
      </c>
      <c r="F116" s="56">
        <f>VLOOKUP(B116,'BASE DE DATOS'!$A$5:$E$997,5,FALSE)</f>
        <v>248302</v>
      </c>
      <c r="G116" s="58">
        <f>1/166.6667</f>
        <v>5.99999880000024E-3</v>
      </c>
      <c r="H116" s="98">
        <f>ROUND((E116*F116*G116),0)</f>
        <v>1490</v>
      </c>
    </row>
    <row r="117" spans="1:9" ht="13.5" thickBot="1" x14ac:dyDescent="0.25">
      <c r="A117" s="84" t="s">
        <v>293</v>
      </c>
      <c r="B117" s="530" t="s">
        <v>269</v>
      </c>
      <c r="C117" s="70" t="s">
        <v>284</v>
      </c>
      <c r="D117" s="49" t="s">
        <v>586</v>
      </c>
      <c r="E117" s="195">
        <v>0.05</v>
      </c>
      <c r="F117" s="100">
        <f>H116</f>
        <v>1490</v>
      </c>
      <c r="G117" s="154">
        <v>0</v>
      </c>
      <c r="H117" s="101">
        <f>IF(G117&gt;=0,(E117*F117*(1+G117/100)),ABS(E117*F117/G117))</f>
        <v>74.5</v>
      </c>
    </row>
    <row r="118" spans="1:9" s="42" customFormat="1" ht="15" x14ac:dyDescent="0.2">
      <c r="A118" s="394" t="s">
        <v>814</v>
      </c>
      <c r="B118" s="560"/>
      <c r="C118" s="412" t="s">
        <v>2018</v>
      </c>
      <c r="D118" s="333" t="s">
        <v>406</v>
      </c>
      <c r="E118" s="414"/>
      <c r="F118" s="401">
        <f>ROUND(SUM(H118:H122),0)</f>
        <v>7440</v>
      </c>
      <c r="G118" s="402"/>
      <c r="H118" s="413"/>
      <c r="I118" s="738"/>
    </row>
    <row r="119" spans="1:9" ht="14.25" x14ac:dyDescent="0.2">
      <c r="A119" s="936" t="s">
        <v>382</v>
      </c>
      <c r="B119" s="241" t="s">
        <v>1263</v>
      </c>
      <c r="C119" s="29" t="s">
        <v>3812</v>
      </c>
      <c r="D119" s="19" t="s">
        <v>406</v>
      </c>
      <c r="E119" s="194">
        <v>1</v>
      </c>
      <c r="F119" s="56">
        <v>4589</v>
      </c>
      <c r="G119" s="58">
        <v>1.03</v>
      </c>
      <c r="H119" s="98">
        <f>ROUND((E119*F119*G119),0)</f>
        <v>4727</v>
      </c>
    </row>
    <row r="120" spans="1:9" x14ac:dyDescent="0.2">
      <c r="A120" s="936"/>
      <c r="B120" s="241" t="s">
        <v>1282</v>
      </c>
      <c r="C120" s="20" t="s">
        <v>2607</v>
      </c>
      <c r="D120" s="19" t="s">
        <v>406</v>
      </c>
      <c r="E120" s="194">
        <v>0.06</v>
      </c>
      <c r="F120" s="56">
        <v>10990</v>
      </c>
      <c r="G120" s="58">
        <v>1.03</v>
      </c>
      <c r="H120" s="98">
        <f>ROUND((E120*F120*G120),0)</f>
        <v>679</v>
      </c>
    </row>
    <row r="121" spans="1:9" x14ac:dyDescent="0.2">
      <c r="A121" s="81" t="s">
        <v>2555</v>
      </c>
      <c r="B121" s="241" t="s">
        <v>644</v>
      </c>
      <c r="C121" s="20" t="s">
        <v>645</v>
      </c>
      <c r="D121" s="19" t="s">
        <v>585</v>
      </c>
      <c r="E121" s="194">
        <v>1</v>
      </c>
      <c r="F121" s="56">
        <f>VLOOKUP(B121,'BASE DE DATOS'!$A$5:$E$997,5,FALSE)</f>
        <v>248302</v>
      </c>
      <c r="G121" s="58">
        <f>1/128.205</f>
        <v>7.800007800007799E-3</v>
      </c>
      <c r="H121" s="98">
        <f>ROUND((E121*F121*G121),0)</f>
        <v>1937</v>
      </c>
    </row>
    <row r="122" spans="1:9" ht="13.5" thickBot="1" x14ac:dyDescent="0.25">
      <c r="A122" s="84" t="s">
        <v>293</v>
      </c>
      <c r="B122" s="530" t="s">
        <v>269</v>
      </c>
      <c r="C122" s="70" t="s">
        <v>284</v>
      </c>
      <c r="D122" s="49" t="s">
        <v>586</v>
      </c>
      <c r="E122" s="195">
        <v>0.05</v>
      </c>
      <c r="F122" s="100">
        <f>H121</f>
        <v>1937</v>
      </c>
      <c r="G122" s="154">
        <v>0</v>
      </c>
      <c r="H122" s="101">
        <f>ROUND((E122*F122),0)</f>
        <v>97</v>
      </c>
    </row>
    <row r="123" spans="1:9" s="42" customFormat="1" ht="30" x14ac:dyDescent="0.2">
      <c r="A123" s="394" t="s">
        <v>815</v>
      </c>
      <c r="B123" s="560"/>
      <c r="C123" s="415" t="s">
        <v>2019</v>
      </c>
      <c r="D123" s="416" t="s">
        <v>406</v>
      </c>
      <c r="E123" s="390"/>
      <c r="F123" s="391">
        <f>ROUND(SUM(H123:H127),0)</f>
        <v>8285</v>
      </c>
      <c r="G123" s="392"/>
      <c r="H123" s="417"/>
      <c r="I123" s="738">
        <v>3</v>
      </c>
    </row>
    <row r="124" spans="1:9" ht="13.5" customHeight="1" x14ac:dyDescent="0.2">
      <c r="A124" s="936" t="s">
        <v>382</v>
      </c>
      <c r="B124" s="241" t="s">
        <v>1282</v>
      </c>
      <c r="C124" s="20" t="s">
        <v>2607</v>
      </c>
      <c r="D124" s="2" t="s">
        <v>406</v>
      </c>
      <c r="E124" s="114">
        <v>0.03</v>
      </c>
      <c r="F124" s="23">
        <f>VLOOKUP(B124,'BASE DE DATOS'!$A$5:$E$997,5,FALSE)</f>
        <v>7790</v>
      </c>
      <c r="G124" s="104">
        <v>1.03</v>
      </c>
      <c r="H124" s="97">
        <f>ROUND((E124*F124*G124),0)</f>
        <v>241</v>
      </c>
    </row>
    <row r="125" spans="1:9" ht="28.5" customHeight="1" x14ac:dyDescent="0.2">
      <c r="A125" s="936"/>
      <c r="B125" s="241" t="s">
        <v>1762</v>
      </c>
      <c r="C125" s="737" t="s">
        <v>3901</v>
      </c>
      <c r="D125" s="2" t="s">
        <v>406</v>
      </c>
      <c r="E125" s="114">
        <v>1</v>
      </c>
      <c r="F125" s="23">
        <f>VLOOKUP(B125,'BASE DE DATOS'!$A$5:$E$997,5,FALSE)</f>
        <v>6547.8199052132695</v>
      </c>
      <c r="G125" s="104">
        <v>1.03</v>
      </c>
      <c r="H125" s="97">
        <f>ROUND((E125*F125*G125),0)</f>
        <v>6744</v>
      </c>
    </row>
    <row r="126" spans="1:9" x14ac:dyDescent="0.2">
      <c r="A126" s="81" t="s">
        <v>2555</v>
      </c>
      <c r="B126" s="241" t="s">
        <v>644</v>
      </c>
      <c r="C126" s="3" t="s">
        <v>645</v>
      </c>
      <c r="D126" s="2" t="s">
        <v>585</v>
      </c>
      <c r="E126" s="114">
        <v>1</v>
      </c>
      <c r="F126" s="23">
        <f>VLOOKUP(B126,'BASE DE DATOS'!$A$5:$E$997,5,FALSE)</f>
        <v>248302</v>
      </c>
      <c r="G126" s="104">
        <f>1/210</f>
        <v>4.7619047619047623E-3</v>
      </c>
      <c r="H126" s="97">
        <f>ROUND((E126*F126*G126),0)</f>
        <v>1182</v>
      </c>
      <c r="I126" s="738">
        <v>6</v>
      </c>
    </row>
    <row r="127" spans="1:9" ht="13.5" thickBot="1" x14ac:dyDescent="0.25">
      <c r="A127" s="85" t="s">
        <v>293</v>
      </c>
      <c r="B127" s="530" t="s">
        <v>269</v>
      </c>
      <c r="C127" s="88" t="s">
        <v>284</v>
      </c>
      <c r="D127" s="89" t="s">
        <v>586</v>
      </c>
      <c r="E127" s="193">
        <v>0.1</v>
      </c>
      <c r="F127" s="90">
        <f>H126</f>
        <v>1182</v>
      </c>
      <c r="G127" s="153">
        <v>0</v>
      </c>
      <c r="H127" s="99">
        <f>ROUND((E127*F127),0)</f>
        <v>118</v>
      </c>
    </row>
    <row r="128" spans="1:9" ht="15.75" thickBot="1" x14ac:dyDescent="0.25">
      <c r="A128" s="980" t="s">
        <v>2220</v>
      </c>
      <c r="B128" s="981"/>
      <c r="C128" s="981"/>
      <c r="D128" s="981"/>
      <c r="E128" s="981"/>
      <c r="F128" s="981"/>
      <c r="G128" s="981"/>
      <c r="H128" s="1026"/>
    </row>
    <row r="129" spans="1:9" s="42" customFormat="1" ht="30" x14ac:dyDescent="0.2">
      <c r="A129" s="398" t="s">
        <v>816</v>
      </c>
      <c r="B129" s="561"/>
      <c r="C129" s="418" t="s">
        <v>2016</v>
      </c>
      <c r="D129" s="419" t="s">
        <v>3264</v>
      </c>
      <c r="E129" s="420"/>
      <c r="F129" s="421">
        <f>ROUND(SUM(H129:H130),0)</f>
        <v>2083</v>
      </c>
      <c r="G129" s="422"/>
      <c r="H129" s="423"/>
      <c r="I129" s="738"/>
    </row>
    <row r="130" spans="1:9" ht="15" thickBot="1" x14ac:dyDescent="0.25">
      <c r="A130" s="519" t="s">
        <v>293</v>
      </c>
      <c r="B130" s="530" t="s">
        <v>631</v>
      </c>
      <c r="C130" s="108" t="s">
        <v>370</v>
      </c>
      <c r="D130" s="109" t="s">
        <v>614</v>
      </c>
      <c r="E130" s="200">
        <v>1</v>
      </c>
      <c r="F130" s="110">
        <f>VLOOKUP(B130,'BASE DE DATOS'!$A$5:$E$997,5,FALSE)</f>
        <v>166600</v>
      </c>
      <c r="G130" s="156">
        <f>1/80</f>
        <v>1.2500000000000001E-2</v>
      </c>
      <c r="H130" s="175">
        <f>ROUND((E130*F130*G130),0)</f>
        <v>2083</v>
      </c>
    </row>
    <row r="131" spans="1:9" s="42" customFormat="1" ht="15" x14ac:dyDescent="0.2">
      <c r="A131" s="398" t="s">
        <v>817</v>
      </c>
      <c r="B131" s="561"/>
      <c r="C131" s="424" t="s">
        <v>390</v>
      </c>
      <c r="D131" s="419" t="s">
        <v>525</v>
      </c>
      <c r="E131" s="420"/>
      <c r="F131" s="421">
        <f>ROUND(SUM(H131:H132),0)</f>
        <v>2675</v>
      </c>
      <c r="G131" s="422"/>
      <c r="H131" s="423"/>
      <c r="I131" s="738"/>
    </row>
    <row r="132" spans="1:9" ht="13.5" thickBot="1" x14ac:dyDescent="0.25">
      <c r="A132" s="519" t="s">
        <v>293</v>
      </c>
      <c r="B132" s="530" t="s">
        <v>646</v>
      </c>
      <c r="C132" s="108" t="s">
        <v>376</v>
      </c>
      <c r="D132" s="144" t="s">
        <v>1953</v>
      </c>
      <c r="E132" s="200">
        <v>1</v>
      </c>
      <c r="F132" s="110">
        <f>VLOOKUP(B132,'BASE DE DATOS'!$A$5:$E$997,5,FALSE)</f>
        <v>26747</v>
      </c>
      <c r="G132" s="156">
        <f>1/10</f>
        <v>0.1</v>
      </c>
      <c r="H132" s="175">
        <f>ROUND((E132*F132*G132),0)</f>
        <v>2675</v>
      </c>
    </row>
    <row r="133" spans="1:9" s="42" customFormat="1" ht="15" x14ac:dyDescent="0.2">
      <c r="A133" s="398" t="s">
        <v>818</v>
      </c>
      <c r="B133" s="561"/>
      <c r="C133" s="418" t="s">
        <v>2017</v>
      </c>
      <c r="D133" s="419" t="s">
        <v>142</v>
      </c>
      <c r="E133" s="420"/>
      <c r="F133" s="421">
        <f>ROUND(SUM(H133:H134),0)</f>
        <v>4385</v>
      </c>
      <c r="G133" s="422"/>
      <c r="H133" s="423"/>
      <c r="I133" s="738"/>
    </row>
    <row r="134" spans="1:9" ht="13.5" thickBot="1" x14ac:dyDescent="0.25">
      <c r="A134" s="519" t="s">
        <v>293</v>
      </c>
      <c r="B134" s="530" t="s">
        <v>339</v>
      </c>
      <c r="C134" s="108" t="s">
        <v>2015</v>
      </c>
      <c r="D134" s="109" t="s">
        <v>659</v>
      </c>
      <c r="E134" s="200">
        <v>1</v>
      </c>
      <c r="F134" s="110">
        <f>VLOOKUP(B134,'BASE DE DATOS'!$A$5:$E$997,5,FALSE)</f>
        <v>4385</v>
      </c>
      <c r="G134" s="156">
        <v>0</v>
      </c>
      <c r="H134" s="175">
        <f>ROUND((E134*F134),0)</f>
        <v>4385</v>
      </c>
    </row>
    <row r="135" spans="1:9" s="42" customFormat="1" ht="15" x14ac:dyDescent="0.2">
      <c r="A135" s="398" t="s">
        <v>819</v>
      </c>
      <c r="B135" s="561"/>
      <c r="C135" s="424" t="s">
        <v>3531</v>
      </c>
      <c r="D135" s="419" t="s">
        <v>142</v>
      </c>
      <c r="E135" s="420"/>
      <c r="F135" s="421">
        <f>ROUND(SUM(H135:H136),0)</f>
        <v>21462</v>
      </c>
      <c r="G135" s="422"/>
      <c r="H135" s="423"/>
      <c r="I135" s="738"/>
    </row>
    <row r="136" spans="1:9" ht="13.5" thickBot="1" x14ac:dyDescent="0.25">
      <c r="A136" s="519" t="s">
        <v>293</v>
      </c>
      <c r="B136" s="530" t="s">
        <v>583</v>
      </c>
      <c r="C136" s="108" t="s">
        <v>584</v>
      </c>
      <c r="D136" s="109" t="s">
        <v>585</v>
      </c>
      <c r="E136" s="200">
        <v>1</v>
      </c>
      <c r="F136" s="110">
        <f>VLOOKUP(B136,'BASE DE DATOS'!$A$5:$E$997,5,FALSE)</f>
        <v>88679</v>
      </c>
      <c r="G136" s="156">
        <f>1/4.132</f>
        <v>0.24201355275895453</v>
      </c>
      <c r="H136" s="175">
        <f>ROUND((E136*F136*G136),0)</f>
        <v>21462</v>
      </c>
    </row>
    <row r="137" spans="1:9" s="42" customFormat="1" ht="17.25" x14ac:dyDescent="0.2">
      <c r="A137" s="398" t="s">
        <v>1219</v>
      </c>
      <c r="B137" s="562"/>
      <c r="C137" s="425" t="s">
        <v>694</v>
      </c>
      <c r="D137" s="336" t="s">
        <v>3225</v>
      </c>
      <c r="E137" s="426"/>
      <c r="F137" s="427">
        <f>ROUND(SUM(H137:H138),0)</f>
        <v>17143</v>
      </c>
      <c r="G137" s="428"/>
      <c r="H137" s="429"/>
      <c r="I137" s="738"/>
    </row>
    <row r="138" spans="1:9" ht="15" thickBot="1" x14ac:dyDescent="0.25">
      <c r="A138" s="516" t="s">
        <v>382</v>
      </c>
      <c r="B138" s="563" t="s">
        <v>2740</v>
      </c>
      <c r="C138" s="111" t="s">
        <v>2007</v>
      </c>
      <c r="D138" s="112" t="s">
        <v>285</v>
      </c>
      <c r="E138" s="201">
        <v>1</v>
      </c>
      <c r="F138" s="110">
        <f>VLOOKUP(B138,'BASE DE DATOS'!$A$5:$E$997,5,FALSE)</f>
        <v>17142.857142857141</v>
      </c>
      <c r="G138" s="157">
        <v>1</v>
      </c>
      <c r="H138" s="176">
        <f>ROUND((E138*F138*G138),0)</f>
        <v>17143</v>
      </c>
    </row>
    <row r="139" spans="1:9" s="41" customFormat="1" ht="15" x14ac:dyDescent="0.2">
      <c r="A139" s="430" t="s">
        <v>1925</v>
      </c>
      <c r="B139" s="564"/>
      <c r="C139" s="425" t="s">
        <v>2153</v>
      </c>
      <c r="D139" s="336" t="s">
        <v>2014</v>
      </c>
      <c r="E139" s="426"/>
      <c r="F139" s="427">
        <f>ROUND(SUM(H139:H140),0)</f>
        <v>7500</v>
      </c>
      <c r="G139" s="428"/>
      <c r="H139" s="429"/>
      <c r="I139" s="739">
        <v>6</v>
      </c>
    </row>
    <row r="140" spans="1:9" ht="13.5" thickBot="1" x14ac:dyDescent="0.25">
      <c r="A140" s="519" t="s">
        <v>293</v>
      </c>
      <c r="B140" s="530" t="s">
        <v>1926</v>
      </c>
      <c r="C140" s="111" t="s">
        <v>3576</v>
      </c>
      <c r="D140" s="112" t="s">
        <v>1958</v>
      </c>
      <c r="E140" s="201">
        <v>1</v>
      </c>
      <c r="F140" s="113">
        <f>VLOOKUP(B140,'BASE DE DATOS'!$A$5:$E$997,5,FALSE)</f>
        <v>60000</v>
      </c>
      <c r="G140" s="157">
        <v>0.125</v>
      </c>
      <c r="H140" s="176">
        <f>ROUND((E140*F140*G140),0)</f>
        <v>7500</v>
      </c>
    </row>
    <row r="141" spans="1:9" ht="36" customHeight="1" thickBot="1" x14ac:dyDescent="0.25">
      <c r="A141" s="967" t="s">
        <v>2221</v>
      </c>
      <c r="B141" s="968"/>
      <c r="C141" s="969"/>
      <c r="D141" s="969"/>
      <c r="E141" s="969"/>
      <c r="F141" s="970"/>
      <c r="G141" s="969"/>
      <c r="H141" s="971"/>
    </row>
    <row r="142" spans="1:9" ht="15.75" thickBot="1" x14ac:dyDescent="0.25">
      <c r="A142" s="972" t="s">
        <v>3279</v>
      </c>
      <c r="B142" s="973"/>
      <c r="C142" s="974"/>
      <c r="D142" s="974"/>
      <c r="E142" s="974"/>
      <c r="F142" s="975"/>
      <c r="G142" s="974"/>
      <c r="H142" s="976"/>
    </row>
    <row r="143" spans="1:9" ht="45.75" thickBot="1" x14ac:dyDescent="0.25">
      <c r="A143" s="167" t="s">
        <v>2044</v>
      </c>
      <c r="B143" s="66" t="s">
        <v>265</v>
      </c>
      <c r="C143" s="181" t="s">
        <v>402</v>
      </c>
      <c r="D143" s="354" t="s">
        <v>346</v>
      </c>
      <c r="E143" s="192" t="s">
        <v>2173</v>
      </c>
      <c r="F143" s="162" t="s">
        <v>3165</v>
      </c>
      <c r="G143" s="290" t="s">
        <v>281</v>
      </c>
      <c r="H143" s="74" t="s">
        <v>3164</v>
      </c>
    </row>
    <row r="144" spans="1:9" s="42" customFormat="1" ht="33" customHeight="1" x14ac:dyDescent="0.2">
      <c r="A144" s="458" t="s">
        <v>703</v>
      </c>
      <c r="B144" s="529"/>
      <c r="C144" s="388" t="s">
        <v>3740</v>
      </c>
      <c r="D144" s="389" t="s">
        <v>3251</v>
      </c>
      <c r="E144" s="390"/>
      <c r="F144" s="391">
        <f>ROUND(SUM(H144:H148),0)</f>
        <v>134710</v>
      </c>
      <c r="G144" s="392"/>
      <c r="H144" s="393"/>
      <c r="I144" s="738"/>
    </row>
    <row r="145" spans="1:9" x14ac:dyDescent="0.2">
      <c r="A145" s="936" t="s">
        <v>382</v>
      </c>
      <c r="B145" s="241" t="s">
        <v>1418</v>
      </c>
      <c r="C145" s="140" t="s">
        <v>591</v>
      </c>
      <c r="D145" s="136" t="s">
        <v>405</v>
      </c>
      <c r="E145" s="114">
        <v>5</v>
      </c>
      <c r="F145" s="23">
        <f>VLOOKUP(B145,'BASE DE DATOS'!$A$5:$E$997,5,FALSE)</f>
        <v>5250</v>
      </c>
      <c r="G145" s="104">
        <v>1.05</v>
      </c>
      <c r="H145" s="252">
        <f>IF(G145&gt;0,(G145*F145*E145),(F145*E145))</f>
        <v>27562.5</v>
      </c>
    </row>
    <row r="146" spans="1:9" ht="14.25" x14ac:dyDescent="0.2">
      <c r="A146" s="936"/>
      <c r="B146" s="241" t="s">
        <v>1685</v>
      </c>
      <c r="C146" s="3" t="s">
        <v>3109</v>
      </c>
      <c r="D146" s="2" t="s">
        <v>288</v>
      </c>
      <c r="E146" s="114">
        <v>1</v>
      </c>
      <c r="F146" s="23">
        <f>VLOOKUP(B146,'BASE DE DATOS'!$A$5:$E$997,5,FALSE)</f>
        <v>60000</v>
      </c>
      <c r="G146" s="104">
        <v>0</v>
      </c>
      <c r="H146" s="252">
        <f>IF(G146&gt;0,(G146*F146*E146),(F146*E146))</f>
        <v>60000</v>
      </c>
    </row>
    <row r="147" spans="1:9" x14ac:dyDescent="0.2">
      <c r="A147" s="81" t="s">
        <v>2555</v>
      </c>
      <c r="B147" s="241" t="s">
        <v>587</v>
      </c>
      <c r="C147" s="44" t="s">
        <v>588</v>
      </c>
      <c r="D147" s="136" t="s">
        <v>585</v>
      </c>
      <c r="E147" s="114">
        <v>1</v>
      </c>
      <c r="F147" s="23">
        <f>VLOOKUP(B147,'BASE DE DATOS'!$A$5:$E$997,5,FALSE)</f>
        <v>514339</v>
      </c>
      <c r="G147" s="104">
        <f>1/12</f>
        <v>8.3333333333333329E-2</v>
      </c>
      <c r="H147" s="252">
        <f>IF(G147&gt;0,(G147*F147*E147),(F147*E147))</f>
        <v>42861.583333333328</v>
      </c>
    </row>
    <row r="148" spans="1:9" ht="13.5" thickBot="1" x14ac:dyDescent="0.25">
      <c r="A148" s="87" t="s">
        <v>293</v>
      </c>
      <c r="B148" s="530" t="s">
        <v>269</v>
      </c>
      <c r="C148" s="88" t="s">
        <v>284</v>
      </c>
      <c r="D148" s="89" t="s">
        <v>586</v>
      </c>
      <c r="E148" s="193">
        <v>0.1</v>
      </c>
      <c r="F148" s="90">
        <f>H147</f>
        <v>42861.583333333328</v>
      </c>
      <c r="G148" s="153">
        <v>0</v>
      </c>
      <c r="H148" s="255">
        <f>IF(G148&gt;0,(G148*F148*E148),(F148*E148))</f>
        <v>4286.1583333333328</v>
      </c>
    </row>
    <row r="149" spans="1:9" s="42" customFormat="1" ht="47.25" x14ac:dyDescent="0.2">
      <c r="A149" s="458" t="s">
        <v>704</v>
      </c>
      <c r="B149" s="529"/>
      <c r="C149" s="388" t="s">
        <v>3274</v>
      </c>
      <c r="D149" s="389" t="s">
        <v>3251</v>
      </c>
      <c r="E149" s="390"/>
      <c r="F149" s="391">
        <f>ROUND(SUM(H149:H155),0)</f>
        <v>264991</v>
      </c>
      <c r="G149" s="392"/>
      <c r="H149" s="252"/>
      <c r="I149" s="738"/>
    </row>
    <row r="150" spans="1:9" x14ac:dyDescent="0.2">
      <c r="A150" s="936" t="s">
        <v>382</v>
      </c>
      <c r="B150" s="241" t="s">
        <v>2780</v>
      </c>
      <c r="C150" s="44" t="s">
        <v>3532</v>
      </c>
      <c r="D150" s="136" t="s">
        <v>405</v>
      </c>
      <c r="E150" s="114">
        <v>1.5</v>
      </c>
      <c r="F150" s="23">
        <f>VLOOKUP(B150,'BASE DE DATOS'!$A$5:$E$997,5,FALSE)</f>
        <v>64800</v>
      </c>
      <c r="G150" s="104">
        <v>0</v>
      </c>
      <c r="H150" s="252">
        <f t="shared" ref="H150:H155" si="6">IF(G150&gt;0,(G150*F150*E150),(F150*E150))</f>
        <v>97200</v>
      </c>
    </row>
    <row r="151" spans="1:9" ht="14.25" x14ac:dyDescent="0.2">
      <c r="A151" s="936"/>
      <c r="B151" s="241" t="s">
        <v>1685</v>
      </c>
      <c r="C151" s="3" t="s">
        <v>3109</v>
      </c>
      <c r="D151" s="2" t="s">
        <v>288</v>
      </c>
      <c r="E151" s="114">
        <v>1</v>
      </c>
      <c r="F151" s="23">
        <f>VLOOKUP(B151,'BASE DE DATOS'!$A$5:$E$997,5,FALSE)</f>
        <v>60000</v>
      </c>
      <c r="G151" s="104">
        <v>0</v>
      </c>
      <c r="H151" s="252">
        <f t="shared" si="6"/>
        <v>60000</v>
      </c>
    </row>
    <row r="152" spans="1:9" ht="14.25" x14ac:dyDescent="0.2">
      <c r="A152" s="505" t="s">
        <v>3252</v>
      </c>
      <c r="B152" s="241" t="s">
        <v>796</v>
      </c>
      <c r="C152" s="11" t="s">
        <v>2101</v>
      </c>
      <c r="D152" s="2" t="s">
        <v>285</v>
      </c>
      <c r="E152" s="114">
        <v>0.05</v>
      </c>
      <c r="F152" s="23">
        <f>F10</f>
        <v>374067</v>
      </c>
      <c r="G152" s="104">
        <v>1.05</v>
      </c>
      <c r="H152" s="252">
        <f t="shared" si="6"/>
        <v>19638.517500000002</v>
      </c>
    </row>
    <row r="153" spans="1:9" x14ac:dyDescent="0.2">
      <c r="A153" s="508" t="s">
        <v>2555</v>
      </c>
      <c r="B153" s="241" t="s">
        <v>587</v>
      </c>
      <c r="C153" s="44" t="s">
        <v>588</v>
      </c>
      <c r="D153" s="136" t="s">
        <v>585</v>
      </c>
      <c r="E153" s="114">
        <v>1</v>
      </c>
      <c r="F153" s="23">
        <f>VLOOKUP(B153,'BASE DE DATOS'!$A$5:$E$997,5,FALSE)</f>
        <v>514339</v>
      </c>
      <c r="G153" s="104">
        <f>1/10</f>
        <v>0.1</v>
      </c>
      <c r="H153" s="252">
        <f t="shared" si="6"/>
        <v>51433.9</v>
      </c>
    </row>
    <row r="154" spans="1:9" x14ac:dyDescent="0.2">
      <c r="A154" s="944" t="s">
        <v>293</v>
      </c>
      <c r="B154" s="241" t="s">
        <v>347</v>
      </c>
      <c r="C154" s="218" t="s">
        <v>3361</v>
      </c>
      <c r="D154" s="219" t="s">
        <v>585</v>
      </c>
      <c r="E154" s="114">
        <v>6</v>
      </c>
      <c r="F154" s="220">
        <f>VLOOKUP(B154,'BASE DE DATOS'!$A$5:$E$997,5,FALSE)</f>
        <v>63150</v>
      </c>
      <c r="G154" s="187">
        <f>1/12</f>
        <v>8.3333333333333329E-2</v>
      </c>
      <c r="H154" s="252">
        <f t="shared" si="6"/>
        <v>31575</v>
      </c>
    </row>
    <row r="155" spans="1:9" ht="13.5" thickBot="1" x14ac:dyDescent="0.25">
      <c r="A155" s="945"/>
      <c r="B155" s="528" t="s">
        <v>269</v>
      </c>
      <c r="C155" s="88" t="s">
        <v>284</v>
      </c>
      <c r="D155" s="89" t="s">
        <v>586</v>
      </c>
      <c r="E155" s="193">
        <v>0.1</v>
      </c>
      <c r="F155" s="90">
        <f>H153</f>
        <v>51433.9</v>
      </c>
      <c r="G155" s="153">
        <v>0</v>
      </c>
      <c r="H155" s="255">
        <f t="shared" si="6"/>
        <v>5143.3900000000003</v>
      </c>
    </row>
    <row r="156" spans="1:9" s="42" customFormat="1" ht="30" x14ac:dyDescent="0.2">
      <c r="A156" s="458" t="s">
        <v>705</v>
      </c>
      <c r="B156" s="565"/>
      <c r="C156" s="388" t="s">
        <v>3278</v>
      </c>
      <c r="D156" s="389" t="s">
        <v>3251</v>
      </c>
      <c r="E156" s="390"/>
      <c r="F156" s="391">
        <f>ROUND(SUM(H156:H166),0)</f>
        <v>212474</v>
      </c>
      <c r="G156" s="392"/>
      <c r="H156" s="252"/>
      <c r="I156" s="740"/>
    </row>
    <row r="157" spans="1:9" x14ac:dyDescent="0.2">
      <c r="A157" s="939" t="s">
        <v>295</v>
      </c>
      <c r="B157" s="241" t="s">
        <v>1282</v>
      </c>
      <c r="C157" s="3" t="s">
        <v>2605</v>
      </c>
      <c r="D157" s="2" t="s">
        <v>406</v>
      </c>
      <c r="E157" s="114">
        <v>0.3</v>
      </c>
      <c r="F157" s="23">
        <f>VLOOKUP(B157,'BASE DE DATOS'!$A$5:$E$997,5,FALSE)</f>
        <v>7790</v>
      </c>
      <c r="G157" s="104">
        <v>0</v>
      </c>
      <c r="H157" s="252">
        <f t="shared" ref="H157:H166" si="7">IF(G157&gt;0,(G157*F157*E157),(F157*E157))</f>
        <v>2337</v>
      </c>
    </row>
    <row r="158" spans="1:9" x14ac:dyDescent="0.2">
      <c r="A158" s="939"/>
      <c r="B158" s="241" t="s">
        <v>1299</v>
      </c>
      <c r="C158" s="103" t="s">
        <v>158</v>
      </c>
      <c r="D158" s="2" t="s">
        <v>411</v>
      </c>
      <c r="E158" s="114">
        <v>0.5</v>
      </c>
      <c r="F158" s="23">
        <f>VLOOKUP(B158,'BASE DE DATOS'!$A$5:$E$997,5,FALSE)</f>
        <v>23450</v>
      </c>
      <c r="G158" s="104">
        <v>0</v>
      </c>
      <c r="H158" s="252">
        <f t="shared" si="7"/>
        <v>11725</v>
      </c>
    </row>
    <row r="159" spans="1:9" x14ac:dyDescent="0.2">
      <c r="A159" s="939"/>
      <c r="B159" s="241" t="s">
        <v>1418</v>
      </c>
      <c r="C159" s="3" t="s">
        <v>591</v>
      </c>
      <c r="D159" s="2" t="s">
        <v>411</v>
      </c>
      <c r="E159" s="114">
        <v>0.7</v>
      </c>
      <c r="F159" s="23">
        <f>VLOOKUP(B159,'BASE DE DATOS'!$A$5:$E$997,5,FALSE)</f>
        <v>5250</v>
      </c>
      <c r="G159" s="104">
        <v>0</v>
      </c>
      <c r="H159" s="252">
        <f t="shared" si="7"/>
        <v>3674.9999999999995</v>
      </c>
    </row>
    <row r="160" spans="1:9" ht="14.25" x14ac:dyDescent="0.2">
      <c r="A160" s="939"/>
      <c r="B160" s="241" t="s">
        <v>1891</v>
      </c>
      <c r="C160" s="3" t="s">
        <v>601</v>
      </c>
      <c r="D160" s="2" t="s">
        <v>285</v>
      </c>
      <c r="E160" s="114">
        <v>0.1</v>
      </c>
      <c r="F160" s="23">
        <f>VLOOKUP(B160,'BASE DE DATOS'!$A$5:$E$997,5,FALSE)</f>
        <v>37368</v>
      </c>
      <c r="G160" s="104">
        <v>1.3</v>
      </c>
      <c r="H160" s="252">
        <f t="shared" si="7"/>
        <v>4857.84</v>
      </c>
    </row>
    <row r="161" spans="1:9" x14ac:dyDescent="0.2">
      <c r="A161" s="939"/>
      <c r="B161" s="241" t="s">
        <v>1558</v>
      </c>
      <c r="C161" s="3" t="s">
        <v>603</v>
      </c>
      <c r="D161" s="2" t="s">
        <v>590</v>
      </c>
      <c r="E161" s="114">
        <v>0.3</v>
      </c>
      <c r="F161" s="23">
        <f>VLOOKUP(B161,'BASE DE DATOS'!$A$5:$E$997,5,FALSE)</f>
        <v>5650</v>
      </c>
      <c r="G161" s="104">
        <v>0</v>
      </c>
      <c r="H161" s="252">
        <f t="shared" si="7"/>
        <v>1695</v>
      </c>
    </row>
    <row r="162" spans="1:9" x14ac:dyDescent="0.2">
      <c r="A162" s="939"/>
      <c r="B162" s="241" t="s">
        <v>1711</v>
      </c>
      <c r="C162" s="3" t="s">
        <v>632</v>
      </c>
      <c r="D162" s="2" t="s">
        <v>405</v>
      </c>
      <c r="E162" s="114">
        <v>8</v>
      </c>
      <c r="F162" s="23">
        <f>VLOOKUP(B162,'BASE DE DATOS'!$A$5:$E$997,5,FALSE)</f>
        <v>10991</v>
      </c>
      <c r="G162" s="104">
        <v>0</v>
      </c>
      <c r="H162" s="252">
        <f t="shared" si="7"/>
        <v>87928</v>
      </c>
    </row>
    <row r="163" spans="1:9" ht="15.6" customHeight="1" x14ac:dyDescent="0.2">
      <c r="A163" s="939"/>
      <c r="B163" s="241" t="s">
        <v>1787</v>
      </c>
      <c r="C163" s="60" t="s">
        <v>3159</v>
      </c>
      <c r="D163" s="2" t="s">
        <v>288</v>
      </c>
      <c r="E163" s="196">
        <v>1.56</v>
      </c>
      <c r="F163" s="23">
        <f>VLOOKUP(B163,'BASE DE DATOS'!$A$5:$E$997,5,FALSE)</f>
        <v>13767</v>
      </c>
      <c r="G163" s="104">
        <v>1.05</v>
      </c>
      <c r="H163" s="252">
        <f t="shared" si="7"/>
        <v>22550.346000000001</v>
      </c>
    </row>
    <row r="164" spans="1:9" s="33" customFormat="1" x14ac:dyDescent="0.2">
      <c r="A164" s="81" t="s">
        <v>2555</v>
      </c>
      <c r="B164" s="241" t="s">
        <v>605</v>
      </c>
      <c r="C164" s="3" t="s">
        <v>606</v>
      </c>
      <c r="D164" s="2" t="s">
        <v>585</v>
      </c>
      <c r="E164" s="114">
        <v>1</v>
      </c>
      <c r="F164" s="23">
        <f>VLOOKUP(B164,'BASE DE DATOS'!$A$5:$E$997,5,FALSE)</f>
        <v>673962</v>
      </c>
      <c r="G164" s="104">
        <f>1/10</f>
        <v>0.1</v>
      </c>
      <c r="H164" s="252">
        <f t="shared" si="7"/>
        <v>67396.2</v>
      </c>
    </row>
    <row r="165" spans="1:9" x14ac:dyDescent="0.2">
      <c r="A165" s="944" t="s">
        <v>293</v>
      </c>
      <c r="B165" s="241" t="s">
        <v>269</v>
      </c>
      <c r="C165" s="3" t="s">
        <v>284</v>
      </c>
      <c r="D165" s="2" t="s">
        <v>586</v>
      </c>
      <c r="E165" s="114">
        <v>0.1</v>
      </c>
      <c r="F165" s="23">
        <f>H164</f>
        <v>67396.2</v>
      </c>
      <c r="G165" s="104">
        <v>0</v>
      </c>
      <c r="H165" s="252">
        <f t="shared" si="7"/>
        <v>6739.62</v>
      </c>
    </row>
    <row r="166" spans="1:9" ht="13.5" thickBot="1" x14ac:dyDescent="0.25">
      <c r="A166" s="978"/>
      <c r="B166" s="530" t="s">
        <v>621</v>
      </c>
      <c r="C166" s="88" t="s">
        <v>360</v>
      </c>
      <c r="D166" s="89" t="s">
        <v>585</v>
      </c>
      <c r="E166" s="193">
        <v>1</v>
      </c>
      <c r="F166" s="90">
        <f>VLOOKUP(B166,'BASE DE DATOS'!$A$5:$E$997,5,FALSE)</f>
        <v>71400</v>
      </c>
      <c r="G166" s="153">
        <f>1/20</f>
        <v>0.05</v>
      </c>
      <c r="H166" s="255">
        <f t="shared" si="7"/>
        <v>3570</v>
      </c>
    </row>
    <row r="167" spans="1:9" s="42" customFormat="1" ht="17.25" x14ac:dyDescent="0.2">
      <c r="A167" s="458" t="s">
        <v>706</v>
      </c>
      <c r="B167" s="565"/>
      <c r="C167" s="388" t="s">
        <v>3283</v>
      </c>
      <c r="D167" s="389" t="s">
        <v>3677</v>
      </c>
      <c r="E167" s="390"/>
      <c r="F167" s="391">
        <f>ROUND(SUM(H167:H170),0)</f>
        <v>924197</v>
      </c>
      <c r="G167" s="392"/>
      <c r="H167" s="252"/>
      <c r="I167" s="740"/>
    </row>
    <row r="168" spans="1:9" ht="24" customHeight="1" x14ac:dyDescent="0.2">
      <c r="A168" s="431" t="s">
        <v>382</v>
      </c>
      <c r="B168" s="241" t="s">
        <v>2760</v>
      </c>
      <c r="C168" s="26" t="s">
        <v>3905</v>
      </c>
      <c r="D168" s="2" t="s">
        <v>3676</v>
      </c>
      <c r="E168" s="196">
        <v>18</v>
      </c>
      <c r="F168" s="23">
        <f>VLOOKUP(B168,'BASE DE DATOS'!$A$5:$E$997,5,FALSE)</f>
        <v>51105</v>
      </c>
      <c r="G168" s="104">
        <v>0</v>
      </c>
      <c r="H168" s="252">
        <f>IF(G168&gt;0,(G168*F168*E168),(F168*E168))</f>
        <v>919890</v>
      </c>
    </row>
    <row r="169" spans="1:9" s="33" customFormat="1" x14ac:dyDescent="0.2">
      <c r="A169" s="433" t="s">
        <v>2555</v>
      </c>
      <c r="B169" s="241" t="s">
        <v>583</v>
      </c>
      <c r="C169" s="3" t="s">
        <v>584</v>
      </c>
      <c r="D169" s="2" t="s">
        <v>585</v>
      </c>
      <c r="E169" s="114">
        <v>1</v>
      </c>
      <c r="F169" s="23">
        <f>VLOOKUP(B169,'BASE DE DATOS'!$A$5:$E$997,5,FALSE)</f>
        <v>88679</v>
      </c>
      <c r="G169" s="104">
        <f>1/21</f>
        <v>4.7619047619047616E-2</v>
      </c>
      <c r="H169" s="252">
        <f>IF(G169&gt;0,(G169*F169*E169),(F169*E169))</f>
        <v>4222.8095238095239</v>
      </c>
    </row>
    <row r="170" spans="1:9" ht="13.5" thickBot="1" x14ac:dyDescent="0.25">
      <c r="A170" s="432" t="s">
        <v>293</v>
      </c>
      <c r="B170" s="528" t="s">
        <v>269</v>
      </c>
      <c r="C170" s="88" t="s">
        <v>284</v>
      </c>
      <c r="D170" s="89" t="s">
        <v>586</v>
      </c>
      <c r="E170" s="193">
        <v>0.02</v>
      </c>
      <c r="F170" s="90">
        <f>H169</f>
        <v>4222.8095238095239</v>
      </c>
      <c r="G170" s="153">
        <v>0</v>
      </c>
      <c r="H170" s="255">
        <f>IF(G170&gt;0,(G170*F170*E170),(F170*E170))</f>
        <v>84.456190476190486</v>
      </c>
    </row>
    <row r="171" spans="1:9" s="42" customFormat="1" ht="17.25" x14ac:dyDescent="0.2">
      <c r="A171" s="458" t="s">
        <v>707</v>
      </c>
      <c r="B171" s="529"/>
      <c r="C171" s="388" t="s">
        <v>492</v>
      </c>
      <c r="D171" s="389" t="s">
        <v>3251</v>
      </c>
      <c r="E171" s="395"/>
      <c r="F171" s="391">
        <f>ROUND(SUM(H171:H177),0)</f>
        <v>1503</v>
      </c>
      <c r="G171" s="392"/>
      <c r="H171" s="252"/>
      <c r="I171" s="738"/>
    </row>
    <row r="172" spans="1:9" x14ac:dyDescent="0.2">
      <c r="A172" s="794" t="s">
        <v>382</v>
      </c>
      <c r="B172" s="241" t="s">
        <v>3976</v>
      </c>
      <c r="C172" s="3" t="s">
        <v>4030</v>
      </c>
      <c r="D172" s="2" t="s">
        <v>585</v>
      </c>
      <c r="E172" s="114">
        <v>1</v>
      </c>
      <c r="F172" s="23">
        <f>VLOOKUP(B172,'BASE DE DATOS'!$A$5:$E$997,5,FALSE)</f>
        <v>35000</v>
      </c>
      <c r="G172" s="104">
        <f>1/628</f>
        <v>1.5923566878980893E-3</v>
      </c>
      <c r="H172" s="252">
        <f t="shared" ref="H172:H176" si="8">IF(G172&gt;0,(G172*F172*E172),(F172*E172))</f>
        <v>55.732484076433124</v>
      </c>
    </row>
    <row r="173" spans="1:9" x14ac:dyDescent="0.2">
      <c r="A173" s="81" t="s">
        <v>2555</v>
      </c>
      <c r="B173" s="241" t="s">
        <v>594</v>
      </c>
      <c r="C173" s="3" t="s">
        <v>4022</v>
      </c>
      <c r="D173" s="2" t="s">
        <v>585</v>
      </c>
      <c r="E173" s="114">
        <v>1</v>
      </c>
      <c r="F173" s="23">
        <f>VLOOKUP(B173,'BASE DE DATOS'!$A$5:$E$997,5,FALSE)</f>
        <v>375244</v>
      </c>
      <c r="G173" s="104">
        <f t="shared" ref="G173:G176" si="9">1/628</f>
        <v>1.5923566878980893E-3</v>
      </c>
      <c r="H173" s="252">
        <f t="shared" si="8"/>
        <v>597.52229299363057</v>
      </c>
    </row>
    <row r="174" spans="1:9" x14ac:dyDescent="0.2">
      <c r="A174" s="937" t="s">
        <v>293</v>
      </c>
      <c r="B174" s="241" t="s">
        <v>4024</v>
      </c>
      <c r="C174" s="218" t="s">
        <v>4031</v>
      </c>
      <c r="D174" s="219" t="s">
        <v>585</v>
      </c>
      <c r="E174" s="114">
        <v>1</v>
      </c>
      <c r="F174" s="220">
        <f>VLOOKUP(B174,'BASE DE DATOS'!$A$5:$E$997,5,FALSE)</f>
        <v>98462</v>
      </c>
      <c r="G174" s="104">
        <f t="shared" si="9"/>
        <v>1.5923566878980893E-3</v>
      </c>
      <c r="H174" s="252">
        <f t="shared" ref="H174" si="10">IF(G174&gt;0,(G174*F174*E174),(F174*E174))</f>
        <v>156.78662420382167</v>
      </c>
    </row>
    <row r="175" spans="1:9" ht="25.5" x14ac:dyDescent="0.2">
      <c r="A175" s="937"/>
      <c r="B175" s="241" t="s">
        <v>649</v>
      </c>
      <c r="C175" s="218" t="s">
        <v>3634</v>
      </c>
      <c r="D175" s="219" t="s">
        <v>585</v>
      </c>
      <c r="E175" s="114">
        <v>1</v>
      </c>
      <c r="F175" s="220">
        <f>VLOOKUP(B175,'BASE DE DATOS'!$A$5:$E$997,5,FALSE)</f>
        <v>378333.33333333331</v>
      </c>
      <c r="G175" s="104">
        <f t="shared" si="9"/>
        <v>1.5923566878980893E-3</v>
      </c>
      <c r="H175" s="252">
        <f t="shared" si="8"/>
        <v>602.44161358811039</v>
      </c>
    </row>
    <row r="176" spans="1:9" x14ac:dyDescent="0.2">
      <c r="A176" s="937"/>
      <c r="B176" s="241" t="s">
        <v>1930</v>
      </c>
      <c r="C176" s="218" t="s">
        <v>4029</v>
      </c>
      <c r="D176" s="219" t="s">
        <v>585</v>
      </c>
      <c r="E176" s="114">
        <v>1</v>
      </c>
      <c r="F176" s="220">
        <f>VLOOKUP(B176,'BASE DE DATOS'!$A$5:$E$997,5,FALSE)</f>
        <v>7000</v>
      </c>
      <c r="G176" s="104">
        <f t="shared" si="9"/>
        <v>1.5923566878980893E-3</v>
      </c>
      <c r="H176" s="252">
        <f t="shared" si="8"/>
        <v>11.146496815286625</v>
      </c>
    </row>
    <row r="177" spans="1:9" ht="13.5" thickBot="1" x14ac:dyDescent="0.25">
      <c r="A177" s="938"/>
      <c r="B177" s="530" t="s">
        <v>595</v>
      </c>
      <c r="C177" s="88" t="s">
        <v>4023</v>
      </c>
      <c r="D177" s="89" t="s">
        <v>585</v>
      </c>
      <c r="E177" s="193">
        <v>1</v>
      </c>
      <c r="F177" s="90">
        <f>VLOOKUP(B177,'BASE DE DATOS'!$A$5:$E$997,5,FALSE)</f>
        <v>50000</v>
      </c>
      <c r="G177" s="153">
        <f>1/628</f>
        <v>1.5923566878980893E-3</v>
      </c>
      <c r="H177" s="255">
        <f t="shared" ref="H177" si="11">IF(G177&gt;0,(G177*F177*E177),(F177*E177))</f>
        <v>79.617834394904463</v>
      </c>
    </row>
    <row r="178" spans="1:9" s="42" customFormat="1" ht="17.25" x14ac:dyDescent="0.2">
      <c r="A178" s="458" t="s">
        <v>708</v>
      </c>
      <c r="B178" s="529"/>
      <c r="C178" s="388" t="s">
        <v>484</v>
      </c>
      <c r="D178" s="389" t="s">
        <v>3251</v>
      </c>
      <c r="E178" s="395"/>
      <c r="F178" s="391">
        <f>ROUND(SUM(H178:H181),0)</f>
        <v>7715</v>
      </c>
      <c r="G178" s="392"/>
      <c r="H178" s="252"/>
      <c r="I178" s="738"/>
    </row>
    <row r="179" spans="1:9" x14ac:dyDescent="0.2">
      <c r="A179" s="947" t="s">
        <v>2555</v>
      </c>
      <c r="B179" s="241" t="s">
        <v>587</v>
      </c>
      <c r="C179" s="3" t="s">
        <v>588</v>
      </c>
      <c r="D179" s="2" t="s">
        <v>585</v>
      </c>
      <c r="E179" s="114">
        <v>1</v>
      </c>
      <c r="F179" s="23">
        <f>VLOOKUP(B179,'BASE DE DATOS'!$A$5:$E$997,5,FALSE)</f>
        <v>514339</v>
      </c>
      <c r="G179" s="104">
        <f>1/80</f>
        <v>1.2500000000000001E-2</v>
      </c>
      <c r="H179" s="252">
        <f>IF(G179&gt;0,(G179*F179*E179),(F179*E179))</f>
        <v>6429.2375000000002</v>
      </c>
    </row>
    <row r="180" spans="1:9" x14ac:dyDescent="0.2">
      <c r="A180" s="947"/>
      <c r="B180" s="241" t="s">
        <v>266</v>
      </c>
      <c r="C180" s="3" t="s">
        <v>283</v>
      </c>
      <c r="D180" s="2" t="s">
        <v>586</v>
      </c>
      <c r="E180" s="114">
        <v>0.1</v>
      </c>
      <c r="F180" s="23">
        <f>H179</f>
        <v>6429.2375000000002</v>
      </c>
      <c r="G180" s="104">
        <v>0</v>
      </c>
      <c r="H180" s="252">
        <f>IF(G180&gt;0,(G180*F180*E180),(F180*E180))</f>
        <v>642.92375000000004</v>
      </c>
    </row>
    <row r="181" spans="1:9" ht="13.5" thickBot="1" x14ac:dyDescent="0.25">
      <c r="A181" s="85" t="s">
        <v>293</v>
      </c>
      <c r="B181" s="530" t="s">
        <v>269</v>
      </c>
      <c r="C181" s="88" t="s">
        <v>284</v>
      </c>
      <c r="D181" s="89" t="s">
        <v>586</v>
      </c>
      <c r="E181" s="193">
        <v>0.1</v>
      </c>
      <c r="F181" s="90">
        <f>H179</f>
        <v>6429.2375000000002</v>
      </c>
      <c r="G181" s="153">
        <v>0</v>
      </c>
      <c r="H181" s="255">
        <f>IF(G181&gt;0,(G181*F181*E181),(F181*E181))</f>
        <v>642.92375000000004</v>
      </c>
    </row>
    <row r="182" spans="1:9" s="42" customFormat="1" ht="17.25" x14ac:dyDescent="0.2">
      <c r="A182" s="458" t="s">
        <v>709</v>
      </c>
      <c r="B182" s="529"/>
      <c r="C182" s="388" t="s">
        <v>3281</v>
      </c>
      <c r="D182" s="389" t="s">
        <v>3251</v>
      </c>
      <c r="E182" s="395"/>
      <c r="F182" s="391">
        <f>ROUND(SUM(H182:H184),0)</f>
        <v>11315</v>
      </c>
      <c r="G182" s="392"/>
      <c r="H182" s="252"/>
      <c r="I182" s="738"/>
    </row>
    <row r="183" spans="1:9" x14ac:dyDescent="0.2">
      <c r="A183" s="81" t="s">
        <v>2555</v>
      </c>
      <c r="B183" s="241" t="s">
        <v>587</v>
      </c>
      <c r="C183" s="3" t="s">
        <v>588</v>
      </c>
      <c r="D183" s="2" t="s">
        <v>585</v>
      </c>
      <c r="E183" s="114">
        <v>1</v>
      </c>
      <c r="F183" s="23">
        <f>VLOOKUP(B183,'BASE DE DATOS'!$A$5:$E$997,5,FALSE)</f>
        <v>514339</v>
      </c>
      <c r="G183" s="104">
        <f>1/50</f>
        <v>0.02</v>
      </c>
      <c r="H183" s="252">
        <f>IF(G183&gt;0,(G183*F183*E183),(F183*E183))</f>
        <v>10286.780000000001</v>
      </c>
    </row>
    <row r="184" spans="1:9" ht="13.5" thickBot="1" x14ac:dyDescent="0.25">
      <c r="A184" s="84" t="s">
        <v>293</v>
      </c>
      <c r="B184" s="530" t="s">
        <v>269</v>
      </c>
      <c r="C184" s="88" t="s">
        <v>284</v>
      </c>
      <c r="D184" s="89" t="s">
        <v>586</v>
      </c>
      <c r="E184" s="193">
        <v>0.1</v>
      </c>
      <c r="F184" s="90">
        <f>H183</f>
        <v>10286.780000000001</v>
      </c>
      <c r="G184" s="153">
        <v>0</v>
      </c>
      <c r="H184" s="255">
        <f>IF(G184&gt;0,(G184*F184*E184),(F184*E184))</f>
        <v>1028.6780000000001</v>
      </c>
    </row>
    <row r="185" spans="1:9" s="42" customFormat="1" ht="17.25" x14ac:dyDescent="0.2">
      <c r="A185" s="458" t="s">
        <v>710</v>
      </c>
      <c r="B185" s="526"/>
      <c r="C185" s="388" t="s">
        <v>3538</v>
      </c>
      <c r="D185" s="389" t="s">
        <v>3251</v>
      </c>
      <c r="E185" s="390"/>
      <c r="F185" s="391">
        <f>ROUND(SUM(H185:H190),0)</f>
        <v>23015</v>
      </c>
      <c r="G185" s="392"/>
      <c r="H185" s="252"/>
      <c r="I185" s="738"/>
    </row>
    <row r="186" spans="1:9" x14ac:dyDescent="0.2">
      <c r="A186" s="81" t="s">
        <v>2555</v>
      </c>
      <c r="B186" s="244" t="s">
        <v>596</v>
      </c>
      <c r="C186" s="3" t="s">
        <v>597</v>
      </c>
      <c r="D186" s="2" t="s">
        <v>585</v>
      </c>
      <c r="E186" s="114">
        <v>1</v>
      </c>
      <c r="F186" s="23">
        <f>VLOOKUP(B186,'BASE DE DATOS'!$A$5:$E$997,5,FALSE)</f>
        <v>354716</v>
      </c>
      <c r="G186" s="104">
        <f>1/200</f>
        <v>5.0000000000000001E-3</v>
      </c>
      <c r="H186" s="252">
        <f>IF(G186&gt;0,(G186*F186*E186),(F186*E186))</f>
        <v>1773.58</v>
      </c>
    </row>
    <row r="187" spans="1:9" x14ac:dyDescent="0.2">
      <c r="A187" s="954" t="s">
        <v>293</v>
      </c>
      <c r="B187" s="244" t="s">
        <v>615</v>
      </c>
      <c r="C187" s="214" t="s">
        <v>1974</v>
      </c>
      <c r="D187" s="215" t="s">
        <v>614</v>
      </c>
      <c r="E187" s="194">
        <v>1</v>
      </c>
      <c r="F187" s="220">
        <f>VLOOKUP(B187,'BASE DE DATOS'!$A$5:$E$997,5,FALSE)</f>
        <v>238000</v>
      </c>
      <c r="G187" s="216">
        <f>1/35</f>
        <v>2.8571428571428571E-2</v>
      </c>
      <c r="H187" s="252">
        <f>IF(G187&gt;0,(G187*F187*E187),(F187*E187))</f>
        <v>6800</v>
      </c>
    </row>
    <row r="188" spans="1:9" ht="14.25" x14ac:dyDescent="0.2">
      <c r="A188" s="954"/>
      <c r="B188" s="244" t="s">
        <v>630</v>
      </c>
      <c r="C188" s="218" t="s">
        <v>2177</v>
      </c>
      <c r="D188" s="219" t="s">
        <v>614</v>
      </c>
      <c r="E188" s="114">
        <v>1</v>
      </c>
      <c r="F188" s="220">
        <f>VLOOKUP(B188,'BASE DE DATOS'!$A$5:$E$997,5,FALSE)</f>
        <v>190000</v>
      </c>
      <c r="G188" s="187">
        <f>1/25</f>
        <v>0.04</v>
      </c>
      <c r="H188" s="252">
        <f>IF(G188&gt;0,(G188*F188*E188),(F188*E188))</f>
        <v>7600</v>
      </c>
    </row>
    <row r="189" spans="1:9" x14ac:dyDescent="0.2">
      <c r="A189" s="954"/>
      <c r="B189" s="244" t="s">
        <v>269</v>
      </c>
      <c r="C189" s="218" t="s">
        <v>284</v>
      </c>
      <c r="D189" s="219" t="s">
        <v>586</v>
      </c>
      <c r="E189" s="114">
        <v>0.1</v>
      </c>
      <c r="F189" s="220">
        <f>H186</f>
        <v>1773.58</v>
      </c>
      <c r="G189" s="187">
        <v>0</v>
      </c>
      <c r="H189" s="252">
        <f>IF(G189&gt;0,(G189*F189*E189),(F189*E189))</f>
        <v>177.358</v>
      </c>
    </row>
    <row r="190" spans="1:9" ht="15" thickBot="1" x14ac:dyDescent="0.25">
      <c r="A190" s="955"/>
      <c r="B190" s="543" t="s">
        <v>631</v>
      </c>
      <c r="C190" s="70" t="s">
        <v>370</v>
      </c>
      <c r="D190" s="49" t="s">
        <v>614</v>
      </c>
      <c r="E190" s="195">
        <v>1</v>
      </c>
      <c r="F190" s="90">
        <f>VLOOKUP(B190,'BASE DE DATOS'!$A$5:$E$997,5,FALSE)</f>
        <v>166600</v>
      </c>
      <c r="G190" s="154">
        <f>1/25</f>
        <v>0.04</v>
      </c>
      <c r="H190" s="255">
        <f>IF(G190&gt;0,(G190*F190*E190),(F190*E190))</f>
        <v>6664</v>
      </c>
    </row>
    <row r="191" spans="1:9" s="42" customFormat="1" ht="17.25" x14ac:dyDescent="0.2">
      <c r="A191" s="458" t="s">
        <v>711</v>
      </c>
      <c r="B191" s="566"/>
      <c r="C191" s="388" t="s">
        <v>3282</v>
      </c>
      <c r="D191" s="389" t="s">
        <v>3251</v>
      </c>
      <c r="E191" s="395"/>
      <c r="F191" s="391">
        <f>ROUND(SUM(H191:H194),0)</f>
        <v>7094</v>
      </c>
      <c r="G191" s="392"/>
      <c r="H191" s="252"/>
      <c r="I191" s="738"/>
    </row>
    <row r="192" spans="1:9" x14ac:dyDescent="0.2">
      <c r="A192" s="947" t="s">
        <v>2555</v>
      </c>
      <c r="B192" s="241" t="s">
        <v>583</v>
      </c>
      <c r="C192" s="3" t="s">
        <v>584</v>
      </c>
      <c r="D192" s="2" t="s">
        <v>585</v>
      </c>
      <c r="E192" s="114">
        <v>1</v>
      </c>
      <c r="F192" s="23">
        <f>VLOOKUP(B192,'BASE DE DATOS'!$A$5:$E$997,5,FALSE)</f>
        <v>88679</v>
      </c>
      <c r="G192" s="104">
        <f>1/15</f>
        <v>6.6666666666666666E-2</v>
      </c>
      <c r="H192" s="252">
        <f>IF(G192&gt;0,(G192*F192*E192),(F192*E192))</f>
        <v>5911.9333333333334</v>
      </c>
    </row>
    <row r="193" spans="1:9" x14ac:dyDescent="0.2">
      <c r="A193" s="947"/>
      <c r="B193" s="241" t="s">
        <v>266</v>
      </c>
      <c r="C193" s="3" t="s">
        <v>283</v>
      </c>
      <c r="D193" s="2" t="s">
        <v>586</v>
      </c>
      <c r="E193" s="114">
        <v>0.1</v>
      </c>
      <c r="F193" s="23">
        <f>H192</f>
        <v>5911.9333333333334</v>
      </c>
      <c r="G193" s="104">
        <v>0</v>
      </c>
      <c r="H193" s="252">
        <f>IF(G193&gt;0,(G193*F193*E193),(F193*E193))</f>
        <v>591.19333333333338</v>
      </c>
    </row>
    <row r="194" spans="1:9" ht="13.5" thickBot="1" x14ac:dyDescent="0.25">
      <c r="A194" s="85" t="s">
        <v>293</v>
      </c>
      <c r="B194" s="530" t="s">
        <v>269</v>
      </c>
      <c r="C194" s="88" t="s">
        <v>284</v>
      </c>
      <c r="D194" s="89" t="s">
        <v>586</v>
      </c>
      <c r="E194" s="193">
        <v>0.1</v>
      </c>
      <c r="F194" s="90">
        <f>H192</f>
        <v>5911.9333333333334</v>
      </c>
      <c r="G194" s="153">
        <v>0</v>
      </c>
      <c r="H194" s="255">
        <f>IF(G194&gt;0,(G194*F194*E194),(F194*E194))</f>
        <v>591.19333333333338</v>
      </c>
    </row>
    <row r="195" spans="1:9" s="42" customFormat="1" ht="17.25" x14ac:dyDescent="0.2">
      <c r="A195" s="458" t="s">
        <v>712</v>
      </c>
      <c r="B195" s="529"/>
      <c r="C195" s="388" t="s">
        <v>505</v>
      </c>
      <c r="D195" s="389" t="s">
        <v>3251</v>
      </c>
      <c r="E195" s="395"/>
      <c r="F195" s="391">
        <f>ROUND(SUM(H195:H198),0)</f>
        <v>6172</v>
      </c>
      <c r="G195" s="392"/>
      <c r="H195" s="252"/>
      <c r="I195" s="738"/>
    </row>
    <row r="196" spans="1:9" x14ac:dyDescent="0.2">
      <c r="A196" s="947" t="s">
        <v>2555</v>
      </c>
      <c r="B196" s="241" t="s">
        <v>587</v>
      </c>
      <c r="C196" s="3" t="s">
        <v>588</v>
      </c>
      <c r="D196" s="2" t="s">
        <v>585</v>
      </c>
      <c r="E196" s="114">
        <v>1</v>
      </c>
      <c r="F196" s="23">
        <f>VLOOKUP(B196,'BASE DE DATOS'!$A$5:$E$997,5,FALSE)</f>
        <v>514339</v>
      </c>
      <c r="G196" s="104">
        <f>1/100</f>
        <v>0.01</v>
      </c>
      <c r="H196" s="252">
        <f>IF(G196&gt;0,(G196*F196*E196),(F196*E196))</f>
        <v>5143.3900000000003</v>
      </c>
    </row>
    <row r="197" spans="1:9" x14ac:dyDescent="0.2">
      <c r="A197" s="947"/>
      <c r="B197" s="241" t="s">
        <v>266</v>
      </c>
      <c r="C197" s="3" t="s">
        <v>283</v>
      </c>
      <c r="D197" s="2" t="s">
        <v>586</v>
      </c>
      <c r="E197" s="114">
        <v>0.1</v>
      </c>
      <c r="F197" s="23">
        <f>H196</f>
        <v>5143.3900000000003</v>
      </c>
      <c r="G197" s="104">
        <v>0</v>
      </c>
      <c r="H197" s="252">
        <f>IF(G197&gt;0,(G197*F197*E197),(F197*E197))</f>
        <v>514.33900000000006</v>
      </c>
    </row>
    <row r="198" spans="1:9" ht="13.5" thickBot="1" x14ac:dyDescent="0.25">
      <c r="A198" s="85" t="s">
        <v>293</v>
      </c>
      <c r="B198" s="530" t="s">
        <v>269</v>
      </c>
      <c r="C198" s="88" t="s">
        <v>284</v>
      </c>
      <c r="D198" s="89" t="s">
        <v>586</v>
      </c>
      <c r="E198" s="193">
        <v>0.1</v>
      </c>
      <c r="F198" s="90">
        <f>H196</f>
        <v>5143.3900000000003</v>
      </c>
      <c r="G198" s="153">
        <v>0</v>
      </c>
      <c r="H198" s="255">
        <f>IF(G198&gt;0,(G198*F198*E198),(F198*E198))</f>
        <v>514.33900000000006</v>
      </c>
    </row>
    <row r="199" spans="1:9" s="42" customFormat="1" ht="17.25" x14ac:dyDescent="0.2">
      <c r="A199" s="458" t="s">
        <v>713</v>
      </c>
      <c r="B199" s="529"/>
      <c r="C199" s="388" t="s">
        <v>140</v>
      </c>
      <c r="D199" s="389" t="s">
        <v>3225</v>
      </c>
      <c r="E199" s="390"/>
      <c r="F199" s="391">
        <f>ROUND(SUM(H199:H201),0)</f>
        <v>5046</v>
      </c>
      <c r="G199" s="392"/>
      <c r="H199" s="252"/>
      <c r="I199" s="738"/>
    </row>
    <row r="200" spans="1:9" x14ac:dyDescent="0.2">
      <c r="A200" s="81" t="s">
        <v>2555</v>
      </c>
      <c r="B200" s="241" t="s">
        <v>583</v>
      </c>
      <c r="C200" s="3" t="s">
        <v>584</v>
      </c>
      <c r="D200" s="2" t="s">
        <v>585</v>
      </c>
      <c r="E200" s="114">
        <v>1</v>
      </c>
      <c r="F200" s="23">
        <f>VLOOKUP(B200,'BASE DE DATOS'!$A$5:$E$997,5,FALSE)</f>
        <v>88679</v>
      </c>
      <c r="G200" s="104">
        <f>1/300</f>
        <v>3.3333333333333335E-3</v>
      </c>
      <c r="H200" s="252">
        <f>IF(G200&gt;0,(G200*F200*E200),(F200*E200))</f>
        <v>295.59666666666669</v>
      </c>
    </row>
    <row r="201" spans="1:9" ht="15" thickBot="1" x14ac:dyDescent="0.25">
      <c r="A201" s="84" t="s">
        <v>293</v>
      </c>
      <c r="B201" s="530" t="s">
        <v>630</v>
      </c>
      <c r="C201" s="88" t="s">
        <v>386</v>
      </c>
      <c r="D201" s="89" t="s">
        <v>614</v>
      </c>
      <c r="E201" s="193">
        <v>1</v>
      </c>
      <c r="F201" s="90">
        <f>VLOOKUP(B201,'BASE DE DATOS'!$A$5:$E$997,5,FALSE)</f>
        <v>190000</v>
      </c>
      <c r="G201" s="153">
        <f>1/40</f>
        <v>2.5000000000000001E-2</v>
      </c>
      <c r="H201" s="255">
        <f>IF(G201&gt;0,(G201*F201*E201),(F201*E201))</f>
        <v>4750</v>
      </c>
    </row>
    <row r="202" spans="1:9" s="42" customFormat="1" ht="17.25" x14ac:dyDescent="0.2">
      <c r="A202" s="458" t="s">
        <v>714</v>
      </c>
      <c r="B202" s="529"/>
      <c r="C202" s="388" t="s">
        <v>143</v>
      </c>
      <c r="D202" s="389" t="s">
        <v>3225</v>
      </c>
      <c r="E202" s="390"/>
      <c r="F202" s="391">
        <f>ROUND(SUM(H202:H204),0)</f>
        <v>35472</v>
      </c>
      <c r="G202" s="392"/>
      <c r="H202" s="252"/>
      <c r="I202" s="738"/>
    </row>
    <row r="203" spans="1:9" x14ac:dyDescent="0.2">
      <c r="A203" s="81" t="s">
        <v>2555</v>
      </c>
      <c r="B203" s="241" t="s">
        <v>596</v>
      </c>
      <c r="C203" s="44" t="s">
        <v>597</v>
      </c>
      <c r="D203" s="2" t="s">
        <v>585</v>
      </c>
      <c r="E203" s="114">
        <v>1</v>
      </c>
      <c r="F203" s="23">
        <f>VLOOKUP(B203,'BASE DE DATOS'!$A$5:$E$997,5,FALSE)</f>
        <v>354716</v>
      </c>
      <c r="G203" s="104">
        <f>1/11</f>
        <v>9.0909090909090912E-2</v>
      </c>
      <c r="H203" s="252">
        <f>IF(G203&gt;0,(G203*F203*E203),(F203*E203))</f>
        <v>32246.909090909092</v>
      </c>
    </row>
    <row r="204" spans="1:9" ht="13.5" thickBot="1" x14ac:dyDescent="0.25">
      <c r="A204" s="85" t="s">
        <v>293</v>
      </c>
      <c r="B204" s="530" t="s">
        <v>269</v>
      </c>
      <c r="C204" s="88" t="s">
        <v>284</v>
      </c>
      <c r="D204" s="89" t="s">
        <v>586</v>
      </c>
      <c r="E204" s="193">
        <v>0.1</v>
      </c>
      <c r="F204" s="90">
        <f>H203</f>
        <v>32246.909090909092</v>
      </c>
      <c r="G204" s="153">
        <v>0</v>
      </c>
      <c r="H204" s="255">
        <f>IF(G204&gt;0,(G204*F204*E204),(F204*E204))</f>
        <v>3224.6909090909094</v>
      </c>
    </row>
    <row r="205" spans="1:9" s="42" customFormat="1" ht="17.25" x14ac:dyDescent="0.2">
      <c r="A205" s="458" t="s">
        <v>715</v>
      </c>
      <c r="B205" s="529"/>
      <c r="C205" s="388" t="s">
        <v>4011</v>
      </c>
      <c r="D205" s="389" t="s">
        <v>3225</v>
      </c>
      <c r="E205" s="390"/>
      <c r="F205" s="391">
        <f>ROUND(SUM(H205:H208),0)</f>
        <v>42987</v>
      </c>
      <c r="G205" s="392"/>
      <c r="H205" s="252"/>
      <c r="I205" s="738"/>
    </row>
    <row r="206" spans="1:9" ht="14.25" x14ac:dyDescent="0.2">
      <c r="A206" s="471" t="s">
        <v>3252</v>
      </c>
      <c r="B206" s="244" t="s">
        <v>1219</v>
      </c>
      <c r="C206" s="3" t="s">
        <v>694</v>
      </c>
      <c r="D206" s="12" t="s">
        <v>285</v>
      </c>
      <c r="E206" s="114">
        <v>1</v>
      </c>
      <c r="F206" s="23">
        <f>F137</f>
        <v>17143</v>
      </c>
      <c r="G206" s="104">
        <v>1</v>
      </c>
      <c r="H206" s="252">
        <f>IF(G206&gt;0,(G206*F206*E206),(F206*E206))</f>
        <v>17143</v>
      </c>
    </row>
    <row r="207" spans="1:9" x14ac:dyDescent="0.2">
      <c r="A207" s="472" t="s">
        <v>2555</v>
      </c>
      <c r="B207" s="244" t="s">
        <v>596</v>
      </c>
      <c r="C207" s="3" t="s">
        <v>597</v>
      </c>
      <c r="D207" s="2" t="s">
        <v>585</v>
      </c>
      <c r="E207" s="114">
        <v>1</v>
      </c>
      <c r="F207" s="23">
        <f>VLOOKUP(B207,'BASE DE DATOS'!$A$5:$E$997,5,FALSE)</f>
        <v>354716</v>
      </c>
      <c r="G207" s="104">
        <f>1/14</f>
        <v>7.1428571428571425E-2</v>
      </c>
      <c r="H207" s="252">
        <f>IF(G207&gt;0,(G207*F207*E207),(F207*E207))</f>
        <v>25336.857142857141</v>
      </c>
    </row>
    <row r="208" spans="1:9" ht="13.5" thickBot="1" x14ac:dyDescent="0.25">
      <c r="A208" s="85" t="s">
        <v>293</v>
      </c>
      <c r="B208" s="530" t="s">
        <v>269</v>
      </c>
      <c r="C208" s="88" t="s">
        <v>284</v>
      </c>
      <c r="D208" s="89" t="s">
        <v>586</v>
      </c>
      <c r="E208" s="193">
        <v>0.02</v>
      </c>
      <c r="F208" s="90">
        <f>H207</f>
        <v>25336.857142857141</v>
      </c>
      <c r="G208" s="153">
        <v>0</v>
      </c>
      <c r="H208" s="255">
        <f>IF(G208&gt;0,(G208*F208*E208),(F208*E208))</f>
        <v>506.73714285714283</v>
      </c>
    </row>
    <row r="209" spans="1:9" s="42" customFormat="1" ht="17.25" x14ac:dyDescent="0.2">
      <c r="A209" s="470" t="s">
        <v>716</v>
      </c>
      <c r="B209" s="527"/>
      <c r="C209" s="418" t="s">
        <v>4013</v>
      </c>
      <c r="D209" s="419" t="s">
        <v>3225</v>
      </c>
      <c r="E209" s="420"/>
      <c r="F209" s="391">
        <f>ROUND(SUM(H209:H211),0)</f>
        <v>22189</v>
      </c>
      <c r="G209" s="422"/>
      <c r="H209" s="252"/>
      <c r="I209" s="738"/>
    </row>
    <row r="210" spans="1:9" ht="14.25" x14ac:dyDescent="0.2">
      <c r="A210" s="953" t="s">
        <v>3252</v>
      </c>
      <c r="B210" s="244" t="s">
        <v>713</v>
      </c>
      <c r="C210" s="3" t="s">
        <v>140</v>
      </c>
      <c r="D210" s="12" t="s">
        <v>285</v>
      </c>
      <c r="E210" s="114">
        <v>1</v>
      </c>
      <c r="F210" s="23">
        <f>F199</f>
        <v>5046</v>
      </c>
      <c r="G210" s="104">
        <v>0</v>
      </c>
      <c r="H210" s="252">
        <f>IF(G210&gt;0,(G210*F210*E210),(F210*E210))</f>
        <v>5046</v>
      </c>
    </row>
    <row r="211" spans="1:9" ht="15" thickBot="1" x14ac:dyDescent="0.25">
      <c r="A211" s="977"/>
      <c r="B211" s="543" t="s">
        <v>1219</v>
      </c>
      <c r="C211" s="108" t="s">
        <v>694</v>
      </c>
      <c r="D211" s="174" t="s">
        <v>285</v>
      </c>
      <c r="E211" s="200">
        <v>1</v>
      </c>
      <c r="F211" s="90">
        <f>F137</f>
        <v>17143</v>
      </c>
      <c r="G211" s="156">
        <v>1</v>
      </c>
      <c r="H211" s="255">
        <f>IF(G211&gt;0,(G211*F211*E211),(F211*E211))</f>
        <v>17143</v>
      </c>
    </row>
    <row r="212" spans="1:9" s="42" customFormat="1" ht="17.25" x14ac:dyDescent="0.2">
      <c r="A212" s="458" t="s">
        <v>717</v>
      </c>
      <c r="B212" s="529"/>
      <c r="C212" s="388" t="s">
        <v>4012</v>
      </c>
      <c r="D212" s="389" t="s">
        <v>3225</v>
      </c>
      <c r="E212" s="390"/>
      <c r="F212" s="391">
        <f>ROUND(SUM(H212:H215),0)</f>
        <v>22189</v>
      </c>
      <c r="G212" s="392"/>
      <c r="H212" s="252"/>
      <c r="I212" s="738"/>
    </row>
    <row r="213" spans="1:9" x14ac:dyDescent="0.2">
      <c r="A213" s="81" t="s">
        <v>2555</v>
      </c>
      <c r="B213" s="241" t="s">
        <v>583</v>
      </c>
      <c r="C213" s="3" t="s">
        <v>584</v>
      </c>
      <c r="D213" s="2" t="s">
        <v>585</v>
      </c>
      <c r="E213" s="114">
        <v>1</v>
      </c>
      <c r="F213" s="23">
        <f>VLOOKUP(B213,'BASE DE DATOS'!$A$5:$E$997,5,FALSE)</f>
        <v>88679</v>
      </c>
      <c r="G213" s="104">
        <f>1/300</f>
        <v>3.3333333333333335E-3</v>
      </c>
      <c r="H213" s="252">
        <f>IF(G213&gt;0,(G213*F213*E213),(F213*E213))</f>
        <v>295.59666666666669</v>
      </c>
    </row>
    <row r="214" spans="1:9" ht="14.25" x14ac:dyDescent="0.2">
      <c r="A214" s="64" t="s">
        <v>3252</v>
      </c>
      <c r="B214" s="244" t="s">
        <v>1219</v>
      </c>
      <c r="C214" s="20" t="s">
        <v>694</v>
      </c>
      <c r="D214" s="17" t="s">
        <v>285</v>
      </c>
      <c r="E214" s="194">
        <v>1</v>
      </c>
      <c r="F214" s="23">
        <f>F137</f>
        <v>17143</v>
      </c>
      <c r="G214" s="58">
        <v>1</v>
      </c>
      <c r="H214" s="252">
        <f>IF(G214&gt;0,(G214*F214*E214),(F214*E214))</f>
        <v>17143</v>
      </c>
    </row>
    <row r="215" spans="1:9" ht="15" thickBot="1" x14ac:dyDescent="0.25">
      <c r="A215" s="85" t="s">
        <v>293</v>
      </c>
      <c r="B215" s="530" t="s">
        <v>630</v>
      </c>
      <c r="C215" s="88" t="s">
        <v>386</v>
      </c>
      <c r="D215" s="89" t="s">
        <v>614</v>
      </c>
      <c r="E215" s="193">
        <v>1</v>
      </c>
      <c r="F215" s="90">
        <f>VLOOKUP(B215,'BASE DE DATOS'!$A$5:$E$997,5,FALSE)</f>
        <v>190000</v>
      </c>
      <c r="G215" s="153">
        <f>1/40</f>
        <v>2.5000000000000001E-2</v>
      </c>
      <c r="H215" s="255">
        <f>IF(G215&gt;0,(G215*F215*E215),(F215*E215))</f>
        <v>4750</v>
      </c>
    </row>
    <row r="216" spans="1:9" s="42" customFormat="1" ht="30" x14ac:dyDescent="0.2">
      <c r="A216" s="458" t="s">
        <v>718</v>
      </c>
      <c r="B216" s="529"/>
      <c r="C216" s="188" t="s">
        <v>3533</v>
      </c>
      <c r="D216" s="469" t="s">
        <v>585</v>
      </c>
      <c r="E216" s="390"/>
      <c r="F216" s="391">
        <f>ROUND(SUM(H216:H219),0)</f>
        <v>64632</v>
      </c>
      <c r="G216" s="392"/>
      <c r="H216" s="252"/>
      <c r="I216" s="738"/>
    </row>
    <row r="217" spans="1:9" x14ac:dyDescent="0.2">
      <c r="A217" s="81" t="s">
        <v>2555</v>
      </c>
      <c r="B217" s="241" t="s">
        <v>583</v>
      </c>
      <c r="C217" s="3" t="s">
        <v>584</v>
      </c>
      <c r="D217" s="2" t="s">
        <v>585</v>
      </c>
      <c r="E217" s="114">
        <v>1</v>
      </c>
      <c r="F217" s="23">
        <f>VLOOKUP(B217,'BASE DE DATOS'!$A$5:$E$997,5,FALSE)</f>
        <v>88679</v>
      </c>
      <c r="G217" s="104">
        <f>1/100</f>
        <v>0.01</v>
      </c>
      <c r="H217" s="252">
        <f>IF(G217&gt;0,(G217*F217*E217),(F217*E217))</f>
        <v>886.79</v>
      </c>
    </row>
    <row r="218" spans="1:9" x14ac:dyDescent="0.2">
      <c r="A218" s="944" t="s">
        <v>293</v>
      </c>
      <c r="B218" s="241" t="s">
        <v>347</v>
      </c>
      <c r="C218" s="218" t="s">
        <v>3361</v>
      </c>
      <c r="D218" s="219" t="s">
        <v>585</v>
      </c>
      <c r="E218" s="114">
        <v>1</v>
      </c>
      <c r="F218" s="220">
        <f>VLOOKUP(B218,'BASE DE DATOS'!$A$5:$E$997,5,FALSE)</f>
        <v>63150</v>
      </c>
      <c r="G218" s="187">
        <v>0</v>
      </c>
      <c r="H218" s="252">
        <f>IF(G218&gt;0,(G218*F218*E218),(F218*E218))</f>
        <v>63150</v>
      </c>
    </row>
    <row r="219" spans="1:9" ht="13.5" thickBot="1" x14ac:dyDescent="0.25">
      <c r="A219" s="945"/>
      <c r="B219" s="528" t="s">
        <v>64</v>
      </c>
      <c r="C219" s="88" t="s">
        <v>660</v>
      </c>
      <c r="D219" s="89" t="s">
        <v>585</v>
      </c>
      <c r="E219" s="193">
        <v>1</v>
      </c>
      <c r="F219" s="90">
        <f>VLOOKUP(B219,'BASE DE DATOS'!$A$5:$E$997,5,FALSE)</f>
        <v>595</v>
      </c>
      <c r="G219" s="153">
        <v>0</v>
      </c>
      <c r="H219" s="255">
        <f>IF(G219&gt;0,(G219*F219*E219),(F219*E219))</f>
        <v>595</v>
      </c>
    </row>
    <row r="220" spans="1:9" s="468" customFormat="1" ht="17.25" x14ac:dyDescent="0.2">
      <c r="A220" s="458" t="s">
        <v>719</v>
      </c>
      <c r="B220" s="529"/>
      <c r="C220" s="388" t="s">
        <v>542</v>
      </c>
      <c r="D220" s="389" t="s">
        <v>3251</v>
      </c>
      <c r="E220" s="390"/>
      <c r="F220" s="391">
        <f>ROUND(SUM(H220:H223),0)</f>
        <v>1941</v>
      </c>
      <c r="G220" s="392"/>
      <c r="H220" s="252"/>
      <c r="I220" s="25"/>
    </row>
    <row r="221" spans="1:9" ht="14.25" x14ac:dyDescent="0.2">
      <c r="A221" s="82" t="s">
        <v>382</v>
      </c>
      <c r="B221" s="241" t="s">
        <v>1596</v>
      </c>
      <c r="C221" s="3" t="s">
        <v>542</v>
      </c>
      <c r="D221" s="2" t="s">
        <v>288</v>
      </c>
      <c r="E221" s="114">
        <v>1</v>
      </c>
      <c r="F221" s="23">
        <f>VLOOKUP(B221,'BASE DE DATOS'!$A$5:$E$997,5,FALSE)</f>
        <v>1724</v>
      </c>
      <c r="G221" s="104">
        <v>0</v>
      </c>
      <c r="H221" s="252">
        <f>IF(G221&gt;0,(G221*F221*E221),(F221*E221))</f>
        <v>1724</v>
      </c>
    </row>
    <row r="222" spans="1:9" x14ac:dyDescent="0.2">
      <c r="A222" s="81" t="s">
        <v>2555</v>
      </c>
      <c r="B222" s="241" t="s">
        <v>583</v>
      </c>
      <c r="C222" s="3" t="s">
        <v>584</v>
      </c>
      <c r="D222" s="2" t="s">
        <v>585</v>
      </c>
      <c r="E222" s="114">
        <v>1</v>
      </c>
      <c r="F222" s="23">
        <f>VLOOKUP(B222,'BASE DE DATOS'!$A$5:$E$997,5,FALSE)</f>
        <v>88679</v>
      </c>
      <c r="G222" s="104">
        <f>1/450</f>
        <v>2.2222222222222222E-3</v>
      </c>
      <c r="H222" s="252">
        <f>IF(G222&gt;0,(G222*F222*E222),(F222*E222))</f>
        <v>197.06444444444443</v>
      </c>
    </row>
    <row r="223" spans="1:9" ht="13.5" thickBot="1" x14ac:dyDescent="0.25">
      <c r="A223" s="84" t="s">
        <v>293</v>
      </c>
      <c r="B223" s="530" t="s">
        <v>598</v>
      </c>
      <c r="C223" s="88" t="s">
        <v>3362</v>
      </c>
      <c r="D223" s="89" t="s">
        <v>586</v>
      </c>
      <c r="E223" s="193">
        <v>0.1</v>
      </c>
      <c r="F223" s="90">
        <f>H222</f>
        <v>197.06444444444443</v>
      </c>
      <c r="G223" s="153">
        <v>0</v>
      </c>
      <c r="H223" s="255">
        <f>IF(G223&gt;0,(G223*F223*E223),(F223*E223))</f>
        <v>19.706444444444443</v>
      </c>
    </row>
    <row r="224" spans="1:9" s="42" customFormat="1" ht="17.25" x14ac:dyDescent="0.2">
      <c r="A224" s="458" t="s">
        <v>720</v>
      </c>
      <c r="B224" s="529"/>
      <c r="C224" s="388" t="s">
        <v>482</v>
      </c>
      <c r="D224" s="389" t="s">
        <v>3251</v>
      </c>
      <c r="E224" s="390"/>
      <c r="F224" s="391">
        <f>ROUND(SUM(H224:H227),0)</f>
        <v>2882</v>
      </c>
      <c r="G224" s="392"/>
      <c r="H224" s="252"/>
      <c r="I224" s="738"/>
    </row>
    <row r="225" spans="1:9" x14ac:dyDescent="0.2">
      <c r="A225" s="82" t="s">
        <v>382</v>
      </c>
      <c r="B225" s="241" t="s">
        <v>1279</v>
      </c>
      <c r="C225" s="3" t="s">
        <v>349</v>
      </c>
      <c r="D225" s="2" t="s">
        <v>617</v>
      </c>
      <c r="E225" s="114">
        <v>5</v>
      </c>
      <c r="F225" s="23">
        <f>VLOOKUP(B225,'BASE DE DATOS'!$A$5:$E$997,5,FALSE)</f>
        <v>19</v>
      </c>
      <c r="G225" s="104">
        <v>0</v>
      </c>
      <c r="H225" s="252">
        <f>IF(G225&gt;0,(G225*F225*E225),(F225*E225))</f>
        <v>95</v>
      </c>
    </row>
    <row r="226" spans="1:9" x14ac:dyDescent="0.2">
      <c r="A226" s="81" t="s">
        <v>2555</v>
      </c>
      <c r="B226" s="241" t="s">
        <v>583</v>
      </c>
      <c r="C226" s="3" t="s">
        <v>584</v>
      </c>
      <c r="D226" s="2" t="s">
        <v>585</v>
      </c>
      <c r="E226" s="114">
        <v>1</v>
      </c>
      <c r="F226" s="23">
        <f>VLOOKUP(B226,'BASE DE DATOS'!$A$5:$E$997,5,FALSE)</f>
        <v>88679</v>
      </c>
      <c r="G226" s="104">
        <f>1/35</f>
        <v>2.8571428571428571E-2</v>
      </c>
      <c r="H226" s="252">
        <f>IF(G226&gt;0,(G226*F226*E226),(F226*E226))</f>
        <v>2533.6857142857143</v>
      </c>
    </row>
    <row r="227" spans="1:9" ht="13.5" thickBot="1" x14ac:dyDescent="0.25">
      <c r="A227" s="85" t="s">
        <v>293</v>
      </c>
      <c r="B227" s="530" t="s">
        <v>269</v>
      </c>
      <c r="C227" s="88" t="s">
        <v>284</v>
      </c>
      <c r="D227" s="89" t="s">
        <v>586</v>
      </c>
      <c r="E227" s="193">
        <v>0.1</v>
      </c>
      <c r="F227" s="90">
        <f>H226</f>
        <v>2533.6857142857143</v>
      </c>
      <c r="G227" s="153">
        <v>0</v>
      </c>
      <c r="H227" s="255">
        <f>IF(G227&gt;0,(G227*F227*E227),(F227*E227))</f>
        <v>253.36857142857144</v>
      </c>
    </row>
    <row r="228" spans="1:9" s="468" customFormat="1" ht="17.25" x14ac:dyDescent="0.2">
      <c r="A228" s="458" t="s">
        <v>721</v>
      </c>
      <c r="B228" s="529"/>
      <c r="C228" s="388" t="s">
        <v>478</v>
      </c>
      <c r="D228" s="389" t="s">
        <v>3251</v>
      </c>
      <c r="E228" s="390"/>
      <c r="F228" s="391">
        <f>ROUND(SUM(H228:H231),0)</f>
        <v>2263</v>
      </c>
      <c r="G228" s="392"/>
      <c r="H228" s="252"/>
      <c r="I228" s="25"/>
    </row>
    <row r="229" spans="1:9" x14ac:dyDescent="0.2">
      <c r="A229" s="82" t="s">
        <v>382</v>
      </c>
      <c r="B229" s="241" t="s">
        <v>1279</v>
      </c>
      <c r="C229" s="3" t="s">
        <v>358</v>
      </c>
      <c r="D229" s="2" t="s">
        <v>617</v>
      </c>
      <c r="E229" s="196">
        <v>5</v>
      </c>
      <c r="F229" s="23">
        <f>VLOOKUP(B229,'BASE DE DATOS'!$A$5:$E$997,5,FALSE)</f>
        <v>19</v>
      </c>
      <c r="G229" s="104">
        <v>0</v>
      </c>
      <c r="H229" s="252">
        <f>IF(G229&gt;0,(G229*F229*E229),(F229*E229))</f>
        <v>95</v>
      </c>
    </row>
    <row r="230" spans="1:9" x14ac:dyDescent="0.2">
      <c r="A230" s="81" t="s">
        <v>2555</v>
      </c>
      <c r="B230" s="241" t="s">
        <v>583</v>
      </c>
      <c r="C230" s="3" t="s">
        <v>584</v>
      </c>
      <c r="D230" s="2" t="s">
        <v>585</v>
      </c>
      <c r="E230" s="196">
        <v>1</v>
      </c>
      <c r="F230" s="23">
        <f>VLOOKUP(B230,'BASE DE DATOS'!$A$5:$E$997,5,FALSE)</f>
        <v>88679</v>
      </c>
      <c r="G230" s="104">
        <f>1/45</f>
        <v>2.2222222222222223E-2</v>
      </c>
      <c r="H230" s="252">
        <f>IF(G230&gt;0,(G230*F230*E230),(F230*E230))</f>
        <v>1970.6444444444446</v>
      </c>
    </row>
    <row r="231" spans="1:9" ht="13.5" thickBot="1" x14ac:dyDescent="0.25">
      <c r="A231" s="791" t="s">
        <v>293</v>
      </c>
      <c r="B231" s="530" t="s">
        <v>269</v>
      </c>
      <c r="C231" s="88" t="s">
        <v>284</v>
      </c>
      <c r="D231" s="89" t="s">
        <v>586</v>
      </c>
      <c r="E231" s="197">
        <v>0.1</v>
      </c>
      <c r="F231" s="90">
        <f>H230</f>
        <v>1970.6444444444446</v>
      </c>
      <c r="G231" s="153">
        <v>0</v>
      </c>
      <c r="H231" s="255">
        <f>IF(G231&gt;0,(G231*F231*E231),(F231*E231))</f>
        <v>197.06444444444446</v>
      </c>
    </row>
    <row r="232" spans="1:9" s="468" customFormat="1" ht="30" x14ac:dyDescent="0.2">
      <c r="A232" s="458" t="s">
        <v>722</v>
      </c>
      <c r="B232" s="529"/>
      <c r="C232" s="388" t="s">
        <v>4037</v>
      </c>
      <c r="D232" s="389" t="s">
        <v>3251</v>
      </c>
      <c r="E232" s="390"/>
      <c r="F232" s="391">
        <f>ROUND(SUM(H232:H236),0)</f>
        <v>1108</v>
      </c>
      <c r="G232" s="392"/>
      <c r="H232" s="252"/>
      <c r="I232" s="25"/>
    </row>
    <row r="233" spans="1:9" x14ac:dyDescent="0.2">
      <c r="A233" s="790" t="s">
        <v>382</v>
      </c>
      <c r="B233" s="241" t="s">
        <v>1279</v>
      </c>
      <c r="C233" s="3" t="s">
        <v>358</v>
      </c>
      <c r="D233" s="2" t="s">
        <v>617</v>
      </c>
      <c r="E233" s="196">
        <v>15</v>
      </c>
      <c r="F233" s="23">
        <f>VLOOKUP(B233,'BASE DE DATOS'!$A$5:$E$997,5,FALSE)</f>
        <v>19</v>
      </c>
      <c r="G233" s="104">
        <v>0</v>
      </c>
      <c r="H233" s="252">
        <f>IF(G233&gt;0,(G233*F233*E233),(F233*E233))</f>
        <v>285</v>
      </c>
    </row>
    <row r="234" spans="1:9" x14ac:dyDescent="0.2">
      <c r="A234" s="793" t="s">
        <v>2555</v>
      </c>
      <c r="B234" s="241" t="s">
        <v>583</v>
      </c>
      <c r="C234" s="3" t="s">
        <v>584</v>
      </c>
      <c r="D234" s="2" t="s">
        <v>585</v>
      </c>
      <c r="E234" s="196">
        <v>1</v>
      </c>
      <c r="F234" s="23">
        <f>VLOOKUP(B234,'BASE DE DATOS'!$A$5:$E$997,5,FALSE)</f>
        <v>88679</v>
      </c>
      <c r="G234" s="104">
        <f>1/240</f>
        <v>4.1666666666666666E-3</v>
      </c>
      <c r="H234" s="252">
        <f>IF(G234&gt;0,(G234*F234*E234),(F234*E234))</f>
        <v>369.49583333333334</v>
      </c>
    </row>
    <row r="235" spans="1:9" x14ac:dyDescent="0.2">
      <c r="A235" s="937" t="s">
        <v>293</v>
      </c>
      <c r="B235" s="241" t="s">
        <v>1928</v>
      </c>
      <c r="C235" s="218" t="s">
        <v>3866</v>
      </c>
      <c r="D235" s="219" t="s">
        <v>585</v>
      </c>
      <c r="E235" s="196">
        <f>1/240</f>
        <v>4.1666666666666666E-3</v>
      </c>
      <c r="F235" s="23">
        <f>VLOOKUP(B235,'BASE DE DATOS'!$A$5:$E$997,5,FALSE)</f>
        <v>100000</v>
      </c>
      <c r="G235" s="187">
        <v>0</v>
      </c>
      <c r="H235" s="252">
        <f>IF(G235&gt;0,(G235*F235*E235),(F235*E235))</f>
        <v>416.66666666666669</v>
      </c>
    </row>
    <row r="236" spans="1:9" ht="13.5" thickBot="1" x14ac:dyDescent="0.25">
      <c r="A236" s="938"/>
      <c r="B236" s="530" t="s">
        <v>269</v>
      </c>
      <c r="C236" s="88" t="s">
        <v>284</v>
      </c>
      <c r="D236" s="89" t="s">
        <v>586</v>
      </c>
      <c r="E236" s="197">
        <v>0.1</v>
      </c>
      <c r="F236" s="90">
        <f>H234</f>
        <v>369.49583333333334</v>
      </c>
      <c r="G236" s="153">
        <v>0</v>
      </c>
      <c r="H236" s="255">
        <f>IF(G236&gt;0,(G236*F236*E236),(F236*E236))</f>
        <v>36.949583333333337</v>
      </c>
    </row>
    <row r="237" spans="1:9" s="468" customFormat="1" ht="30" x14ac:dyDescent="0.2">
      <c r="A237" s="458" t="s">
        <v>723</v>
      </c>
      <c r="B237" s="529"/>
      <c r="C237" s="388" t="s">
        <v>391</v>
      </c>
      <c r="D237" s="389" t="s">
        <v>405</v>
      </c>
      <c r="E237" s="390"/>
      <c r="F237" s="391">
        <f>ROUND(SUM(H237:H240),0)</f>
        <v>2117</v>
      </c>
      <c r="G237" s="392"/>
      <c r="H237" s="252"/>
      <c r="I237" s="25"/>
    </row>
    <row r="238" spans="1:9" x14ac:dyDescent="0.2">
      <c r="A238" s="936" t="s">
        <v>382</v>
      </c>
      <c r="B238" s="241" t="s">
        <v>1346</v>
      </c>
      <c r="C238" s="3" t="s">
        <v>3837</v>
      </c>
      <c r="D238" s="2" t="s">
        <v>405</v>
      </c>
      <c r="E238" s="114">
        <v>2</v>
      </c>
      <c r="F238" s="23">
        <f>VLOOKUP(B238,'BASE DE DATOS'!$A$5:$E$997,5,FALSE)</f>
        <v>68</v>
      </c>
      <c r="G238" s="104">
        <f>1/2</f>
        <v>0.5</v>
      </c>
      <c r="H238" s="252">
        <f>IF(G238&gt;0,(G238*F238*E238),(F238*E238))</f>
        <v>68</v>
      </c>
    </row>
    <row r="239" spans="1:9" x14ac:dyDescent="0.2">
      <c r="A239" s="936"/>
      <c r="B239" s="241" t="s">
        <v>1747</v>
      </c>
      <c r="C239" s="44" t="s">
        <v>661</v>
      </c>
      <c r="D239" s="136" t="s">
        <v>411</v>
      </c>
      <c r="E239" s="196">
        <v>1</v>
      </c>
      <c r="F239" s="23">
        <f>VLOOKUP(B239,'BASE DE DATOS'!$A$5:$E$997,5,FALSE)</f>
        <v>48900</v>
      </c>
      <c r="G239" s="104">
        <v>0.04</v>
      </c>
      <c r="H239" s="252">
        <f>IF(G239&gt;0,(G239*F239*E239),(F239*E239))</f>
        <v>1956</v>
      </c>
    </row>
    <row r="240" spans="1:9" s="28" customFormat="1" ht="13.5" thickBot="1" x14ac:dyDescent="0.25">
      <c r="A240" s="86" t="s">
        <v>2555</v>
      </c>
      <c r="B240" s="530" t="s">
        <v>583</v>
      </c>
      <c r="C240" s="88" t="s">
        <v>584</v>
      </c>
      <c r="D240" s="89" t="s">
        <v>585</v>
      </c>
      <c r="E240" s="193">
        <v>1</v>
      </c>
      <c r="F240" s="90">
        <f>VLOOKUP(B240,'BASE DE DATOS'!$A$5:$E$997,5,FALSE)</f>
        <v>88679</v>
      </c>
      <c r="G240" s="153">
        <f>1/950</f>
        <v>1.0526315789473684E-3</v>
      </c>
      <c r="H240" s="255">
        <f>IF(G240&gt;0,(G240*F240*E240),(F240*E240))</f>
        <v>93.346315789473678</v>
      </c>
      <c r="I240" s="25"/>
    </row>
    <row r="241" spans="1:9" s="42" customFormat="1" ht="30.75" customHeight="1" x14ac:dyDescent="0.2">
      <c r="A241" s="458" t="s">
        <v>724</v>
      </c>
      <c r="B241" s="529"/>
      <c r="C241" s="388" t="s">
        <v>425</v>
      </c>
      <c r="D241" s="389" t="s">
        <v>405</v>
      </c>
      <c r="E241" s="390"/>
      <c r="F241" s="391">
        <f>ROUND(SUM(H241:H245),0)</f>
        <v>9148</v>
      </c>
      <c r="G241" s="392"/>
      <c r="H241" s="252"/>
      <c r="I241" s="738"/>
    </row>
    <row r="242" spans="1:9" x14ac:dyDescent="0.2">
      <c r="A242" s="936" t="s">
        <v>382</v>
      </c>
      <c r="B242" s="241" t="s">
        <v>1747</v>
      </c>
      <c r="C242" s="3" t="s">
        <v>661</v>
      </c>
      <c r="D242" s="2" t="s">
        <v>411</v>
      </c>
      <c r="E242" s="114">
        <v>0.62</v>
      </c>
      <c r="F242" s="23">
        <f>VLOOKUP(B242,'BASE DE DATOS'!$A$5:$E$997,5,FALSE)</f>
        <v>48900</v>
      </c>
      <c r="G242" s="104">
        <f>1/6</f>
        <v>0.16666666666666666</v>
      </c>
      <c r="H242" s="252">
        <f>IF(G242&gt;0,(G242*F242*E242),(F242*E242))</f>
        <v>5053</v>
      </c>
    </row>
    <row r="243" spans="1:9" ht="14.25" x14ac:dyDescent="0.2">
      <c r="A243" s="936"/>
      <c r="B243" s="241" t="s">
        <v>1595</v>
      </c>
      <c r="C243" s="3" t="s">
        <v>662</v>
      </c>
      <c r="D243" s="2" t="s">
        <v>288</v>
      </c>
      <c r="E243" s="114">
        <v>2</v>
      </c>
      <c r="F243" s="23">
        <f>VLOOKUP(B243,'BASE DE DATOS'!$A$5:$E$997,5,FALSE)</f>
        <v>1418</v>
      </c>
      <c r="G243" s="104">
        <v>1.1000000000000001</v>
      </c>
      <c r="H243" s="252">
        <f>IF(G243&gt;0,(G243*F243*E243),(F243*E243))</f>
        <v>3119.6000000000004</v>
      </c>
    </row>
    <row r="244" spans="1:9" s="25" customFormat="1" x14ac:dyDescent="0.2">
      <c r="A244" s="81" t="s">
        <v>2555</v>
      </c>
      <c r="B244" s="241" t="s">
        <v>583</v>
      </c>
      <c r="C244" s="3" t="s">
        <v>584</v>
      </c>
      <c r="D244" s="2" t="s">
        <v>585</v>
      </c>
      <c r="E244" s="114">
        <v>1</v>
      </c>
      <c r="F244" s="23">
        <f>VLOOKUP(B244,'BASE DE DATOS'!$A$5:$E$997,5,FALSE)</f>
        <v>88679</v>
      </c>
      <c r="G244" s="104">
        <f>1/100</f>
        <v>0.01</v>
      </c>
      <c r="H244" s="252">
        <f>IF(G244&gt;0,(G244*F244*E244),(F244*E244))</f>
        <v>886.79</v>
      </c>
    </row>
    <row r="245" spans="1:9" ht="13.5" thickBot="1" x14ac:dyDescent="0.25">
      <c r="A245" s="85" t="s">
        <v>293</v>
      </c>
      <c r="B245" s="530" t="s">
        <v>269</v>
      </c>
      <c r="C245" s="88" t="s">
        <v>284</v>
      </c>
      <c r="D245" s="89" t="s">
        <v>586</v>
      </c>
      <c r="E245" s="193">
        <v>0.1</v>
      </c>
      <c r="F245" s="90">
        <f>H244</f>
        <v>886.79</v>
      </c>
      <c r="G245" s="153">
        <v>0</v>
      </c>
      <c r="H245" s="255">
        <f>IF(G245&gt;0,(G245*F245*E245),(F245*E245))</f>
        <v>88.679000000000002</v>
      </c>
    </row>
    <row r="246" spans="1:9" s="42" customFormat="1" ht="30" x14ac:dyDescent="0.2">
      <c r="A246" s="458" t="s">
        <v>725</v>
      </c>
      <c r="B246" s="529"/>
      <c r="C246" s="388" t="s">
        <v>1972</v>
      </c>
      <c r="D246" s="389" t="s">
        <v>405</v>
      </c>
      <c r="E246" s="390"/>
      <c r="F246" s="391">
        <f>ROUND(SUM(H246:H251),0)</f>
        <v>8068</v>
      </c>
      <c r="G246" s="392"/>
      <c r="H246" s="252"/>
      <c r="I246" s="738"/>
    </row>
    <row r="247" spans="1:9" x14ac:dyDescent="0.2">
      <c r="A247" s="936" t="s">
        <v>382</v>
      </c>
      <c r="B247" s="241" t="s">
        <v>1419</v>
      </c>
      <c r="C247" s="3" t="s">
        <v>3577</v>
      </c>
      <c r="D247" s="2" t="s">
        <v>411</v>
      </c>
      <c r="E247" s="114">
        <v>0.33</v>
      </c>
      <c r="F247" s="23">
        <f>VLOOKUP(B247,'BASE DE DATOS'!$A$5:$E$997,5,FALSE)</f>
        <v>11333.333333333334</v>
      </c>
      <c r="G247" s="104">
        <f>1/5</f>
        <v>0.2</v>
      </c>
      <c r="H247" s="252">
        <f>IF(G247&gt;0,(G247*F247*E247),(F247*E247))</f>
        <v>748.00000000000011</v>
      </c>
    </row>
    <row r="248" spans="1:9" s="25" customFormat="1" x14ac:dyDescent="0.2">
      <c r="A248" s="936"/>
      <c r="B248" s="241" t="s">
        <v>1558</v>
      </c>
      <c r="C248" s="3" t="s">
        <v>603</v>
      </c>
      <c r="D248" s="2" t="s">
        <v>590</v>
      </c>
      <c r="E248" s="114">
        <v>0.05</v>
      </c>
      <c r="F248" s="23">
        <f>VLOOKUP(B248,'BASE DE DATOS'!$A$5:$E$997,5,FALSE)</f>
        <v>5650</v>
      </c>
      <c r="G248" s="104">
        <v>1.03</v>
      </c>
      <c r="H248" s="252">
        <f>IF(G248&gt;0,(G248*F248*E248),(F248*E248))</f>
        <v>290.97500000000002</v>
      </c>
    </row>
    <row r="249" spans="1:9" ht="14.25" x14ac:dyDescent="0.2">
      <c r="A249" s="936"/>
      <c r="B249" s="241" t="s">
        <v>1595</v>
      </c>
      <c r="C249" s="3" t="s">
        <v>662</v>
      </c>
      <c r="D249" s="2" t="s">
        <v>288</v>
      </c>
      <c r="E249" s="114">
        <v>2.1</v>
      </c>
      <c r="F249" s="23">
        <f>VLOOKUP(B249,'BASE DE DATOS'!$A$5:$E$997,5,FALSE)</f>
        <v>1418</v>
      </c>
      <c r="G249" s="104">
        <v>1.05</v>
      </c>
      <c r="H249" s="252">
        <f>IF(G249&gt;0,(G249*F249*E249),(F249*E249))</f>
        <v>3126.6900000000005</v>
      </c>
    </row>
    <row r="250" spans="1:9" x14ac:dyDescent="0.2">
      <c r="A250" s="81" t="s">
        <v>2555</v>
      </c>
      <c r="B250" s="241" t="s">
        <v>583</v>
      </c>
      <c r="C250" s="3" t="s">
        <v>584</v>
      </c>
      <c r="D250" s="2" t="s">
        <v>585</v>
      </c>
      <c r="E250" s="114">
        <v>1</v>
      </c>
      <c r="F250" s="23">
        <f>VLOOKUP(B250,'BASE DE DATOS'!$A$5:$E$997,5,FALSE)</f>
        <v>88679</v>
      </c>
      <c r="G250" s="104">
        <f>1/25</f>
        <v>0.04</v>
      </c>
      <c r="H250" s="252">
        <f>IF(G250&gt;0,(G250*F250*E250),(F250*E250))</f>
        <v>3547.16</v>
      </c>
    </row>
    <row r="251" spans="1:9" ht="13.5" thickBot="1" x14ac:dyDescent="0.25">
      <c r="A251" s="85" t="s">
        <v>293</v>
      </c>
      <c r="B251" s="530" t="s">
        <v>269</v>
      </c>
      <c r="C251" s="88" t="s">
        <v>284</v>
      </c>
      <c r="D251" s="89" t="s">
        <v>586</v>
      </c>
      <c r="E251" s="193">
        <v>0.1</v>
      </c>
      <c r="F251" s="90">
        <f>H250</f>
        <v>3547.16</v>
      </c>
      <c r="G251" s="153">
        <v>0</v>
      </c>
      <c r="H251" s="255">
        <f>IF(G251&gt;0,(G251*F251*E251),(F251*E251))</f>
        <v>354.71600000000001</v>
      </c>
    </row>
    <row r="252" spans="1:9" s="407" customFormat="1" ht="15" x14ac:dyDescent="0.2">
      <c r="A252" s="458" t="s">
        <v>726</v>
      </c>
      <c r="B252" s="529"/>
      <c r="C252" s="388" t="s">
        <v>423</v>
      </c>
      <c r="D252" s="389" t="s">
        <v>405</v>
      </c>
      <c r="E252" s="390"/>
      <c r="F252" s="391">
        <f>ROUND(SUM(H252:H259),0)</f>
        <v>65390</v>
      </c>
      <c r="G252" s="392"/>
      <c r="H252" s="252"/>
      <c r="I252" s="33"/>
    </row>
    <row r="253" spans="1:9" x14ac:dyDescent="0.2">
      <c r="A253" s="936" t="s">
        <v>382</v>
      </c>
      <c r="B253" s="241" t="s">
        <v>1748</v>
      </c>
      <c r="C253" s="3" t="s">
        <v>2673</v>
      </c>
      <c r="D253" s="2" t="s">
        <v>406</v>
      </c>
      <c r="E253" s="114">
        <v>3.0000000000000001E-3</v>
      </c>
      <c r="F253" s="23">
        <f>VLOOKUP(B253,'BASE DE DATOS'!$A$5:$E$997,5,FALSE)</f>
        <v>10900</v>
      </c>
      <c r="G253" s="104">
        <v>0</v>
      </c>
      <c r="H253" s="252">
        <f t="shared" ref="H253:H259" si="12">IF(G253&gt;0,(G253*F253*E253),(F253*E253))</f>
        <v>32.700000000000003</v>
      </c>
    </row>
    <row r="254" spans="1:9" x14ac:dyDescent="0.2">
      <c r="A254" s="936"/>
      <c r="B254" s="241" t="s">
        <v>1418</v>
      </c>
      <c r="C254" s="3" t="s">
        <v>591</v>
      </c>
      <c r="D254" s="2" t="s">
        <v>411</v>
      </c>
      <c r="E254" s="114">
        <v>0.5</v>
      </c>
      <c r="F254" s="23">
        <f>VLOOKUP(B254,'BASE DE DATOS'!$A$5:$E$997,5,FALSE)</f>
        <v>5250</v>
      </c>
      <c r="G254" s="104">
        <v>1.03</v>
      </c>
      <c r="H254" s="252">
        <f t="shared" si="12"/>
        <v>2703.75</v>
      </c>
    </row>
    <row r="255" spans="1:9" s="33" customFormat="1" x14ac:dyDescent="0.2">
      <c r="A255" s="936"/>
      <c r="B255" s="241" t="s">
        <v>1558</v>
      </c>
      <c r="C255" s="3" t="s">
        <v>603</v>
      </c>
      <c r="D255" s="2" t="s">
        <v>590</v>
      </c>
      <c r="E255" s="114">
        <v>0.16700000000000001</v>
      </c>
      <c r="F255" s="23">
        <f>VLOOKUP(B255,'BASE DE DATOS'!$A$5:$E$997,5,FALSE)</f>
        <v>5650</v>
      </c>
      <c r="G255" s="104">
        <v>0</v>
      </c>
      <c r="H255" s="252">
        <f t="shared" si="12"/>
        <v>943.55000000000007</v>
      </c>
    </row>
    <row r="256" spans="1:9" ht="14.25" x14ac:dyDescent="0.2">
      <c r="A256" s="936"/>
      <c r="B256" s="244" t="s">
        <v>1787</v>
      </c>
      <c r="C256" s="20" t="s">
        <v>3159</v>
      </c>
      <c r="D256" s="2" t="s">
        <v>288</v>
      </c>
      <c r="E256" s="194">
        <v>2.4</v>
      </c>
      <c r="F256" s="23">
        <f>VLOOKUP(B256,'BASE DE DATOS'!$A$5:$E$997,5,FALSE)</f>
        <v>13767</v>
      </c>
      <c r="G256" s="58">
        <v>1.03</v>
      </c>
      <c r="H256" s="252">
        <f t="shared" si="12"/>
        <v>34032.023999999998</v>
      </c>
    </row>
    <row r="257" spans="1:9" x14ac:dyDescent="0.2">
      <c r="A257" s="936"/>
      <c r="B257" s="241" t="s">
        <v>1690</v>
      </c>
      <c r="C257" s="3" t="s">
        <v>2749</v>
      </c>
      <c r="D257" s="2" t="s">
        <v>405</v>
      </c>
      <c r="E257" s="114">
        <v>3.1</v>
      </c>
      <c r="F257" s="23">
        <f>VLOOKUP(B257,'BASE DE DATOS'!$A$5:$E$997,5,FALSE)</f>
        <v>1540</v>
      </c>
      <c r="G257" s="104">
        <v>1.03</v>
      </c>
      <c r="H257" s="252">
        <f t="shared" si="12"/>
        <v>4917.22</v>
      </c>
    </row>
    <row r="258" spans="1:9" x14ac:dyDescent="0.2">
      <c r="A258" s="81" t="s">
        <v>2555</v>
      </c>
      <c r="B258" s="241" t="s">
        <v>644</v>
      </c>
      <c r="C258" s="3" t="s">
        <v>645</v>
      </c>
      <c r="D258" s="2" t="s">
        <v>585</v>
      </c>
      <c r="E258" s="114">
        <v>1</v>
      </c>
      <c r="F258" s="23">
        <f>VLOOKUP(B258,'BASE DE DATOS'!$A$5:$E$997,5,FALSE)</f>
        <v>248302</v>
      </c>
      <c r="G258" s="104">
        <f>1/12</f>
        <v>8.3333333333333329E-2</v>
      </c>
      <c r="H258" s="252">
        <f t="shared" si="12"/>
        <v>20691.833333333332</v>
      </c>
    </row>
    <row r="259" spans="1:9" ht="13.5" thickBot="1" x14ac:dyDescent="0.25">
      <c r="A259" s="85" t="s">
        <v>293</v>
      </c>
      <c r="B259" s="530" t="s">
        <v>269</v>
      </c>
      <c r="C259" s="88" t="s">
        <v>284</v>
      </c>
      <c r="D259" s="89" t="s">
        <v>586</v>
      </c>
      <c r="E259" s="193">
        <v>0.1</v>
      </c>
      <c r="F259" s="90">
        <f>H258</f>
        <v>20691.833333333332</v>
      </c>
      <c r="G259" s="153">
        <v>0</v>
      </c>
      <c r="H259" s="255">
        <f t="shared" si="12"/>
        <v>2069.1833333333334</v>
      </c>
    </row>
    <row r="260" spans="1:9" s="42" customFormat="1" ht="17.25" x14ac:dyDescent="0.2">
      <c r="A260" s="458" t="s">
        <v>727</v>
      </c>
      <c r="B260" s="529"/>
      <c r="C260" s="388" t="s">
        <v>468</v>
      </c>
      <c r="D260" s="389" t="s">
        <v>3251</v>
      </c>
      <c r="E260" s="395"/>
      <c r="F260" s="391">
        <f>ROUND(SUM(H260:H266),0)</f>
        <v>60474</v>
      </c>
      <c r="G260" s="392"/>
      <c r="H260" s="252"/>
      <c r="I260" s="738"/>
    </row>
    <row r="261" spans="1:9" x14ac:dyDescent="0.2">
      <c r="A261" s="936" t="s">
        <v>382</v>
      </c>
      <c r="B261" s="241" t="s">
        <v>1367</v>
      </c>
      <c r="C261" s="3" t="s">
        <v>592</v>
      </c>
      <c r="D261" s="2" t="s">
        <v>405</v>
      </c>
      <c r="E261" s="114">
        <v>1</v>
      </c>
      <c r="F261" s="23">
        <f>VLOOKUP(B261,'BASE DE DATOS'!$A$5:$E$997,5,FALSE)</f>
        <v>6534</v>
      </c>
      <c r="G261" s="104">
        <v>1.03</v>
      </c>
      <c r="H261" s="252">
        <f t="shared" ref="H261:H266" si="13">IF(G261&gt;0,(G261*F261*E261),(F261*E261))</f>
        <v>6730.02</v>
      </c>
    </row>
    <row r="262" spans="1:9" x14ac:dyDescent="0.2">
      <c r="A262" s="936"/>
      <c r="B262" s="241" t="s">
        <v>1558</v>
      </c>
      <c r="C262" s="3" t="s">
        <v>2023</v>
      </c>
      <c r="D262" s="2" t="s">
        <v>590</v>
      </c>
      <c r="E262" s="114">
        <v>0.25</v>
      </c>
      <c r="F262" s="23">
        <f>VLOOKUP(B262,'BASE DE DATOS'!$A$5:$E$997,5,FALSE)</f>
        <v>5650</v>
      </c>
      <c r="G262" s="104">
        <v>0</v>
      </c>
      <c r="H262" s="252">
        <f t="shared" si="13"/>
        <v>1412.5</v>
      </c>
    </row>
    <row r="263" spans="1:9" x14ac:dyDescent="0.2">
      <c r="A263" s="936"/>
      <c r="B263" s="241" t="s">
        <v>1711</v>
      </c>
      <c r="C263" s="3" t="s">
        <v>632</v>
      </c>
      <c r="D263" s="2" t="s">
        <v>405</v>
      </c>
      <c r="E263" s="114">
        <v>4</v>
      </c>
      <c r="F263" s="23">
        <f>VLOOKUP(B263,'BASE DE DATOS'!$A$5:$E$997,5,FALSE)</f>
        <v>10991</v>
      </c>
      <c r="G263" s="104">
        <v>1.03</v>
      </c>
      <c r="H263" s="252">
        <f t="shared" si="13"/>
        <v>45282.92</v>
      </c>
    </row>
    <row r="264" spans="1:9" x14ac:dyDescent="0.2">
      <c r="A264" s="936"/>
      <c r="B264" s="241" t="s">
        <v>1690</v>
      </c>
      <c r="C264" s="3" t="s">
        <v>2749</v>
      </c>
      <c r="D264" s="2" t="s">
        <v>405</v>
      </c>
      <c r="E264" s="114">
        <v>1</v>
      </c>
      <c r="F264" s="23">
        <f>VLOOKUP(B264,'BASE DE DATOS'!$A$5:$E$997,5,FALSE)</f>
        <v>1540</v>
      </c>
      <c r="G264" s="104">
        <v>1.03</v>
      </c>
      <c r="H264" s="252">
        <f t="shared" si="13"/>
        <v>1586.2</v>
      </c>
    </row>
    <row r="265" spans="1:9" x14ac:dyDescent="0.2">
      <c r="A265" s="673" t="s">
        <v>2555</v>
      </c>
      <c r="B265" s="241" t="s">
        <v>644</v>
      </c>
      <c r="C265" s="3" t="s">
        <v>645</v>
      </c>
      <c r="D265" s="2" t="s">
        <v>585</v>
      </c>
      <c r="E265" s="114">
        <v>1</v>
      </c>
      <c r="F265" s="23">
        <f>VLOOKUP(B265,'BASE DE DATOS'!$A$5:$E$997,5,FALSE)</f>
        <v>248302</v>
      </c>
      <c r="G265" s="104">
        <f>1/50</f>
        <v>0.02</v>
      </c>
      <c r="H265" s="252">
        <f t="shared" si="13"/>
        <v>4966.04</v>
      </c>
    </row>
    <row r="266" spans="1:9" ht="13.5" thickBot="1" x14ac:dyDescent="0.25">
      <c r="A266" s="473" t="s">
        <v>293</v>
      </c>
      <c r="B266" s="528" t="s">
        <v>269</v>
      </c>
      <c r="C266" s="88" t="s">
        <v>284</v>
      </c>
      <c r="D266" s="89" t="s">
        <v>586</v>
      </c>
      <c r="E266" s="193">
        <v>0.1</v>
      </c>
      <c r="F266" s="90">
        <f>H265</f>
        <v>4966.04</v>
      </c>
      <c r="G266" s="153">
        <v>0</v>
      </c>
      <c r="H266" s="255">
        <f t="shared" si="13"/>
        <v>496.60400000000004</v>
      </c>
    </row>
    <row r="267" spans="1:9" s="42" customFormat="1" ht="17.25" x14ac:dyDescent="0.2">
      <c r="A267" s="458" t="s">
        <v>728</v>
      </c>
      <c r="B267" s="529"/>
      <c r="C267" s="388" t="s">
        <v>412</v>
      </c>
      <c r="D267" s="389" t="s">
        <v>3251</v>
      </c>
      <c r="E267" s="390"/>
      <c r="F267" s="391">
        <f>ROUND(SUM(H267:H273),0)</f>
        <v>88197</v>
      </c>
      <c r="G267" s="392"/>
      <c r="H267" s="252"/>
      <c r="I267" s="738"/>
    </row>
    <row r="268" spans="1:9" x14ac:dyDescent="0.2">
      <c r="A268" s="936" t="s">
        <v>382</v>
      </c>
      <c r="B268" s="241" t="s">
        <v>1367</v>
      </c>
      <c r="C268" s="3" t="s">
        <v>592</v>
      </c>
      <c r="D268" s="2" t="s">
        <v>405</v>
      </c>
      <c r="E268" s="196">
        <v>2</v>
      </c>
      <c r="F268" s="23">
        <f>VLOOKUP(B268,'BASE DE DATOS'!$A$5:$E$997,5,FALSE)</f>
        <v>6534</v>
      </c>
      <c r="G268" s="104">
        <v>0</v>
      </c>
      <c r="H268" s="252">
        <f t="shared" ref="H268:H273" si="14">IF(G268&gt;0,(G268*F268*E268),(F268*E268))</f>
        <v>13068</v>
      </c>
    </row>
    <row r="269" spans="1:9" x14ac:dyDescent="0.2">
      <c r="A269" s="936"/>
      <c r="B269" s="241" t="s">
        <v>1419</v>
      </c>
      <c r="C269" s="3" t="s">
        <v>3577</v>
      </c>
      <c r="D269" s="2" t="s">
        <v>411</v>
      </c>
      <c r="E269" s="196">
        <v>3</v>
      </c>
      <c r="F269" s="23">
        <f>VLOOKUP(B269,'BASE DE DATOS'!$A$5:$E$997,5,FALSE)</f>
        <v>11333.333333333334</v>
      </c>
      <c r="G269" s="104">
        <v>1</v>
      </c>
      <c r="H269" s="252">
        <f t="shared" si="14"/>
        <v>34000</v>
      </c>
    </row>
    <row r="270" spans="1:9" x14ac:dyDescent="0.2">
      <c r="A270" s="936"/>
      <c r="B270" s="241" t="s">
        <v>1558</v>
      </c>
      <c r="C270" s="3" t="s">
        <v>2023</v>
      </c>
      <c r="D270" s="2" t="s">
        <v>590</v>
      </c>
      <c r="E270" s="196">
        <v>0.5</v>
      </c>
      <c r="F270" s="23">
        <f>VLOOKUP(B270,'BASE DE DATOS'!$A$5:$E$997,5,FALSE)</f>
        <v>5650</v>
      </c>
      <c r="G270" s="104">
        <v>0</v>
      </c>
      <c r="H270" s="252">
        <f t="shared" si="14"/>
        <v>2825</v>
      </c>
    </row>
    <row r="271" spans="1:9" x14ac:dyDescent="0.2">
      <c r="A271" s="936"/>
      <c r="B271" s="241" t="s">
        <v>1711</v>
      </c>
      <c r="C271" s="3" t="s">
        <v>632</v>
      </c>
      <c r="D271" s="2" t="s">
        <v>405</v>
      </c>
      <c r="E271" s="196">
        <v>1</v>
      </c>
      <c r="F271" s="23">
        <f>VLOOKUP(B271,'BASE DE DATOS'!$A$5:$E$997,5,FALSE)</f>
        <v>10991</v>
      </c>
      <c r="G271" s="104">
        <v>0</v>
      </c>
      <c r="H271" s="252">
        <f t="shared" si="14"/>
        <v>10991</v>
      </c>
    </row>
    <row r="272" spans="1:9" x14ac:dyDescent="0.2">
      <c r="A272" s="81" t="s">
        <v>2555</v>
      </c>
      <c r="B272" s="241" t="s">
        <v>644</v>
      </c>
      <c r="C272" s="3" t="s">
        <v>645</v>
      </c>
      <c r="D272" s="2" t="s">
        <v>585</v>
      </c>
      <c r="E272" s="196">
        <v>1</v>
      </c>
      <c r="F272" s="23">
        <f>VLOOKUP(B272,'BASE DE DATOS'!$A$5:$E$997,5,FALSE)</f>
        <v>248302</v>
      </c>
      <c r="G272" s="104">
        <f>1/10</f>
        <v>0.1</v>
      </c>
      <c r="H272" s="252">
        <f t="shared" si="14"/>
        <v>24830.2</v>
      </c>
    </row>
    <row r="273" spans="1:9" ht="13.5" thickBot="1" x14ac:dyDescent="0.25">
      <c r="A273" s="85" t="s">
        <v>293</v>
      </c>
      <c r="B273" s="530" t="s">
        <v>269</v>
      </c>
      <c r="C273" s="88" t="s">
        <v>284</v>
      </c>
      <c r="D273" s="89" t="s">
        <v>586</v>
      </c>
      <c r="E273" s="197">
        <v>0.1</v>
      </c>
      <c r="F273" s="90">
        <f>H272</f>
        <v>24830.2</v>
      </c>
      <c r="G273" s="153">
        <v>0</v>
      </c>
      <c r="H273" s="255">
        <f t="shared" si="14"/>
        <v>2483.0200000000004</v>
      </c>
    </row>
    <row r="274" spans="1:9" s="42" customFormat="1" ht="27.75" customHeight="1" x14ac:dyDescent="0.2">
      <c r="A274" s="458" t="s">
        <v>729</v>
      </c>
      <c r="B274" s="529"/>
      <c r="C274" s="388" t="s">
        <v>1973</v>
      </c>
      <c r="D274" s="389" t="s">
        <v>405</v>
      </c>
      <c r="E274" s="395"/>
      <c r="F274" s="391">
        <f>ROUND(SUM(H274:H279),0)</f>
        <v>13132</v>
      </c>
      <c r="G274" s="392"/>
      <c r="H274" s="252"/>
      <c r="I274" s="738"/>
    </row>
    <row r="275" spans="1:9" x14ac:dyDescent="0.2">
      <c r="A275" s="936" t="s">
        <v>382</v>
      </c>
      <c r="B275" s="241" t="s">
        <v>1280</v>
      </c>
      <c r="C275" s="3" t="s">
        <v>335</v>
      </c>
      <c r="D275" s="2" t="s">
        <v>405</v>
      </c>
      <c r="E275" s="114">
        <v>0.3</v>
      </c>
      <c r="F275" s="23">
        <f>VLOOKUP(B275,'BASE DE DATOS'!$A$5:$E$997,5,FALSE)</f>
        <v>584</v>
      </c>
      <c r="G275" s="104">
        <v>0</v>
      </c>
      <c r="H275" s="252">
        <f>IF(G275&gt;0,(G275*F275*E275),(F275*E275))</f>
        <v>175.2</v>
      </c>
    </row>
    <row r="276" spans="1:9" x14ac:dyDescent="0.2">
      <c r="A276" s="936"/>
      <c r="B276" s="241" t="s">
        <v>1748</v>
      </c>
      <c r="C276" s="3" t="s">
        <v>2673</v>
      </c>
      <c r="D276" s="2" t="s">
        <v>406</v>
      </c>
      <c r="E276" s="196">
        <v>3.0000000000000001E-3</v>
      </c>
      <c r="F276" s="23">
        <f>VLOOKUP(B276,'BASE DE DATOS'!$A$5:$E$997,5,FALSE)</f>
        <v>10900</v>
      </c>
      <c r="G276" s="104">
        <v>1.03</v>
      </c>
      <c r="H276" s="252">
        <f>IF(G276&gt;0,(G276*F276*E276),(F276*E276))</f>
        <v>33.680999999999997</v>
      </c>
    </row>
    <row r="277" spans="1:9" x14ac:dyDescent="0.2">
      <c r="A277" s="936"/>
      <c r="B277" s="241" t="s">
        <v>1548</v>
      </c>
      <c r="C277" s="3" t="s">
        <v>3891</v>
      </c>
      <c r="D277" s="2" t="s">
        <v>411</v>
      </c>
      <c r="E277" s="196">
        <v>0.1</v>
      </c>
      <c r="F277" s="23">
        <f>VLOOKUP(B277,'BASE DE DATOS'!$A$5:$E$997,5,FALSE)</f>
        <v>48900</v>
      </c>
      <c r="G277" s="104">
        <v>0</v>
      </c>
      <c r="H277" s="252">
        <f>IF(G277&gt;0,(G277*F277*E277),(F277*E277))</f>
        <v>4890</v>
      </c>
    </row>
    <row r="278" spans="1:9" x14ac:dyDescent="0.2">
      <c r="A278" s="81" t="s">
        <v>2555</v>
      </c>
      <c r="B278" s="241" t="s">
        <v>644</v>
      </c>
      <c r="C278" s="3" t="s">
        <v>645</v>
      </c>
      <c r="D278" s="2" t="s">
        <v>585</v>
      </c>
      <c r="E278" s="196">
        <v>1</v>
      </c>
      <c r="F278" s="23">
        <f>VLOOKUP(B278,'BASE DE DATOS'!$A$5:$E$997,5,FALSE)</f>
        <v>248302</v>
      </c>
      <c r="G278" s="104">
        <f>1/34</f>
        <v>2.9411764705882353E-2</v>
      </c>
      <c r="H278" s="252">
        <f>IF(G278&gt;0,(G278*F278*E278),(F278*E278))</f>
        <v>7303</v>
      </c>
    </row>
    <row r="279" spans="1:9" s="33" customFormat="1" ht="13.5" thickBot="1" x14ac:dyDescent="0.25">
      <c r="A279" s="85" t="s">
        <v>293</v>
      </c>
      <c r="B279" s="530" t="s">
        <v>269</v>
      </c>
      <c r="C279" s="88" t="s">
        <v>284</v>
      </c>
      <c r="D279" s="89" t="s">
        <v>586</v>
      </c>
      <c r="E279" s="197">
        <v>0.1</v>
      </c>
      <c r="F279" s="90">
        <f>H278</f>
        <v>7303</v>
      </c>
      <c r="G279" s="153">
        <v>0</v>
      </c>
      <c r="H279" s="255">
        <f>IF(G279&gt;0,(G279*F279*E279),(F279*E279))</f>
        <v>730.30000000000007</v>
      </c>
    </row>
    <row r="280" spans="1:9" s="42" customFormat="1" ht="15" x14ac:dyDescent="0.2">
      <c r="A280" s="458" t="s">
        <v>730</v>
      </c>
      <c r="B280" s="565"/>
      <c r="C280" s="476" t="s">
        <v>2615</v>
      </c>
      <c r="D280" s="466" t="s">
        <v>1958</v>
      </c>
      <c r="E280" s="438"/>
      <c r="F280" s="391">
        <f>ROUND(SUM(H280:H282),0)</f>
        <v>4656</v>
      </c>
      <c r="G280" s="467"/>
      <c r="H280" s="252"/>
      <c r="I280" s="738"/>
    </row>
    <row r="281" spans="1:9" x14ac:dyDescent="0.2">
      <c r="A281" s="185" t="s">
        <v>2555</v>
      </c>
      <c r="B281" s="241" t="s">
        <v>583</v>
      </c>
      <c r="C281" s="3" t="s">
        <v>584</v>
      </c>
      <c r="D281" s="2" t="s">
        <v>585</v>
      </c>
      <c r="E281" s="114">
        <v>1</v>
      </c>
      <c r="F281" s="23">
        <f>VLOOKUP(B281,'BASE DE DATOS'!$A$5:$E$997,5,FALSE)</f>
        <v>88679</v>
      </c>
      <c r="G281" s="187">
        <f>1/20</f>
        <v>0.05</v>
      </c>
      <c r="H281" s="252">
        <f>IF(G281&gt;0,(G281*F281*E281),(F281*E281))</f>
        <v>4433.95</v>
      </c>
    </row>
    <row r="282" spans="1:9" ht="13.5" thickBot="1" x14ac:dyDescent="0.25">
      <c r="A282" s="186" t="s">
        <v>293</v>
      </c>
      <c r="B282" s="530" t="s">
        <v>269</v>
      </c>
      <c r="C282" s="88" t="s">
        <v>284</v>
      </c>
      <c r="D282" s="89" t="s">
        <v>586</v>
      </c>
      <c r="E282" s="200">
        <v>0.05</v>
      </c>
      <c r="F282" s="110">
        <f>H281</f>
        <v>4433.95</v>
      </c>
      <c r="G282" s="156">
        <v>0</v>
      </c>
      <c r="H282" s="255">
        <f>IF(G282&gt;0,(G282*F282*E282),(F282*E282))</f>
        <v>221.69749999999999</v>
      </c>
    </row>
    <row r="283" spans="1:9" s="42" customFormat="1" ht="30" x14ac:dyDescent="0.2">
      <c r="A283" s="458" t="s">
        <v>731</v>
      </c>
      <c r="B283" s="558"/>
      <c r="C283" s="408" t="s">
        <v>2618</v>
      </c>
      <c r="D283" s="389" t="s">
        <v>3251</v>
      </c>
      <c r="E283" s="436"/>
      <c r="F283" s="405">
        <f>ROUND(SUM(H283:H289),0)</f>
        <v>9545</v>
      </c>
      <c r="G283" s="411"/>
      <c r="H283" s="252"/>
      <c r="I283" s="738"/>
    </row>
    <row r="284" spans="1:9" s="33" customFormat="1" x14ac:dyDescent="0.2">
      <c r="A284" s="936" t="s">
        <v>382</v>
      </c>
      <c r="B284" s="241" t="s">
        <v>1279</v>
      </c>
      <c r="C284" s="3" t="s">
        <v>349</v>
      </c>
      <c r="D284" s="2" t="s">
        <v>617</v>
      </c>
      <c r="E284" s="196">
        <v>10</v>
      </c>
      <c r="F284" s="23">
        <f>VLOOKUP(B284,'BASE DE DATOS'!$A$5:$E$997,5,FALSE)</f>
        <v>19</v>
      </c>
      <c r="G284" s="104">
        <v>1.03</v>
      </c>
      <c r="H284" s="252">
        <f t="shared" ref="H284:H289" si="15">IF(G284&gt;0,(G284*F284*E284),(F284*E284))</f>
        <v>195.7</v>
      </c>
    </row>
    <row r="285" spans="1:9" x14ac:dyDescent="0.2">
      <c r="A285" s="936"/>
      <c r="B285" s="241" t="s">
        <v>2547</v>
      </c>
      <c r="C285" s="3" t="s">
        <v>1089</v>
      </c>
      <c r="D285" s="2" t="s">
        <v>406</v>
      </c>
      <c r="E285" s="196">
        <v>0.1</v>
      </c>
      <c r="F285" s="23">
        <f>VLOOKUP(B285,'BASE DE DATOS'!$A$5:$E$997,5,FALSE)</f>
        <v>10283.333333333334</v>
      </c>
      <c r="G285" s="104">
        <v>1.03</v>
      </c>
      <c r="H285" s="252">
        <f t="shared" si="15"/>
        <v>1059.1833333333334</v>
      </c>
    </row>
    <row r="286" spans="1:9" x14ac:dyDescent="0.2">
      <c r="A286" s="936"/>
      <c r="B286" s="241" t="s">
        <v>2616</v>
      </c>
      <c r="C286" s="3" t="s">
        <v>2617</v>
      </c>
      <c r="D286" s="12" t="s">
        <v>97</v>
      </c>
      <c r="E286" s="196">
        <v>74</v>
      </c>
      <c r="F286" s="23">
        <f>VLOOKUP(B286,'BASE DE DATOS'!$A$5:$E$997,5,FALSE)</f>
        <v>44</v>
      </c>
      <c r="G286" s="104">
        <v>1.03</v>
      </c>
      <c r="H286" s="252">
        <f t="shared" si="15"/>
        <v>3353.68</v>
      </c>
    </row>
    <row r="287" spans="1:9" x14ac:dyDescent="0.2">
      <c r="A287" s="936"/>
      <c r="B287" s="241" t="s">
        <v>2548</v>
      </c>
      <c r="C287" s="3" t="s">
        <v>1090</v>
      </c>
      <c r="D287" s="2" t="s">
        <v>617</v>
      </c>
      <c r="E287" s="196">
        <v>0.05</v>
      </c>
      <c r="F287" s="23">
        <f>VLOOKUP(B287,'BASE DE DATOS'!$A$5:$E$997,5,FALSE)</f>
        <v>5500</v>
      </c>
      <c r="G287" s="104">
        <v>1.02</v>
      </c>
      <c r="H287" s="252">
        <f t="shared" si="15"/>
        <v>280.5</v>
      </c>
    </row>
    <row r="288" spans="1:9" x14ac:dyDescent="0.2">
      <c r="A288" s="185" t="s">
        <v>2555</v>
      </c>
      <c r="B288" s="241" t="s">
        <v>583</v>
      </c>
      <c r="C288" s="3" t="s">
        <v>584</v>
      </c>
      <c r="D288" s="136" t="s">
        <v>585</v>
      </c>
      <c r="E288" s="196">
        <v>1</v>
      </c>
      <c r="F288" s="23">
        <f>VLOOKUP(B288,'BASE DE DATOS'!$A$5:$E$997,5,FALSE)</f>
        <v>88679</v>
      </c>
      <c r="G288" s="104">
        <f>1/20</f>
        <v>0.05</v>
      </c>
      <c r="H288" s="252">
        <f t="shared" si="15"/>
        <v>4433.95</v>
      </c>
    </row>
    <row r="289" spans="1:9" ht="13.5" thickBot="1" x14ac:dyDescent="0.25">
      <c r="A289" s="186" t="s">
        <v>293</v>
      </c>
      <c r="B289" s="530" t="s">
        <v>269</v>
      </c>
      <c r="C289" s="88" t="s">
        <v>284</v>
      </c>
      <c r="D289" s="89" t="s">
        <v>586</v>
      </c>
      <c r="E289" s="203">
        <v>0.05</v>
      </c>
      <c r="F289" s="90">
        <f>H288</f>
        <v>4433.95</v>
      </c>
      <c r="G289" s="153">
        <v>0</v>
      </c>
      <c r="H289" s="255">
        <f t="shared" si="15"/>
        <v>221.69749999999999</v>
      </c>
    </row>
    <row r="290" spans="1:9" s="42" customFormat="1" ht="30" x14ac:dyDescent="0.2">
      <c r="A290" s="458" t="s">
        <v>4036</v>
      </c>
      <c r="B290" s="558"/>
      <c r="C290" s="408" t="s">
        <v>2620</v>
      </c>
      <c r="D290" s="389" t="s">
        <v>3251</v>
      </c>
      <c r="E290" s="436"/>
      <c r="F290" s="405">
        <f>ROUND(SUM(H290:H294),0)</f>
        <v>2652</v>
      </c>
      <c r="G290" s="411"/>
      <c r="H290" s="252"/>
      <c r="I290" s="738">
        <v>30</v>
      </c>
    </row>
    <row r="291" spans="1:9" s="33" customFormat="1" x14ac:dyDescent="0.2">
      <c r="A291" s="936" t="s">
        <v>382</v>
      </c>
      <c r="B291" s="241" t="s">
        <v>1279</v>
      </c>
      <c r="C291" s="3" t="s">
        <v>349</v>
      </c>
      <c r="D291" s="2" t="s">
        <v>617</v>
      </c>
      <c r="E291" s="196">
        <v>10</v>
      </c>
      <c r="F291" s="23">
        <f>VLOOKUP(B291,'BASE DE DATOS'!$A$5:$E$997,5,FALSE)</f>
        <v>19</v>
      </c>
      <c r="G291" s="104">
        <v>1.03</v>
      </c>
      <c r="H291" s="252">
        <f>IF(G291&gt;0,(G291*F291*E291),(F291*E291))</f>
        <v>195.7</v>
      </c>
    </row>
    <row r="292" spans="1:9" x14ac:dyDescent="0.2">
      <c r="A292" s="936"/>
      <c r="B292" s="241" t="s">
        <v>2547</v>
      </c>
      <c r="C292" s="3" t="s">
        <v>1089</v>
      </c>
      <c r="D292" s="2" t="s">
        <v>406</v>
      </c>
      <c r="E292" s="196">
        <v>0.1</v>
      </c>
      <c r="F292" s="23">
        <f>VLOOKUP(B292,'BASE DE DATOS'!$A$5:$E$997,5,FALSE)</f>
        <v>10283.333333333334</v>
      </c>
      <c r="G292" s="104">
        <v>1.03</v>
      </c>
      <c r="H292" s="252">
        <f>IF(G292&gt;0,(G292*F292*E292),(F292*E292))</f>
        <v>1059.1833333333334</v>
      </c>
    </row>
    <row r="293" spans="1:9" x14ac:dyDescent="0.2">
      <c r="A293" s="793" t="s">
        <v>2555</v>
      </c>
      <c r="B293" s="241" t="s">
        <v>583</v>
      </c>
      <c r="C293" s="3" t="s">
        <v>584</v>
      </c>
      <c r="D293" s="136" t="s">
        <v>585</v>
      </c>
      <c r="E293" s="196">
        <v>1</v>
      </c>
      <c r="F293" s="23">
        <f>VLOOKUP(B293,'BASE DE DATOS'!$A$5:$E$997,5,FALSE)</f>
        <v>88679</v>
      </c>
      <c r="G293" s="104">
        <f>1/66.66667</f>
        <v>1.4999999250000038E-2</v>
      </c>
      <c r="H293" s="252">
        <f>IF(G293&gt;0,(G293*F293*E293),(F293*E293))</f>
        <v>1330.1849334907533</v>
      </c>
    </row>
    <row r="294" spans="1:9" ht="13.5" thickBot="1" x14ac:dyDescent="0.25">
      <c r="A294" s="792" t="s">
        <v>293</v>
      </c>
      <c r="B294" s="530" t="s">
        <v>269</v>
      </c>
      <c r="C294" s="88" t="s">
        <v>284</v>
      </c>
      <c r="D294" s="89" t="s">
        <v>586</v>
      </c>
      <c r="E294" s="197">
        <v>0.05</v>
      </c>
      <c r="F294" s="90">
        <f>H293</f>
        <v>1330.1849334907533</v>
      </c>
      <c r="G294" s="153">
        <v>0</v>
      </c>
      <c r="H294" s="255">
        <f>IF(G294&gt;0,(G294*F294*E294),(F294*E294))</f>
        <v>66.509246674537664</v>
      </c>
    </row>
    <row r="295" spans="1:9" ht="15.75" thickBot="1" x14ac:dyDescent="0.25">
      <c r="A295" s="956" t="s">
        <v>3280</v>
      </c>
      <c r="B295" s="957"/>
      <c r="C295" s="957"/>
      <c r="D295" s="957"/>
      <c r="E295" s="957"/>
      <c r="F295" s="958"/>
      <c r="G295" s="957"/>
      <c r="H295" s="959"/>
    </row>
    <row r="296" spans="1:9" ht="45.75" thickBot="1" x14ac:dyDescent="0.25">
      <c r="A296" s="72" t="s">
        <v>2044</v>
      </c>
      <c r="B296" s="72" t="s">
        <v>265</v>
      </c>
      <c r="C296" s="72" t="s">
        <v>402</v>
      </c>
      <c r="D296" s="354" t="s">
        <v>346</v>
      </c>
      <c r="E296" s="192" t="s">
        <v>2173</v>
      </c>
      <c r="F296" s="162" t="s">
        <v>3165</v>
      </c>
      <c r="G296" s="290" t="s">
        <v>281</v>
      </c>
      <c r="H296" s="74" t="s">
        <v>3164</v>
      </c>
    </row>
    <row r="297" spans="1:9" s="42" customFormat="1" ht="15" x14ac:dyDescent="0.2">
      <c r="A297" s="458" t="s">
        <v>732</v>
      </c>
      <c r="B297" s="527"/>
      <c r="C297" s="465" t="s">
        <v>435</v>
      </c>
      <c r="D297" s="396" t="s">
        <v>405</v>
      </c>
      <c r="E297" s="395"/>
      <c r="F297" s="391">
        <f>ROUND(SUM(H297:H299),0)</f>
        <v>4830</v>
      </c>
      <c r="G297" s="392"/>
      <c r="H297" s="393"/>
      <c r="I297" s="738"/>
    </row>
    <row r="298" spans="1:9" s="33" customFormat="1" x14ac:dyDescent="0.2">
      <c r="A298" s="81" t="s">
        <v>2555</v>
      </c>
      <c r="B298" s="241" t="s">
        <v>599</v>
      </c>
      <c r="C298" s="3" t="s">
        <v>600</v>
      </c>
      <c r="D298" s="2" t="s">
        <v>585</v>
      </c>
      <c r="E298" s="196">
        <v>1</v>
      </c>
      <c r="F298" s="23">
        <f>VLOOKUP(B298,'BASE DE DATOS'!$A$5:$E$997,5,FALSE)</f>
        <v>159623</v>
      </c>
      <c r="G298" s="104">
        <f>1/50</f>
        <v>0.02</v>
      </c>
      <c r="H298" s="252">
        <f>IF(G298&gt;0,(G298*F298*E298),(F298*E298))</f>
        <v>3192.46</v>
      </c>
    </row>
    <row r="299" spans="1:9" ht="13.5" thickBot="1" x14ac:dyDescent="0.25">
      <c r="A299" s="85" t="s">
        <v>293</v>
      </c>
      <c r="B299" s="530" t="s">
        <v>656</v>
      </c>
      <c r="C299" s="141" t="s">
        <v>1251</v>
      </c>
      <c r="D299" s="139" t="s">
        <v>585</v>
      </c>
      <c r="E299" s="197">
        <v>1</v>
      </c>
      <c r="F299" s="90">
        <f>VLOOKUP(B299,'BASE DE DATOS'!$A$5:$E$997,5,FALSE)</f>
        <v>65500</v>
      </c>
      <c r="G299" s="153">
        <f>1/40</f>
        <v>2.5000000000000001E-2</v>
      </c>
      <c r="H299" s="255">
        <f>IF(G299&gt;0,(G299*F299*E299),(F299*E299))</f>
        <v>1637.5</v>
      </c>
    </row>
    <row r="300" spans="1:9" s="42" customFormat="1" ht="15" x14ac:dyDescent="0.2">
      <c r="A300" s="458" t="s">
        <v>733</v>
      </c>
      <c r="B300" s="565"/>
      <c r="C300" s="388" t="s">
        <v>434</v>
      </c>
      <c r="D300" s="389" t="s">
        <v>405</v>
      </c>
      <c r="E300" s="390"/>
      <c r="F300" s="391">
        <f>ROUND(SUM(H300:H304),0)</f>
        <v>12852</v>
      </c>
      <c r="G300" s="392"/>
      <c r="H300" s="252"/>
      <c r="I300" s="738"/>
    </row>
    <row r="301" spans="1:9" x14ac:dyDescent="0.2">
      <c r="A301" s="81" t="s">
        <v>2555</v>
      </c>
      <c r="B301" s="241" t="s">
        <v>599</v>
      </c>
      <c r="C301" s="3" t="s">
        <v>600</v>
      </c>
      <c r="D301" s="2" t="s">
        <v>585</v>
      </c>
      <c r="E301" s="114">
        <v>1</v>
      </c>
      <c r="F301" s="23">
        <f>VLOOKUP(B301,'BASE DE DATOS'!$A$5:$E$997,5,FALSE)</f>
        <v>159623</v>
      </c>
      <c r="G301" s="104">
        <f>1/20</f>
        <v>0.05</v>
      </c>
      <c r="H301" s="252">
        <f>IF(G301&gt;0,(G301*F301*E301),(F301*E301))</f>
        <v>7981.1500000000005</v>
      </c>
    </row>
    <row r="302" spans="1:9" x14ac:dyDescent="0.2">
      <c r="A302" s="937" t="s">
        <v>293</v>
      </c>
      <c r="B302" s="241" t="s">
        <v>598</v>
      </c>
      <c r="C302" s="218" t="s">
        <v>3362</v>
      </c>
      <c r="D302" s="219" t="s">
        <v>586</v>
      </c>
      <c r="E302" s="114">
        <v>0.1</v>
      </c>
      <c r="F302" s="220">
        <f>H301</f>
        <v>7981.1500000000005</v>
      </c>
      <c r="G302" s="187">
        <v>0</v>
      </c>
      <c r="H302" s="252">
        <f>IF(G302&gt;0,(G302*F302*E302),(F302*E302))</f>
        <v>798.11500000000012</v>
      </c>
    </row>
    <row r="303" spans="1:9" x14ac:dyDescent="0.2">
      <c r="A303" s="937"/>
      <c r="B303" s="241" t="s">
        <v>656</v>
      </c>
      <c r="C303" s="218" t="s">
        <v>1251</v>
      </c>
      <c r="D303" s="219" t="s">
        <v>585</v>
      </c>
      <c r="E303" s="114">
        <v>1</v>
      </c>
      <c r="F303" s="220">
        <f>VLOOKUP(B303,'BASE DE DATOS'!$A$5:$E$997,5,FALSE)</f>
        <v>65500</v>
      </c>
      <c r="G303" s="187">
        <f>1/20</f>
        <v>0.05</v>
      </c>
      <c r="H303" s="252">
        <f>IF(G303&gt;0,(G303*F303*E303),(F303*E303))</f>
        <v>3275</v>
      </c>
    </row>
    <row r="304" spans="1:9" s="33" customFormat="1" ht="13.5" thickBot="1" x14ac:dyDescent="0.25">
      <c r="A304" s="938"/>
      <c r="B304" s="528" t="s">
        <v>269</v>
      </c>
      <c r="C304" s="88" t="s">
        <v>284</v>
      </c>
      <c r="D304" s="89" t="s">
        <v>586</v>
      </c>
      <c r="E304" s="193">
        <v>0.1</v>
      </c>
      <c r="F304" s="90">
        <f>H301</f>
        <v>7981.1500000000005</v>
      </c>
      <c r="G304" s="153">
        <v>0</v>
      </c>
      <c r="H304" s="255">
        <f>IF(G304&gt;0,(G304*F304*E304),(F304*E304))</f>
        <v>798.11500000000012</v>
      </c>
    </row>
    <row r="305" spans="1:9" s="42" customFormat="1" ht="15" x14ac:dyDescent="0.2">
      <c r="A305" s="458" t="s">
        <v>734</v>
      </c>
      <c r="B305" s="525"/>
      <c r="C305" s="399" t="s">
        <v>2473</v>
      </c>
      <c r="D305" s="326" t="s">
        <v>405</v>
      </c>
      <c r="E305" s="414"/>
      <c r="F305" s="401">
        <f>ROUND(SUM(H305:H309),0)</f>
        <v>6211</v>
      </c>
      <c r="G305" s="402"/>
      <c r="H305" s="252"/>
      <c r="I305" s="738"/>
    </row>
    <row r="306" spans="1:9" x14ac:dyDescent="0.2">
      <c r="A306" s="936" t="s">
        <v>382</v>
      </c>
      <c r="B306" s="244" t="s">
        <v>1279</v>
      </c>
      <c r="C306" s="102" t="s">
        <v>349</v>
      </c>
      <c r="D306" s="138" t="s">
        <v>617</v>
      </c>
      <c r="E306" s="194">
        <v>1</v>
      </c>
      <c r="F306" s="23">
        <f>VLOOKUP(B306,'BASE DE DATOS'!$A$5:$E$997,5,FALSE)</f>
        <v>19</v>
      </c>
      <c r="G306" s="58">
        <f>1</f>
        <v>1</v>
      </c>
      <c r="H306" s="252">
        <f>IF(G306&gt;0,(G306*F306*E306),(F306*E306))</f>
        <v>19</v>
      </c>
    </row>
    <row r="307" spans="1:9" x14ac:dyDescent="0.2">
      <c r="A307" s="936"/>
      <c r="B307" s="244" t="s">
        <v>1403</v>
      </c>
      <c r="C307" s="102" t="s">
        <v>53</v>
      </c>
      <c r="D307" s="138" t="s">
        <v>642</v>
      </c>
      <c r="E307" s="194">
        <v>1</v>
      </c>
      <c r="F307" s="23">
        <f>VLOOKUP(B307,'BASE DE DATOS'!$A$5:$E$997,5,FALSE)</f>
        <v>16241</v>
      </c>
      <c r="G307" s="58">
        <f>1/70</f>
        <v>1.4285714285714285E-2</v>
      </c>
      <c r="H307" s="252">
        <f>IF(G307&gt;0,(G307*F307*E307),(F307*E307))</f>
        <v>232.01428571428571</v>
      </c>
    </row>
    <row r="308" spans="1:9" x14ac:dyDescent="0.2">
      <c r="A308" s="91" t="s">
        <v>2555</v>
      </c>
      <c r="B308" s="244" t="s">
        <v>331</v>
      </c>
      <c r="C308" s="102" t="s">
        <v>332</v>
      </c>
      <c r="D308" s="138" t="s">
        <v>585</v>
      </c>
      <c r="E308" s="194">
        <v>1</v>
      </c>
      <c r="F308" s="23">
        <f>VLOOKUP(B308,'BASE DE DATOS'!$A$5:$E$997,5,FALSE)</f>
        <v>124151</v>
      </c>
      <c r="G308" s="58">
        <f>1/55</f>
        <v>1.8181818181818181E-2</v>
      </c>
      <c r="H308" s="252">
        <f>IF(G308&gt;0,(G308*F308*E308),(F308*E308))</f>
        <v>2257.2909090909088</v>
      </c>
    </row>
    <row r="309" spans="1:9" s="9" customFormat="1" ht="13.5" thickBot="1" x14ac:dyDescent="0.25">
      <c r="A309" s="85" t="s">
        <v>293</v>
      </c>
      <c r="B309" s="530" t="s">
        <v>647</v>
      </c>
      <c r="C309" s="141" t="s">
        <v>1252</v>
      </c>
      <c r="D309" s="139" t="s">
        <v>585</v>
      </c>
      <c r="E309" s="193">
        <v>1</v>
      </c>
      <c r="F309" s="90">
        <f>VLOOKUP(B309,'BASE DE DATOS'!$A$5:$E$997,5,FALSE)</f>
        <v>166600</v>
      </c>
      <c r="G309" s="153">
        <f>1/45</f>
        <v>2.2222222222222223E-2</v>
      </c>
      <c r="H309" s="255">
        <f>IF(G309&gt;0,(G309*F309*E309),(F309*E309))</f>
        <v>3702.2222222222222</v>
      </c>
    </row>
    <row r="310" spans="1:9" s="42" customFormat="1" ht="17.25" x14ac:dyDescent="0.2">
      <c r="A310" s="458" t="s">
        <v>735</v>
      </c>
      <c r="B310" s="526"/>
      <c r="C310" s="399" t="s">
        <v>447</v>
      </c>
      <c r="D310" s="326" t="s">
        <v>3225</v>
      </c>
      <c r="E310" s="400"/>
      <c r="F310" s="401">
        <f>ROUND(SUM(H310:H313),0)</f>
        <v>260821</v>
      </c>
      <c r="G310" s="402"/>
      <c r="H310" s="252"/>
      <c r="I310" s="738"/>
    </row>
    <row r="311" spans="1:9" x14ac:dyDescent="0.2">
      <c r="A311" s="947" t="s">
        <v>2555</v>
      </c>
      <c r="B311" s="244" t="s">
        <v>596</v>
      </c>
      <c r="C311" s="20" t="s">
        <v>597</v>
      </c>
      <c r="D311" s="19" t="s">
        <v>585</v>
      </c>
      <c r="E311" s="194">
        <v>1</v>
      </c>
      <c r="F311" s="23">
        <f>VLOOKUP(B311,'BASE DE DATOS'!$A$5:$E$997,5,FALSE)</f>
        <v>354716</v>
      </c>
      <c r="G311" s="58">
        <f>1/1.7</f>
        <v>0.58823529411764708</v>
      </c>
      <c r="H311" s="252">
        <f>IF(G311&gt;0,(G311*F311*E311),(F311*E311))</f>
        <v>208656.4705882353</v>
      </c>
    </row>
    <row r="312" spans="1:9" x14ac:dyDescent="0.2">
      <c r="A312" s="947"/>
      <c r="B312" s="244" t="s">
        <v>266</v>
      </c>
      <c r="C312" s="20" t="s">
        <v>283</v>
      </c>
      <c r="D312" s="19" t="s">
        <v>586</v>
      </c>
      <c r="E312" s="194">
        <v>0.1</v>
      </c>
      <c r="F312" s="23">
        <f>H311</f>
        <v>208656.4705882353</v>
      </c>
      <c r="G312" s="58">
        <v>0</v>
      </c>
      <c r="H312" s="252">
        <f>IF(G312&gt;0,(G312*F312*E312),(F312*E312))</f>
        <v>20865.647058823532</v>
      </c>
    </row>
    <row r="313" spans="1:9" ht="13.5" thickBot="1" x14ac:dyDescent="0.25">
      <c r="A313" s="85" t="s">
        <v>293</v>
      </c>
      <c r="B313" s="531" t="s">
        <v>269</v>
      </c>
      <c r="C313" s="70" t="s">
        <v>284</v>
      </c>
      <c r="D313" s="49" t="s">
        <v>586</v>
      </c>
      <c r="E313" s="195">
        <v>0.15</v>
      </c>
      <c r="F313" s="100">
        <f>H311</f>
        <v>208656.4705882353</v>
      </c>
      <c r="G313" s="154">
        <v>0</v>
      </c>
      <c r="H313" s="255">
        <f>IF(G313&gt;0,(G313*F313*E313),(F313*E313))</f>
        <v>31298.470588235294</v>
      </c>
    </row>
    <row r="314" spans="1:9" s="407" customFormat="1" ht="17.25" x14ac:dyDescent="0.2">
      <c r="A314" s="458" t="s">
        <v>736</v>
      </c>
      <c r="B314" s="526"/>
      <c r="C314" s="399" t="s">
        <v>448</v>
      </c>
      <c r="D314" s="326" t="s">
        <v>3225</v>
      </c>
      <c r="E314" s="400"/>
      <c r="F314" s="401">
        <f>ROUND(SUM(H314:H317),0)</f>
        <v>246331</v>
      </c>
      <c r="G314" s="402"/>
      <c r="H314" s="252"/>
      <c r="I314" s="33"/>
    </row>
    <row r="315" spans="1:9" x14ac:dyDescent="0.2">
      <c r="A315" s="947" t="s">
        <v>2555</v>
      </c>
      <c r="B315" s="244" t="s">
        <v>596</v>
      </c>
      <c r="C315" s="20" t="s">
        <v>597</v>
      </c>
      <c r="D315" s="19" t="s">
        <v>585</v>
      </c>
      <c r="E315" s="194">
        <v>1</v>
      </c>
      <c r="F315" s="23">
        <f>VLOOKUP(B315,'BASE DE DATOS'!$A$5:$E$997,5,FALSE)</f>
        <v>354716</v>
      </c>
      <c r="G315" s="58">
        <f>1/1.8</f>
        <v>0.55555555555555558</v>
      </c>
      <c r="H315" s="252">
        <f>IF(G315&gt;0,(G315*F315*E315),(F315*E315))</f>
        <v>197064.44444444447</v>
      </c>
    </row>
    <row r="316" spans="1:9" x14ac:dyDescent="0.2">
      <c r="A316" s="947"/>
      <c r="B316" s="244" t="s">
        <v>266</v>
      </c>
      <c r="C316" s="20" t="s">
        <v>283</v>
      </c>
      <c r="D316" s="19" t="s">
        <v>586</v>
      </c>
      <c r="E316" s="194">
        <v>0.1</v>
      </c>
      <c r="F316" s="23">
        <f>H315</f>
        <v>197064.44444444447</v>
      </c>
      <c r="G316" s="58">
        <v>0</v>
      </c>
      <c r="H316" s="252">
        <f>IF(G316&gt;0,(G316*F316*E316),(F316*E316))</f>
        <v>19706.444444444449</v>
      </c>
    </row>
    <row r="317" spans="1:9" ht="13.5" thickBot="1" x14ac:dyDescent="0.25">
      <c r="A317" s="85" t="s">
        <v>293</v>
      </c>
      <c r="B317" s="531" t="s">
        <v>269</v>
      </c>
      <c r="C317" s="70" t="s">
        <v>284</v>
      </c>
      <c r="D317" s="49" t="s">
        <v>586</v>
      </c>
      <c r="E317" s="195">
        <v>0.15</v>
      </c>
      <c r="F317" s="100">
        <f>H315</f>
        <v>197064.44444444447</v>
      </c>
      <c r="G317" s="154">
        <v>0</v>
      </c>
      <c r="H317" s="255">
        <f>IF(G317&gt;0,(G317*F317*E317),(F317*E317))</f>
        <v>29559.666666666668</v>
      </c>
    </row>
    <row r="318" spans="1:9" s="42" customFormat="1" ht="15" x14ac:dyDescent="0.2">
      <c r="A318" s="458" t="s">
        <v>737</v>
      </c>
      <c r="B318" s="526"/>
      <c r="C318" s="399" t="s">
        <v>3536</v>
      </c>
      <c r="D318" s="326" t="s">
        <v>405</v>
      </c>
      <c r="E318" s="414"/>
      <c r="F318" s="401">
        <f>ROUND(SUM(H318:H321),0)</f>
        <v>7094</v>
      </c>
      <c r="G318" s="402"/>
      <c r="H318" s="252"/>
      <c r="I318" s="738"/>
    </row>
    <row r="319" spans="1:9" x14ac:dyDescent="0.2">
      <c r="A319" s="947" t="s">
        <v>2555</v>
      </c>
      <c r="B319" s="244" t="s">
        <v>596</v>
      </c>
      <c r="C319" s="20" t="s">
        <v>597</v>
      </c>
      <c r="D319" s="19" t="s">
        <v>585</v>
      </c>
      <c r="E319" s="194">
        <v>1</v>
      </c>
      <c r="F319" s="23">
        <f>VLOOKUP(B319,'BASE DE DATOS'!$A$5:$E$997,5,FALSE)</f>
        <v>354716</v>
      </c>
      <c r="G319" s="58">
        <f>1/60</f>
        <v>1.6666666666666666E-2</v>
      </c>
      <c r="H319" s="252">
        <f>IF(G319&gt;0,(G319*F319*E319),(F319*E319))</f>
        <v>5911.9333333333334</v>
      </c>
    </row>
    <row r="320" spans="1:9" x14ac:dyDescent="0.2">
      <c r="A320" s="947"/>
      <c r="B320" s="244" t="s">
        <v>266</v>
      </c>
      <c r="C320" s="20" t="s">
        <v>283</v>
      </c>
      <c r="D320" s="19" t="s">
        <v>586</v>
      </c>
      <c r="E320" s="194">
        <v>0.1</v>
      </c>
      <c r="F320" s="23">
        <f>+H319</f>
        <v>5911.9333333333334</v>
      </c>
      <c r="G320" s="58">
        <v>0</v>
      </c>
      <c r="H320" s="252">
        <f>IF(G320&gt;0,(G320*F320*E320),(F320*E320))</f>
        <v>591.19333333333338</v>
      </c>
    </row>
    <row r="321" spans="1:9" s="9" customFormat="1" ht="13.5" thickBot="1" x14ac:dyDescent="0.25">
      <c r="A321" s="85" t="s">
        <v>293</v>
      </c>
      <c r="B321" s="531" t="s">
        <v>269</v>
      </c>
      <c r="C321" s="70" t="s">
        <v>284</v>
      </c>
      <c r="D321" s="49" t="s">
        <v>586</v>
      </c>
      <c r="E321" s="195">
        <v>0.1</v>
      </c>
      <c r="F321" s="100">
        <f>H319</f>
        <v>5911.9333333333334</v>
      </c>
      <c r="G321" s="154">
        <v>0</v>
      </c>
      <c r="H321" s="255">
        <f>IF(G321&gt;0,(G321*F321*E321),(F321*E321))</f>
        <v>591.19333333333338</v>
      </c>
    </row>
    <row r="322" spans="1:9" s="463" customFormat="1" ht="17.25" x14ac:dyDescent="0.2">
      <c r="A322" s="458" t="s">
        <v>738</v>
      </c>
      <c r="B322" s="526"/>
      <c r="C322" s="399" t="s">
        <v>438</v>
      </c>
      <c r="D322" s="326" t="s">
        <v>3251</v>
      </c>
      <c r="E322" s="400"/>
      <c r="F322" s="401">
        <f>ROUND(SUM(H322:H325),0)</f>
        <v>17026</v>
      </c>
      <c r="G322" s="402"/>
      <c r="H322" s="252"/>
      <c r="I322" s="9"/>
    </row>
    <row r="323" spans="1:9" x14ac:dyDescent="0.2">
      <c r="A323" s="949" t="s">
        <v>2555</v>
      </c>
      <c r="B323" s="244" t="s">
        <v>596</v>
      </c>
      <c r="C323" s="20" t="s">
        <v>597</v>
      </c>
      <c r="D323" s="19" t="s">
        <v>585</v>
      </c>
      <c r="E323" s="198">
        <v>1</v>
      </c>
      <c r="F323" s="23">
        <f>VLOOKUP(B323,'BASE DE DATOS'!$A$5:$E$997,5,FALSE)</f>
        <v>354716</v>
      </c>
      <c r="G323" s="58">
        <f>1/25</f>
        <v>0.04</v>
      </c>
      <c r="H323" s="252">
        <f>IF(G323&gt;0,(G323*F323*E323),(F323*E323))</f>
        <v>14188.64</v>
      </c>
    </row>
    <row r="324" spans="1:9" x14ac:dyDescent="0.2">
      <c r="A324" s="949"/>
      <c r="B324" s="244" t="s">
        <v>266</v>
      </c>
      <c r="C324" s="20" t="s">
        <v>283</v>
      </c>
      <c r="D324" s="19" t="s">
        <v>586</v>
      </c>
      <c r="E324" s="198">
        <v>0.1</v>
      </c>
      <c r="F324" s="23">
        <f>+H323</f>
        <v>14188.64</v>
      </c>
      <c r="G324" s="58">
        <v>0</v>
      </c>
      <c r="H324" s="252">
        <f>IF(G324&gt;0,(G324*F324*E324),(F324*E324))</f>
        <v>1418.864</v>
      </c>
    </row>
    <row r="325" spans="1:9" ht="13.5" thickBot="1" x14ac:dyDescent="0.25">
      <c r="A325" s="85" t="s">
        <v>293</v>
      </c>
      <c r="B325" s="531" t="s">
        <v>269</v>
      </c>
      <c r="C325" s="70" t="s">
        <v>284</v>
      </c>
      <c r="D325" s="49" t="s">
        <v>586</v>
      </c>
      <c r="E325" s="199">
        <v>0.1</v>
      </c>
      <c r="F325" s="100">
        <f>H323</f>
        <v>14188.64</v>
      </c>
      <c r="G325" s="154">
        <v>0</v>
      </c>
      <c r="H325" s="255">
        <f>IF(G325&gt;0,(G325*F325*E325),(F325*E325))</f>
        <v>1418.864</v>
      </c>
    </row>
    <row r="326" spans="1:9" s="407" customFormat="1" ht="17.25" x14ac:dyDescent="0.2">
      <c r="A326" s="458" t="s">
        <v>739</v>
      </c>
      <c r="B326" s="526"/>
      <c r="C326" s="399" t="s">
        <v>446</v>
      </c>
      <c r="D326" s="326" t="s">
        <v>3251</v>
      </c>
      <c r="E326" s="400"/>
      <c r="F326" s="401">
        <f>ROUND(SUM(H326:H329),0)</f>
        <v>14780</v>
      </c>
      <c r="G326" s="402"/>
      <c r="H326" s="252"/>
      <c r="I326" s="33"/>
    </row>
    <row r="327" spans="1:9" x14ac:dyDescent="0.2">
      <c r="A327" s="947" t="s">
        <v>2555</v>
      </c>
      <c r="B327" s="244" t="s">
        <v>596</v>
      </c>
      <c r="C327" s="20" t="s">
        <v>597</v>
      </c>
      <c r="D327" s="19" t="s">
        <v>585</v>
      </c>
      <c r="E327" s="194">
        <v>1</v>
      </c>
      <c r="F327" s="23">
        <f>VLOOKUP(B327,'BASE DE DATOS'!$A$5:$E$997,5,FALSE)</f>
        <v>354716</v>
      </c>
      <c r="G327" s="58">
        <f>1/30</f>
        <v>3.3333333333333333E-2</v>
      </c>
      <c r="H327" s="252">
        <f>IF(G327&gt;0,(G327*F327*E327),(F327*E327))</f>
        <v>11823.866666666667</v>
      </c>
    </row>
    <row r="328" spans="1:9" x14ac:dyDescent="0.2">
      <c r="A328" s="947"/>
      <c r="B328" s="244" t="s">
        <v>266</v>
      </c>
      <c r="C328" s="20" t="s">
        <v>283</v>
      </c>
      <c r="D328" s="19" t="s">
        <v>586</v>
      </c>
      <c r="E328" s="194">
        <v>0.1</v>
      </c>
      <c r="F328" s="23">
        <f>+H327</f>
        <v>11823.866666666667</v>
      </c>
      <c r="G328" s="58">
        <v>0</v>
      </c>
      <c r="H328" s="252">
        <f>IF(G328&gt;0,(G328*F328*E328),(F328*E328))</f>
        <v>1182.3866666666668</v>
      </c>
    </row>
    <row r="329" spans="1:9" ht="13.5" thickBot="1" x14ac:dyDescent="0.25">
      <c r="A329" s="85" t="s">
        <v>293</v>
      </c>
      <c r="B329" s="531" t="s">
        <v>269</v>
      </c>
      <c r="C329" s="70" t="s">
        <v>284</v>
      </c>
      <c r="D329" s="49" t="s">
        <v>586</v>
      </c>
      <c r="E329" s="195">
        <v>0.15</v>
      </c>
      <c r="F329" s="100">
        <f>H327</f>
        <v>11823.866666666667</v>
      </c>
      <c r="G329" s="154">
        <v>0</v>
      </c>
      <c r="H329" s="255">
        <f>IF(G329&gt;0,(G329*F329*E329),(F329*E329))</f>
        <v>1773.58</v>
      </c>
    </row>
    <row r="330" spans="1:9" s="42" customFormat="1" ht="17.25" x14ac:dyDescent="0.2">
      <c r="A330" s="458" t="s">
        <v>740</v>
      </c>
      <c r="B330" s="529"/>
      <c r="C330" s="388" t="s">
        <v>445</v>
      </c>
      <c r="D330" s="389" t="s">
        <v>3251</v>
      </c>
      <c r="E330" s="395"/>
      <c r="F330" s="391">
        <f>ROUND(SUM(H330:H333),0)</f>
        <v>17736</v>
      </c>
      <c r="G330" s="392"/>
      <c r="H330" s="252"/>
      <c r="I330" s="738"/>
    </row>
    <row r="331" spans="1:9" x14ac:dyDescent="0.2">
      <c r="A331" s="949" t="s">
        <v>2555</v>
      </c>
      <c r="B331" s="241" t="s">
        <v>583</v>
      </c>
      <c r="C331" s="3" t="s">
        <v>584</v>
      </c>
      <c r="D331" s="2" t="s">
        <v>585</v>
      </c>
      <c r="E331" s="196">
        <v>1</v>
      </c>
      <c r="F331" s="23">
        <f>VLOOKUP(B331,'BASE DE DATOS'!$A$5:$E$997,5,FALSE)</f>
        <v>88679</v>
      </c>
      <c r="G331" s="104">
        <f>1/6</f>
        <v>0.16666666666666666</v>
      </c>
      <c r="H331" s="252">
        <f>IF(G331&gt;0,(G331*F331*E331),(F331*E331))</f>
        <v>14779.833333333332</v>
      </c>
    </row>
    <row r="332" spans="1:9" x14ac:dyDescent="0.2">
      <c r="A332" s="949"/>
      <c r="B332" s="241" t="s">
        <v>266</v>
      </c>
      <c r="C332" s="3" t="s">
        <v>283</v>
      </c>
      <c r="D332" s="2" t="s">
        <v>586</v>
      </c>
      <c r="E332" s="196">
        <v>0.1</v>
      </c>
      <c r="F332" s="23">
        <f>+H331</f>
        <v>14779.833333333332</v>
      </c>
      <c r="G332" s="104">
        <v>0</v>
      </c>
      <c r="H332" s="252">
        <f>IF(G332&gt;0,(G332*F332*E332),(F332*E332))</f>
        <v>1477.9833333333333</v>
      </c>
    </row>
    <row r="333" spans="1:9" ht="13.5" thickBot="1" x14ac:dyDescent="0.25">
      <c r="A333" s="85" t="s">
        <v>293</v>
      </c>
      <c r="B333" s="530" t="s">
        <v>269</v>
      </c>
      <c r="C333" s="88" t="s">
        <v>284</v>
      </c>
      <c r="D333" s="89" t="s">
        <v>586</v>
      </c>
      <c r="E333" s="197">
        <v>0.1</v>
      </c>
      <c r="F333" s="90">
        <f>H331</f>
        <v>14779.833333333332</v>
      </c>
      <c r="G333" s="153">
        <v>0</v>
      </c>
      <c r="H333" s="255">
        <f>IF(G333&gt;0,(G333*F333*E333),(F333*E333))</f>
        <v>1477.9833333333333</v>
      </c>
    </row>
    <row r="334" spans="1:9" s="42" customFormat="1" ht="17.25" x14ac:dyDescent="0.2">
      <c r="A334" s="458" t="s">
        <v>741</v>
      </c>
      <c r="B334" s="526"/>
      <c r="C334" s="399" t="s">
        <v>451</v>
      </c>
      <c r="D334" s="326" t="s">
        <v>3225</v>
      </c>
      <c r="E334" s="400"/>
      <c r="F334" s="401">
        <f>ROUND(SUM(H334:H338),0)</f>
        <v>307421</v>
      </c>
      <c r="G334" s="402"/>
      <c r="H334" s="252"/>
      <c r="I334" s="738"/>
    </row>
    <row r="335" spans="1:9" s="33" customFormat="1" x14ac:dyDescent="0.2">
      <c r="A335" s="947" t="s">
        <v>2555</v>
      </c>
      <c r="B335" s="244" t="s">
        <v>596</v>
      </c>
      <c r="C335" s="20" t="s">
        <v>597</v>
      </c>
      <c r="D335" s="19" t="s">
        <v>585</v>
      </c>
      <c r="E335" s="194">
        <v>1</v>
      </c>
      <c r="F335" s="23">
        <f>VLOOKUP(B335,'BASE DE DATOS'!$A$5:$E$997,5,FALSE)</f>
        <v>354716</v>
      </c>
      <c r="G335" s="58">
        <f>1/1.5</f>
        <v>0.66666666666666663</v>
      </c>
      <c r="H335" s="252">
        <f>IF(G335&gt;0,(G335*F335*E335),(F335*E335))</f>
        <v>236477.33333333331</v>
      </c>
    </row>
    <row r="336" spans="1:9" x14ac:dyDescent="0.2">
      <c r="A336" s="947"/>
      <c r="B336" s="244" t="s">
        <v>266</v>
      </c>
      <c r="C336" s="20" t="s">
        <v>283</v>
      </c>
      <c r="D336" s="19" t="s">
        <v>586</v>
      </c>
      <c r="E336" s="194">
        <v>0.1</v>
      </c>
      <c r="F336" s="23">
        <f>+H335</f>
        <v>236477.33333333331</v>
      </c>
      <c r="G336" s="58">
        <v>0</v>
      </c>
      <c r="H336" s="252">
        <f>IF(G336&gt;0,(G336*F336*E336),(F336*E336))</f>
        <v>23647.733333333334</v>
      </c>
    </row>
    <row r="337" spans="1:9" x14ac:dyDescent="0.2">
      <c r="A337" s="937" t="s">
        <v>293</v>
      </c>
      <c r="B337" s="244" t="s">
        <v>598</v>
      </c>
      <c r="C337" s="214" t="s">
        <v>3362</v>
      </c>
      <c r="D337" s="215" t="s">
        <v>586</v>
      </c>
      <c r="E337" s="194">
        <v>0.05</v>
      </c>
      <c r="F337" s="598">
        <f>H335</f>
        <v>236477.33333333331</v>
      </c>
      <c r="G337" s="216">
        <v>0</v>
      </c>
      <c r="H337" s="252">
        <f>IF(G337&gt;0,(G337*F337*E337),(F337*E337))</f>
        <v>11823.866666666667</v>
      </c>
    </row>
    <row r="338" spans="1:9" ht="13.5" thickBot="1" x14ac:dyDescent="0.25">
      <c r="A338" s="938"/>
      <c r="B338" s="543" t="s">
        <v>269</v>
      </c>
      <c r="C338" s="70" t="s">
        <v>284</v>
      </c>
      <c r="D338" s="49" t="s">
        <v>586</v>
      </c>
      <c r="E338" s="195">
        <v>0.15</v>
      </c>
      <c r="F338" s="100">
        <f>H335</f>
        <v>236477.33333333331</v>
      </c>
      <c r="G338" s="154">
        <v>0</v>
      </c>
      <c r="H338" s="255">
        <f>IF(G338&gt;0,(G338*F338*E338),(F338*E338))</f>
        <v>35471.599999999999</v>
      </c>
    </row>
    <row r="339" spans="1:9" s="42" customFormat="1" ht="17.25" x14ac:dyDescent="0.2">
      <c r="A339" s="458" t="s">
        <v>742</v>
      </c>
      <c r="B339" s="526"/>
      <c r="C339" s="399" t="s">
        <v>449</v>
      </c>
      <c r="D339" s="326" t="s">
        <v>3251</v>
      </c>
      <c r="E339" s="414"/>
      <c r="F339" s="401">
        <f>ROUND(SUM(H339:H342),0)</f>
        <v>35472</v>
      </c>
      <c r="G339" s="402"/>
      <c r="H339" s="252"/>
      <c r="I339" s="738"/>
    </row>
    <row r="340" spans="1:9" x14ac:dyDescent="0.2">
      <c r="A340" s="949" t="s">
        <v>2555</v>
      </c>
      <c r="B340" s="244" t="s">
        <v>596</v>
      </c>
      <c r="C340" s="20" t="s">
        <v>597</v>
      </c>
      <c r="D340" s="19" t="s">
        <v>585</v>
      </c>
      <c r="E340" s="194">
        <v>1</v>
      </c>
      <c r="F340" s="23">
        <f>VLOOKUP(B340,'BASE DE DATOS'!$A$5:$E$997,5,FALSE)</f>
        <v>354716</v>
      </c>
      <c r="G340" s="58">
        <f>1/12</f>
        <v>8.3333333333333329E-2</v>
      </c>
      <c r="H340" s="252">
        <f>IF(G340&gt;0,(G340*F340*E340),(F340*E340))</f>
        <v>29559.666666666664</v>
      </c>
    </row>
    <row r="341" spans="1:9" x14ac:dyDescent="0.2">
      <c r="A341" s="949"/>
      <c r="B341" s="244" t="s">
        <v>266</v>
      </c>
      <c r="C341" s="20" t="s">
        <v>283</v>
      </c>
      <c r="D341" s="19" t="s">
        <v>586</v>
      </c>
      <c r="E341" s="194">
        <v>0.1</v>
      </c>
      <c r="F341" s="23">
        <f>+H340</f>
        <v>29559.666666666664</v>
      </c>
      <c r="G341" s="58">
        <v>0</v>
      </c>
      <c r="H341" s="252">
        <f>IF(G341&gt;0,(G341*F341*E341),(F341*E341))</f>
        <v>2955.9666666666667</v>
      </c>
    </row>
    <row r="342" spans="1:9" s="9" customFormat="1" ht="13.5" thickBot="1" x14ac:dyDescent="0.25">
      <c r="A342" s="85" t="s">
        <v>293</v>
      </c>
      <c r="B342" s="531" t="s">
        <v>269</v>
      </c>
      <c r="C342" s="70" t="s">
        <v>284</v>
      </c>
      <c r="D342" s="49" t="s">
        <v>586</v>
      </c>
      <c r="E342" s="195">
        <v>0.1</v>
      </c>
      <c r="F342" s="100">
        <f>H340</f>
        <v>29559.666666666664</v>
      </c>
      <c r="G342" s="154">
        <v>0</v>
      </c>
      <c r="H342" s="255">
        <f>IF(G342&gt;0,(G342*F342*E342),(F342*E342))</f>
        <v>2955.9666666666667</v>
      </c>
    </row>
    <row r="343" spans="1:9" s="42" customFormat="1" ht="30" x14ac:dyDescent="0.2">
      <c r="A343" s="458" t="s">
        <v>743</v>
      </c>
      <c r="B343" s="529"/>
      <c r="C343" s="388" t="s">
        <v>3742</v>
      </c>
      <c r="D343" s="389" t="s">
        <v>3251</v>
      </c>
      <c r="E343" s="395"/>
      <c r="F343" s="391">
        <f>ROUND(SUM(H343:H347),0)</f>
        <v>15371</v>
      </c>
      <c r="G343" s="392"/>
      <c r="H343" s="252"/>
      <c r="I343" s="738"/>
    </row>
    <row r="344" spans="1:9" x14ac:dyDescent="0.2">
      <c r="A344" s="947" t="s">
        <v>2555</v>
      </c>
      <c r="B344" s="241" t="s">
        <v>596</v>
      </c>
      <c r="C344" s="3" t="s">
        <v>597</v>
      </c>
      <c r="D344" s="2" t="s">
        <v>585</v>
      </c>
      <c r="E344" s="114">
        <v>1</v>
      </c>
      <c r="F344" s="23">
        <f>VLOOKUP(B344,'BASE DE DATOS'!$A$5:$E$997,5,FALSE)</f>
        <v>354716</v>
      </c>
      <c r="G344" s="104">
        <f>1/30</f>
        <v>3.3333333333333333E-2</v>
      </c>
      <c r="H344" s="252">
        <f>IF(G344&gt;0,(G344*F344*E344),(F344*E344))</f>
        <v>11823.866666666667</v>
      </c>
    </row>
    <row r="345" spans="1:9" x14ac:dyDescent="0.2">
      <c r="A345" s="947"/>
      <c r="B345" s="241" t="s">
        <v>266</v>
      </c>
      <c r="C345" s="3" t="s">
        <v>283</v>
      </c>
      <c r="D345" s="2" t="s">
        <v>586</v>
      </c>
      <c r="E345" s="114">
        <v>0.1</v>
      </c>
      <c r="F345" s="23">
        <f>H344</f>
        <v>11823.866666666667</v>
      </c>
      <c r="G345" s="104">
        <v>0</v>
      </c>
      <c r="H345" s="252">
        <f>IF(G345&gt;0,(G345*F345*E345),(F345*E345))</f>
        <v>1182.3866666666668</v>
      </c>
    </row>
    <row r="346" spans="1:9" x14ac:dyDescent="0.2">
      <c r="A346" s="937" t="s">
        <v>293</v>
      </c>
      <c r="B346" s="244" t="s">
        <v>598</v>
      </c>
      <c r="C346" s="214" t="s">
        <v>3362</v>
      </c>
      <c r="D346" s="215" t="s">
        <v>586</v>
      </c>
      <c r="E346" s="194">
        <v>0.1</v>
      </c>
      <c r="F346" s="220">
        <f>H344</f>
        <v>11823.866666666667</v>
      </c>
      <c r="G346" s="216">
        <v>0</v>
      </c>
      <c r="H346" s="252">
        <f>IF(G346&gt;0,(G346*F346*E346),(F346*E346))</f>
        <v>1182.3866666666668</v>
      </c>
    </row>
    <row r="347" spans="1:9" ht="13.5" thickBot="1" x14ac:dyDescent="0.25">
      <c r="A347" s="938"/>
      <c r="B347" s="528" t="s">
        <v>269</v>
      </c>
      <c r="C347" s="88" t="s">
        <v>284</v>
      </c>
      <c r="D347" s="89" t="s">
        <v>586</v>
      </c>
      <c r="E347" s="193">
        <v>0.1</v>
      </c>
      <c r="F347" s="90">
        <f>H344</f>
        <v>11823.866666666667</v>
      </c>
      <c r="G347" s="153">
        <v>0</v>
      </c>
      <c r="H347" s="255">
        <f>IF(G347&gt;0,(G347*F347*E347),(F347*E347))</f>
        <v>1182.3866666666668</v>
      </c>
    </row>
    <row r="348" spans="1:9" s="42" customFormat="1" ht="26.25" customHeight="1" x14ac:dyDescent="0.2">
      <c r="A348" s="458" t="s">
        <v>744</v>
      </c>
      <c r="B348" s="529"/>
      <c r="C348" s="388" t="s">
        <v>3743</v>
      </c>
      <c r="D348" s="389" t="s">
        <v>3251</v>
      </c>
      <c r="E348" s="395"/>
      <c r="F348" s="391">
        <f>ROUND(SUM(H348:H352),0)</f>
        <v>11528</v>
      </c>
      <c r="G348" s="392"/>
      <c r="H348" s="252"/>
      <c r="I348" s="738"/>
    </row>
    <row r="349" spans="1:9" x14ac:dyDescent="0.2">
      <c r="A349" s="947" t="s">
        <v>2555</v>
      </c>
      <c r="B349" s="241" t="s">
        <v>596</v>
      </c>
      <c r="C349" s="3" t="s">
        <v>597</v>
      </c>
      <c r="D349" s="2" t="s">
        <v>585</v>
      </c>
      <c r="E349" s="114">
        <v>1</v>
      </c>
      <c r="F349" s="23">
        <f>VLOOKUP(B349,'BASE DE DATOS'!$A$5:$E$997,5,FALSE)</f>
        <v>354716</v>
      </c>
      <c r="G349" s="104">
        <f>1/40</f>
        <v>2.5000000000000001E-2</v>
      </c>
      <c r="H349" s="252">
        <f>IF(G349&gt;0,(G349*F349*E349),(F349*E349))</f>
        <v>8867.9</v>
      </c>
    </row>
    <row r="350" spans="1:9" s="33" customFormat="1" x14ac:dyDescent="0.2">
      <c r="A350" s="947"/>
      <c r="B350" s="241" t="s">
        <v>266</v>
      </c>
      <c r="C350" s="3" t="s">
        <v>283</v>
      </c>
      <c r="D350" s="2" t="s">
        <v>586</v>
      </c>
      <c r="E350" s="114">
        <v>0.1</v>
      </c>
      <c r="F350" s="23">
        <f>H349</f>
        <v>8867.9</v>
      </c>
      <c r="G350" s="104">
        <v>0</v>
      </c>
      <c r="H350" s="252">
        <f>IF(G350&gt;0,(G350*F350*E350),(F350*E350))</f>
        <v>886.79</v>
      </c>
    </row>
    <row r="351" spans="1:9" x14ac:dyDescent="0.2">
      <c r="A351" s="937" t="s">
        <v>293</v>
      </c>
      <c r="B351" s="244" t="s">
        <v>598</v>
      </c>
      <c r="C351" s="214" t="s">
        <v>3363</v>
      </c>
      <c r="D351" s="215" t="s">
        <v>586</v>
      </c>
      <c r="E351" s="194">
        <v>0.1</v>
      </c>
      <c r="F351" s="220">
        <f>H349</f>
        <v>8867.9</v>
      </c>
      <c r="G351" s="216">
        <v>0</v>
      </c>
      <c r="H351" s="252">
        <f>IF(G351&gt;0,(G351*F351*E351),(F351*E351))</f>
        <v>886.79</v>
      </c>
    </row>
    <row r="352" spans="1:9" ht="13.5" thickBot="1" x14ac:dyDescent="0.25">
      <c r="A352" s="938"/>
      <c r="B352" s="543" t="s">
        <v>269</v>
      </c>
      <c r="C352" s="70" t="s">
        <v>284</v>
      </c>
      <c r="D352" s="49" t="s">
        <v>586</v>
      </c>
      <c r="E352" s="195">
        <v>0.1</v>
      </c>
      <c r="F352" s="100">
        <f>H349</f>
        <v>8867.9</v>
      </c>
      <c r="G352" s="154">
        <v>0</v>
      </c>
      <c r="H352" s="255">
        <f>IF(G352&gt;0,(G352*F352*E352),(F352*E352))</f>
        <v>886.79</v>
      </c>
    </row>
    <row r="353" spans="1:9" s="42" customFormat="1" ht="17.25" x14ac:dyDescent="0.2">
      <c r="A353" s="458" t="s">
        <v>745</v>
      </c>
      <c r="B353" s="526"/>
      <c r="C353" s="399" t="s">
        <v>439</v>
      </c>
      <c r="D353" s="326" t="s">
        <v>3251</v>
      </c>
      <c r="E353" s="400"/>
      <c r="F353" s="401">
        <f>ROUND(SUM(H353:H356),0)</f>
        <v>5321</v>
      </c>
      <c r="G353" s="402"/>
      <c r="H353" s="252"/>
      <c r="I353" s="738"/>
    </row>
    <row r="354" spans="1:9" x14ac:dyDescent="0.2">
      <c r="A354" s="949" t="s">
        <v>2555</v>
      </c>
      <c r="B354" s="241" t="s">
        <v>583</v>
      </c>
      <c r="C354" s="3" t="s">
        <v>584</v>
      </c>
      <c r="D354" s="2" t="s">
        <v>585</v>
      </c>
      <c r="E354" s="196">
        <v>1</v>
      </c>
      <c r="F354" s="23">
        <f>VLOOKUP(B354,'BASE DE DATOS'!$A$5:$E$997,5,FALSE)</f>
        <v>88679</v>
      </c>
      <c r="G354" s="104">
        <f>1/20</f>
        <v>0.05</v>
      </c>
      <c r="H354" s="252">
        <f>IF(G354&gt;0,(G354*F354*E354),(F354*E354))</f>
        <v>4433.95</v>
      </c>
    </row>
    <row r="355" spans="1:9" s="9" customFormat="1" x14ac:dyDescent="0.2">
      <c r="A355" s="949"/>
      <c r="B355" s="241" t="s">
        <v>266</v>
      </c>
      <c r="C355" s="3" t="s">
        <v>283</v>
      </c>
      <c r="D355" s="2" t="s">
        <v>586</v>
      </c>
      <c r="E355" s="196">
        <v>0.1</v>
      </c>
      <c r="F355" s="23">
        <f>+H354</f>
        <v>4433.95</v>
      </c>
      <c r="G355" s="104">
        <v>0</v>
      </c>
      <c r="H355" s="252">
        <f>IF(G355&gt;0,(G355*F355*E355),(F355*E355))</f>
        <v>443.39499999999998</v>
      </c>
    </row>
    <row r="356" spans="1:9" ht="13.5" thickBot="1" x14ac:dyDescent="0.25">
      <c r="A356" s="85" t="s">
        <v>293</v>
      </c>
      <c r="B356" s="530" t="s">
        <v>269</v>
      </c>
      <c r="C356" s="88" t="s">
        <v>284</v>
      </c>
      <c r="D356" s="89" t="s">
        <v>586</v>
      </c>
      <c r="E356" s="197">
        <v>0.1</v>
      </c>
      <c r="F356" s="90">
        <f>H354</f>
        <v>4433.95</v>
      </c>
      <c r="G356" s="153">
        <v>0</v>
      </c>
      <c r="H356" s="255">
        <f>IF(G356&gt;0,(G356*F356*E356),(F356*E356))</f>
        <v>443.39499999999998</v>
      </c>
    </row>
    <row r="357" spans="1:9" s="407" customFormat="1" ht="17.25" x14ac:dyDescent="0.2">
      <c r="A357" s="458" t="s">
        <v>746</v>
      </c>
      <c r="B357" s="526"/>
      <c r="C357" s="399" t="s">
        <v>444</v>
      </c>
      <c r="D357" s="326" t="s">
        <v>3251</v>
      </c>
      <c r="E357" s="400"/>
      <c r="F357" s="401">
        <f>ROUND(SUM(H357:H361),0)</f>
        <v>7686</v>
      </c>
      <c r="G357" s="402"/>
      <c r="H357" s="252"/>
      <c r="I357" s="33"/>
    </row>
    <row r="358" spans="1:9" x14ac:dyDescent="0.2">
      <c r="A358" s="947" t="s">
        <v>2555</v>
      </c>
      <c r="B358" s="244" t="s">
        <v>596</v>
      </c>
      <c r="C358" s="20" t="s">
        <v>597</v>
      </c>
      <c r="D358" s="19" t="s">
        <v>585</v>
      </c>
      <c r="E358" s="194">
        <v>1</v>
      </c>
      <c r="F358" s="23">
        <f>VLOOKUP(B358,'BASE DE DATOS'!$A$5:$E$997,5,FALSE)</f>
        <v>354716</v>
      </c>
      <c r="G358" s="58">
        <f>1/60</f>
        <v>1.6666666666666666E-2</v>
      </c>
      <c r="H358" s="252">
        <f>IF(G358&gt;0,(G358*F358*E358),(F358*E358))</f>
        <v>5911.9333333333334</v>
      </c>
    </row>
    <row r="359" spans="1:9" x14ac:dyDescent="0.2">
      <c r="A359" s="947"/>
      <c r="B359" s="244" t="s">
        <v>266</v>
      </c>
      <c r="C359" s="20" t="s">
        <v>283</v>
      </c>
      <c r="D359" s="19" t="s">
        <v>586</v>
      </c>
      <c r="E359" s="194">
        <v>0.1</v>
      </c>
      <c r="F359" s="23">
        <f>H358</f>
        <v>5911.9333333333334</v>
      </c>
      <c r="G359" s="58">
        <v>0</v>
      </c>
      <c r="H359" s="252">
        <f>IF(G359&gt;0,(G359*F359*E359),(F359*E359))</f>
        <v>591.19333333333338</v>
      </c>
    </row>
    <row r="360" spans="1:9" x14ac:dyDescent="0.2">
      <c r="A360" s="937" t="s">
        <v>293</v>
      </c>
      <c r="B360" s="244" t="s">
        <v>598</v>
      </c>
      <c r="C360" s="214" t="s">
        <v>3362</v>
      </c>
      <c r="D360" s="215" t="s">
        <v>586</v>
      </c>
      <c r="E360" s="194">
        <v>0.1</v>
      </c>
      <c r="F360" s="220">
        <f>H358</f>
        <v>5911.9333333333334</v>
      </c>
      <c r="G360" s="216">
        <v>0</v>
      </c>
      <c r="H360" s="252">
        <f>IF(G360&gt;0,(G360*F360*E360),(F360*E360))</f>
        <v>591.19333333333338</v>
      </c>
    </row>
    <row r="361" spans="1:9" ht="13.5" thickBot="1" x14ac:dyDescent="0.25">
      <c r="A361" s="938"/>
      <c r="B361" s="543" t="s">
        <v>269</v>
      </c>
      <c r="C361" s="70" t="s">
        <v>284</v>
      </c>
      <c r="D361" s="49" t="s">
        <v>586</v>
      </c>
      <c r="E361" s="195">
        <v>0.1</v>
      </c>
      <c r="F361" s="100">
        <f>H358</f>
        <v>5911.9333333333334</v>
      </c>
      <c r="G361" s="154">
        <v>0</v>
      </c>
      <c r="H361" s="255">
        <f>IF(G361&gt;0,(G361*F361*E361),(F361*E361))</f>
        <v>591.19333333333338</v>
      </c>
    </row>
    <row r="362" spans="1:9" s="42" customFormat="1" ht="17.25" x14ac:dyDescent="0.2">
      <c r="A362" s="458" t="s">
        <v>747</v>
      </c>
      <c r="B362" s="526"/>
      <c r="C362" s="399" t="s">
        <v>440</v>
      </c>
      <c r="D362" s="326" t="s">
        <v>3251</v>
      </c>
      <c r="E362" s="414"/>
      <c r="F362" s="401">
        <f>ROUND(SUM(H362:H366),0)</f>
        <v>12193</v>
      </c>
      <c r="G362" s="402"/>
      <c r="H362" s="252"/>
      <c r="I362" s="738"/>
    </row>
    <row r="363" spans="1:9" x14ac:dyDescent="0.2">
      <c r="A363" s="947" t="s">
        <v>2555</v>
      </c>
      <c r="B363" s="244" t="s">
        <v>583</v>
      </c>
      <c r="C363" s="20" t="s">
        <v>584</v>
      </c>
      <c r="D363" s="19" t="s">
        <v>585</v>
      </c>
      <c r="E363" s="194">
        <v>1</v>
      </c>
      <c r="F363" s="23">
        <f>VLOOKUP(B363,'BASE DE DATOS'!$A$5:$E$997,5,FALSE)</f>
        <v>88679</v>
      </c>
      <c r="G363" s="58">
        <f>1/16</f>
        <v>6.25E-2</v>
      </c>
      <c r="H363" s="252">
        <f>IF(G363&gt;0,(G363*F363*E363),(F363*E363))</f>
        <v>5542.4375</v>
      </c>
    </row>
    <row r="364" spans="1:9" x14ac:dyDescent="0.2">
      <c r="A364" s="947"/>
      <c r="B364" s="244" t="s">
        <v>266</v>
      </c>
      <c r="C364" s="20" t="s">
        <v>283</v>
      </c>
      <c r="D364" s="19" t="s">
        <v>586</v>
      </c>
      <c r="E364" s="194">
        <v>1</v>
      </c>
      <c r="F364" s="23">
        <f>+H363</f>
        <v>5542.4375</v>
      </c>
      <c r="G364" s="58">
        <v>0</v>
      </c>
      <c r="H364" s="252">
        <f>IF(G364&gt;0,(G364*F364*E364),(F364*E364))</f>
        <v>5542.4375</v>
      </c>
    </row>
    <row r="365" spans="1:9" s="9" customFormat="1" x14ac:dyDescent="0.2">
      <c r="A365" s="937" t="s">
        <v>293</v>
      </c>
      <c r="B365" s="244" t="s">
        <v>598</v>
      </c>
      <c r="C365" s="214" t="s">
        <v>3362</v>
      </c>
      <c r="D365" s="215" t="s">
        <v>586</v>
      </c>
      <c r="E365" s="194">
        <v>0.1</v>
      </c>
      <c r="F365" s="598">
        <f>H363</f>
        <v>5542.4375</v>
      </c>
      <c r="G365" s="216">
        <v>0</v>
      </c>
      <c r="H365" s="252">
        <f>IF(G365&gt;0,(G365*F365*E365),(F365*E365))</f>
        <v>554.24374999999998</v>
      </c>
    </row>
    <row r="366" spans="1:9" ht="13.5" thickBot="1" x14ac:dyDescent="0.25">
      <c r="A366" s="938"/>
      <c r="B366" s="543" t="s">
        <v>269</v>
      </c>
      <c r="C366" s="70" t="s">
        <v>284</v>
      </c>
      <c r="D366" s="49" t="s">
        <v>586</v>
      </c>
      <c r="E366" s="195">
        <v>0.1</v>
      </c>
      <c r="F366" s="100">
        <f>H363</f>
        <v>5542.4375</v>
      </c>
      <c r="G366" s="154">
        <v>0</v>
      </c>
      <c r="H366" s="255">
        <f>IF(G366&gt;0,(G366*F366*E366),(F366*E366))</f>
        <v>554.24374999999998</v>
      </c>
    </row>
    <row r="367" spans="1:9" s="42" customFormat="1" ht="17.25" x14ac:dyDescent="0.2">
      <c r="A367" s="458" t="s">
        <v>748</v>
      </c>
      <c r="B367" s="529"/>
      <c r="C367" s="388" t="s">
        <v>443</v>
      </c>
      <c r="D367" s="389" t="s">
        <v>3251</v>
      </c>
      <c r="E367" s="395"/>
      <c r="F367" s="391">
        <f>ROUND(SUM(H367:H370),0)</f>
        <v>17736</v>
      </c>
      <c r="G367" s="392"/>
      <c r="H367" s="252"/>
      <c r="I367" s="738"/>
    </row>
    <row r="368" spans="1:9" x14ac:dyDescent="0.2">
      <c r="A368" s="949" t="s">
        <v>2555</v>
      </c>
      <c r="B368" s="241" t="s">
        <v>583</v>
      </c>
      <c r="C368" s="3" t="s">
        <v>584</v>
      </c>
      <c r="D368" s="2" t="s">
        <v>585</v>
      </c>
      <c r="E368" s="196">
        <v>1</v>
      </c>
      <c r="F368" s="23">
        <f>VLOOKUP(B368,'BASE DE DATOS'!$A$5:$E$997,5,FALSE)</f>
        <v>88679</v>
      </c>
      <c r="G368" s="104">
        <f>1/6</f>
        <v>0.16666666666666666</v>
      </c>
      <c r="H368" s="252">
        <f>IF(G368&gt;0,(G368*F368*E368),(F368*E368))</f>
        <v>14779.833333333332</v>
      </c>
    </row>
    <row r="369" spans="1:9" x14ac:dyDescent="0.2">
      <c r="A369" s="949"/>
      <c r="B369" s="241" t="s">
        <v>266</v>
      </c>
      <c r="C369" s="3" t="s">
        <v>283</v>
      </c>
      <c r="D369" s="2" t="s">
        <v>586</v>
      </c>
      <c r="E369" s="196">
        <v>0.1</v>
      </c>
      <c r="F369" s="23">
        <f>+H368</f>
        <v>14779.833333333332</v>
      </c>
      <c r="G369" s="104">
        <v>0</v>
      </c>
      <c r="H369" s="252">
        <f>IF(G369&gt;0,(G369*F369*E369),(F369*E369))</f>
        <v>1477.9833333333333</v>
      </c>
    </row>
    <row r="370" spans="1:9" ht="13.5" thickBot="1" x14ac:dyDescent="0.25">
      <c r="A370" s="85" t="s">
        <v>293</v>
      </c>
      <c r="B370" s="530" t="s">
        <v>269</v>
      </c>
      <c r="C370" s="88" t="s">
        <v>284</v>
      </c>
      <c r="D370" s="89" t="s">
        <v>586</v>
      </c>
      <c r="E370" s="197">
        <v>0.1</v>
      </c>
      <c r="F370" s="90">
        <f>H368</f>
        <v>14779.833333333332</v>
      </c>
      <c r="G370" s="153">
        <v>0</v>
      </c>
      <c r="H370" s="255">
        <f>IF(G370&gt;0,(G370*F370*E370),(F370*E370))</f>
        <v>1477.9833333333333</v>
      </c>
    </row>
    <row r="371" spans="1:9" s="42" customFormat="1" ht="30" x14ac:dyDescent="0.2">
      <c r="A371" s="458" t="s">
        <v>749</v>
      </c>
      <c r="B371" s="529"/>
      <c r="C371" s="388" t="s">
        <v>3906</v>
      </c>
      <c r="D371" s="389" t="s">
        <v>3251</v>
      </c>
      <c r="E371" s="395"/>
      <c r="F371" s="391">
        <f>ROUND(SUM(H371:H375),0)</f>
        <v>33695</v>
      </c>
      <c r="G371" s="392"/>
      <c r="H371" s="252"/>
      <c r="I371" s="738"/>
    </row>
    <row r="372" spans="1:9" x14ac:dyDescent="0.2">
      <c r="A372" s="949" t="s">
        <v>2555</v>
      </c>
      <c r="B372" s="241" t="s">
        <v>583</v>
      </c>
      <c r="C372" s="3" t="s">
        <v>584</v>
      </c>
      <c r="D372" s="2" t="s">
        <v>585</v>
      </c>
      <c r="E372" s="196">
        <v>1</v>
      </c>
      <c r="F372" s="23">
        <f>VLOOKUP(B372,'BASE DE DATOS'!$A$5:$E$997,5,FALSE)</f>
        <v>88679</v>
      </c>
      <c r="G372" s="104">
        <f>1/34</f>
        <v>2.9411764705882353E-2</v>
      </c>
      <c r="H372" s="252">
        <f>IF(G372&gt;0,(G372*F372*E372),(F372*E372))</f>
        <v>2608.205882352941</v>
      </c>
    </row>
    <row r="373" spans="1:9" x14ac:dyDescent="0.2">
      <c r="A373" s="949"/>
      <c r="B373" s="241" t="s">
        <v>266</v>
      </c>
      <c r="C373" s="3" t="s">
        <v>283</v>
      </c>
      <c r="D373" s="2" t="s">
        <v>586</v>
      </c>
      <c r="E373" s="196">
        <v>0.1</v>
      </c>
      <c r="F373" s="23">
        <f>H372</f>
        <v>2608.205882352941</v>
      </c>
      <c r="G373" s="104">
        <v>0</v>
      </c>
      <c r="H373" s="252">
        <f>IF(G373&gt;0,(G373*F373*E373),(F373*E373))</f>
        <v>260.82058823529411</v>
      </c>
    </row>
    <row r="374" spans="1:9" x14ac:dyDescent="0.2">
      <c r="A374" s="937" t="s">
        <v>293</v>
      </c>
      <c r="B374" s="241" t="s">
        <v>269</v>
      </c>
      <c r="C374" s="218" t="s">
        <v>284</v>
      </c>
      <c r="D374" s="219" t="s">
        <v>586</v>
      </c>
      <c r="E374" s="196">
        <v>0.01</v>
      </c>
      <c r="F374" s="220">
        <f>H372</f>
        <v>2608.205882352941</v>
      </c>
      <c r="G374" s="187">
        <v>0</v>
      </c>
      <c r="H374" s="252">
        <f>IF(G374&gt;0,(G374*F374*E374),(F374*E374))</f>
        <v>26.082058823529412</v>
      </c>
    </row>
    <row r="375" spans="1:9" ht="13.5" thickBot="1" x14ac:dyDescent="0.25">
      <c r="A375" s="938"/>
      <c r="B375" s="530" t="s">
        <v>1917</v>
      </c>
      <c r="C375" s="88" t="s">
        <v>1918</v>
      </c>
      <c r="D375" s="89" t="s">
        <v>614</v>
      </c>
      <c r="E375" s="197">
        <v>4</v>
      </c>
      <c r="F375" s="90">
        <f>VLOOKUP(B375,'BASE DE DATOS'!$A$5:$E$997,5,FALSE)</f>
        <v>261800</v>
      </c>
      <c r="G375" s="153">
        <f>1/34</f>
        <v>2.9411764705882353E-2</v>
      </c>
      <c r="H375" s="255">
        <f>IF(G375&gt;0,(G375*F375*E375),(F375*E375))</f>
        <v>30800</v>
      </c>
    </row>
    <row r="376" spans="1:9" s="42" customFormat="1" ht="15" x14ac:dyDescent="0.2">
      <c r="A376" s="458" t="s">
        <v>750</v>
      </c>
      <c r="B376" s="529"/>
      <c r="C376" s="388" t="s">
        <v>458</v>
      </c>
      <c r="D376" s="389" t="s">
        <v>405</v>
      </c>
      <c r="E376" s="390"/>
      <c r="F376" s="391">
        <f>ROUND(SUM(H376:H377),0)</f>
        <v>10087</v>
      </c>
      <c r="G376" s="392"/>
      <c r="H376" s="252"/>
      <c r="I376" s="738"/>
    </row>
    <row r="377" spans="1:9" ht="13.5" thickBot="1" x14ac:dyDescent="0.25">
      <c r="A377" s="511" t="s">
        <v>3252</v>
      </c>
      <c r="B377" s="530" t="s">
        <v>1109</v>
      </c>
      <c r="C377" s="88" t="s">
        <v>3534</v>
      </c>
      <c r="D377" s="89" t="s">
        <v>405</v>
      </c>
      <c r="E377" s="193">
        <v>1</v>
      </c>
      <c r="F377" s="90">
        <f>' VÍAS'!F103</f>
        <v>10087</v>
      </c>
      <c r="G377" s="153">
        <v>0</v>
      </c>
      <c r="H377" s="479">
        <f>IF(G377&gt;0,(G377*F377*E377),(F377*E377))</f>
        <v>10087</v>
      </c>
    </row>
    <row r="378" spans="1:9" s="42" customFormat="1" ht="15" x14ac:dyDescent="0.2">
      <c r="A378" s="458" t="s">
        <v>751</v>
      </c>
      <c r="B378" s="529"/>
      <c r="C378" s="388" t="s">
        <v>457</v>
      </c>
      <c r="D378" s="389" t="s">
        <v>405</v>
      </c>
      <c r="E378" s="390"/>
      <c r="F378" s="391">
        <f>ROUND(SUM(H378:H382),0)</f>
        <v>57937</v>
      </c>
      <c r="G378" s="392"/>
      <c r="H378" s="252"/>
      <c r="I378" s="738"/>
    </row>
    <row r="379" spans="1:9" x14ac:dyDescent="0.2">
      <c r="A379" s="947" t="s">
        <v>2555</v>
      </c>
      <c r="B379" s="241" t="s">
        <v>644</v>
      </c>
      <c r="C379" s="3" t="s">
        <v>645</v>
      </c>
      <c r="D379" s="2" t="s">
        <v>585</v>
      </c>
      <c r="E379" s="114">
        <v>1</v>
      </c>
      <c r="F379" s="23">
        <f>VLOOKUP(B379,'BASE DE DATOS'!$A$5:$E$997,5,FALSE)</f>
        <v>248302</v>
      </c>
      <c r="G379" s="104">
        <f>1/6</f>
        <v>0.16666666666666666</v>
      </c>
      <c r="H379" s="252">
        <f>IF(G379&gt;0,(G379*F379*E379),(F379*E379))</f>
        <v>41383.666666666664</v>
      </c>
    </row>
    <row r="380" spans="1:9" x14ac:dyDescent="0.2">
      <c r="A380" s="947"/>
      <c r="B380" s="241" t="s">
        <v>266</v>
      </c>
      <c r="C380" s="3" t="s">
        <v>283</v>
      </c>
      <c r="D380" s="2" t="s">
        <v>586</v>
      </c>
      <c r="E380" s="114">
        <v>0.1</v>
      </c>
      <c r="F380" s="23">
        <f>+H379</f>
        <v>41383.666666666664</v>
      </c>
      <c r="G380" s="104">
        <v>0</v>
      </c>
      <c r="H380" s="252">
        <f>IF(G380&gt;0,(G380*F380*E380),(F380*E380))</f>
        <v>4138.3666666666668</v>
      </c>
    </row>
    <row r="381" spans="1:9" x14ac:dyDescent="0.2">
      <c r="A381" s="937" t="s">
        <v>293</v>
      </c>
      <c r="B381" s="241" t="s">
        <v>269</v>
      </c>
      <c r="C381" s="3" t="s">
        <v>284</v>
      </c>
      <c r="D381" s="2" t="s">
        <v>586</v>
      </c>
      <c r="E381" s="114">
        <v>0.1</v>
      </c>
      <c r="F381" s="23">
        <f>H379</f>
        <v>41383.666666666664</v>
      </c>
      <c r="G381" s="104">
        <v>0</v>
      </c>
      <c r="H381" s="252">
        <f>IF(G381&gt;0,(G381*F381*E381),(F381*E381))</f>
        <v>4138.3666666666668</v>
      </c>
    </row>
    <row r="382" spans="1:9" ht="13.5" thickBot="1" x14ac:dyDescent="0.25">
      <c r="A382" s="960"/>
      <c r="B382" s="530" t="s">
        <v>250</v>
      </c>
      <c r="C382" s="88" t="s">
        <v>251</v>
      </c>
      <c r="D382" s="89" t="s">
        <v>586</v>
      </c>
      <c r="E382" s="193">
        <v>0.2</v>
      </c>
      <c r="F382" s="90">
        <f>H379</f>
        <v>41383.666666666664</v>
      </c>
      <c r="G382" s="153">
        <v>0</v>
      </c>
      <c r="H382" s="255">
        <f>IF(G382&gt;0,(G382*F382*E382),(F382*E382))</f>
        <v>8276.7333333333336</v>
      </c>
    </row>
    <row r="383" spans="1:9" s="42" customFormat="1" ht="17.25" x14ac:dyDescent="0.2">
      <c r="A383" s="458" t="s">
        <v>752</v>
      </c>
      <c r="B383" s="526"/>
      <c r="C383" s="399" t="s">
        <v>455</v>
      </c>
      <c r="D383" s="326" t="s">
        <v>3251</v>
      </c>
      <c r="E383" s="414"/>
      <c r="F383" s="401">
        <f>ROUND(SUM(H383:H386),0)</f>
        <v>4079</v>
      </c>
      <c r="G383" s="402"/>
      <c r="H383" s="252"/>
      <c r="I383" s="738"/>
    </row>
    <row r="384" spans="1:9" s="9" customFormat="1" x14ac:dyDescent="0.2">
      <c r="A384" s="947" t="s">
        <v>2555</v>
      </c>
      <c r="B384" s="244" t="s">
        <v>583</v>
      </c>
      <c r="C384" s="20" t="s">
        <v>584</v>
      </c>
      <c r="D384" s="19" t="s">
        <v>585</v>
      </c>
      <c r="E384" s="194">
        <v>1</v>
      </c>
      <c r="F384" s="23">
        <f>VLOOKUP(B384,'BASE DE DATOS'!$A$5:$E$997,5,FALSE)</f>
        <v>88679</v>
      </c>
      <c r="G384" s="58">
        <f>1/25</f>
        <v>0.04</v>
      </c>
      <c r="H384" s="252">
        <f>IF(G384&gt;0,(G384*F384*E384),(F384*E384))</f>
        <v>3547.16</v>
      </c>
    </row>
    <row r="385" spans="1:9" x14ac:dyDescent="0.2">
      <c r="A385" s="947"/>
      <c r="B385" s="244" t="s">
        <v>266</v>
      </c>
      <c r="C385" s="20" t="s">
        <v>283</v>
      </c>
      <c r="D385" s="19" t="s">
        <v>586</v>
      </c>
      <c r="E385" s="194">
        <v>0.1</v>
      </c>
      <c r="F385" s="23">
        <f>+H384</f>
        <v>3547.16</v>
      </c>
      <c r="G385" s="58">
        <v>0</v>
      </c>
      <c r="H385" s="252">
        <f>IF(G385&gt;0,(G385*F385*E385),(F385*E385))</f>
        <v>354.71600000000001</v>
      </c>
    </row>
    <row r="386" spans="1:9" ht="13.5" thickBot="1" x14ac:dyDescent="0.25">
      <c r="A386" s="85" t="s">
        <v>293</v>
      </c>
      <c r="B386" s="531" t="s">
        <v>269</v>
      </c>
      <c r="C386" s="70" t="s">
        <v>284</v>
      </c>
      <c r="D386" s="49" t="s">
        <v>586</v>
      </c>
      <c r="E386" s="195">
        <v>0.05</v>
      </c>
      <c r="F386" s="100">
        <f>H384</f>
        <v>3547.16</v>
      </c>
      <c r="G386" s="154">
        <v>0</v>
      </c>
      <c r="H386" s="255">
        <f>IF(G386&gt;0,(G386*F386*E386),(F386*E386))</f>
        <v>177.358</v>
      </c>
    </row>
    <row r="387" spans="1:9" s="42" customFormat="1" ht="30" x14ac:dyDescent="0.2">
      <c r="A387" s="458" t="s">
        <v>753</v>
      </c>
      <c r="B387" s="526"/>
      <c r="C387" s="399" t="s">
        <v>456</v>
      </c>
      <c r="D387" s="326" t="s">
        <v>405</v>
      </c>
      <c r="E387" s="414"/>
      <c r="F387" s="401">
        <f>ROUND(SUM(H387:H391),0)</f>
        <v>10287</v>
      </c>
      <c r="G387" s="402"/>
      <c r="H387" s="252"/>
      <c r="I387" s="738"/>
    </row>
    <row r="388" spans="1:9" s="9" customFormat="1" x14ac:dyDescent="0.2">
      <c r="A388" s="947" t="s">
        <v>2555</v>
      </c>
      <c r="B388" s="244" t="s">
        <v>587</v>
      </c>
      <c r="C388" s="20" t="s">
        <v>588</v>
      </c>
      <c r="D388" s="19" t="s">
        <v>585</v>
      </c>
      <c r="E388" s="194">
        <v>1</v>
      </c>
      <c r="F388" s="23">
        <f>VLOOKUP(B388,'BASE DE DATOS'!$A$5:$E$997,5,FALSE)</f>
        <v>514339</v>
      </c>
      <c r="G388" s="58">
        <f>1/60</f>
        <v>1.6666666666666666E-2</v>
      </c>
      <c r="H388" s="252">
        <f>IF(G388&gt;0,(G388*F388*E388),(F388*E388))</f>
        <v>8572.3166666666657</v>
      </c>
    </row>
    <row r="389" spans="1:9" x14ac:dyDescent="0.2">
      <c r="A389" s="947"/>
      <c r="B389" s="244" t="s">
        <v>266</v>
      </c>
      <c r="C389" s="20" t="s">
        <v>283</v>
      </c>
      <c r="D389" s="19" t="s">
        <v>586</v>
      </c>
      <c r="E389" s="194">
        <v>0.1</v>
      </c>
      <c r="F389" s="23">
        <f>+H388</f>
        <v>8572.3166666666657</v>
      </c>
      <c r="G389" s="58">
        <v>0</v>
      </c>
      <c r="H389" s="252">
        <f>IF(G389&gt;0,(G389*F389*E389),(F389*E389))</f>
        <v>857.23166666666657</v>
      </c>
    </row>
    <row r="390" spans="1:9" x14ac:dyDescent="0.2">
      <c r="A390" s="937" t="s">
        <v>293</v>
      </c>
      <c r="B390" s="244" t="s">
        <v>598</v>
      </c>
      <c r="C390" s="214" t="s">
        <v>3362</v>
      </c>
      <c r="D390" s="215" t="s">
        <v>586</v>
      </c>
      <c r="E390" s="194">
        <v>0.05</v>
      </c>
      <c r="F390" s="598">
        <f>H388</f>
        <v>8572.3166666666657</v>
      </c>
      <c r="G390" s="216">
        <v>0</v>
      </c>
      <c r="H390" s="252">
        <f>IF(G390&gt;0,(G390*F390*E390),(F390*E390))</f>
        <v>428.61583333333328</v>
      </c>
    </row>
    <row r="391" spans="1:9" ht="13.5" thickBot="1" x14ac:dyDescent="0.25">
      <c r="A391" s="938"/>
      <c r="B391" s="543" t="s">
        <v>269</v>
      </c>
      <c r="C391" s="70" t="s">
        <v>284</v>
      </c>
      <c r="D391" s="49" t="s">
        <v>586</v>
      </c>
      <c r="E391" s="195">
        <v>0.05</v>
      </c>
      <c r="F391" s="100">
        <f>H388</f>
        <v>8572.3166666666657</v>
      </c>
      <c r="G391" s="154">
        <v>0</v>
      </c>
      <c r="H391" s="255">
        <f>IF(G391&gt;0,(G391*F391*E391),(F391*E391))</f>
        <v>428.61583333333328</v>
      </c>
    </row>
    <row r="392" spans="1:9" s="42" customFormat="1" ht="30" x14ac:dyDescent="0.2">
      <c r="A392" s="458" t="s">
        <v>754</v>
      </c>
      <c r="B392" s="529"/>
      <c r="C392" s="388" t="s">
        <v>15</v>
      </c>
      <c r="D392" s="389" t="s">
        <v>405</v>
      </c>
      <c r="E392" s="390"/>
      <c r="F392" s="391">
        <f>ROUND(SUM(H392:H396),0)</f>
        <v>44576</v>
      </c>
      <c r="G392" s="392"/>
      <c r="H392" s="252"/>
      <c r="I392" s="738"/>
    </row>
    <row r="393" spans="1:9" x14ac:dyDescent="0.2">
      <c r="A393" s="947" t="s">
        <v>2555</v>
      </c>
      <c r="B393" s="241" t="s">
        <v>587</v>
      </c>
      <c r="C393" s="3" t="s">
        <v>588</v>
      </c>
      <c r="D393" s="2" t="s">
        <v>585</v>
      </c>
      <c r="E393" s="114">
        <v>1</v>
      </c>
      <c r="F393" s="23">
        <f>VLOOKUP(B393,'BASE DE DATOS'!$A$5:$E$997,5,FALSE)</f>
        <v>514339</v>
      </c>
      <c r="G393" s="104">
        <f>1/15</f>
        <v>6.6666666666666666E-2</v>
      </c>
      <c r="H393" s="252">
        <f>IF(G393&gt;0,(G393*F393*E393),(F393*E393))</f>
        <v>34289.266666666663</v>
      </c>
    </row>
    <row r="394" spans="1:9" x14ac:dyDescent="0.2">
      <c r="A394" s="947"/>
      <c r="B394" s="241" t="s">
        <v>266</v>
      </c>
      <c r="C394" s="3" t="s">
        <v>283</v>
      </c>
      <c r="D394" s="2" t="s">
        <v>586</v>
      </c>
      <c r="E394" s="114">
        <v>0.1</v>
      </c>
      <c r="F394" s="23">
        <f>+H393</f>
        <v>34289.266666666663</v>
      </c>
      <c r="G394" s="104">
        <v>0</v>
      </c>
      <c r="H394" s="252">
        <f>IF(G394&gt;0,(G394*F394*E394),(F394*E394))</f>
        <v>3428.9266666666663</v>
      </c>
    </row>
    <row r="395" spans="1:9" x14ac:dyDescent="0.2">
      <c r="A395" s="937" t="s">
        <v>293</v>
      </c>
      <c r="B395" s="241" t="s">
        <v>598</v>
      </c>
      <c r="C395" s="218" t="s">
        <v>3362</v>
      </c>
      <c r="D395" s="219" t="s">
        <v>586</v>
      </c>
      <c r="E395" s="114">
        <v>0.1</v>
      </c>
      <c r="F395" s="220">
        <f>H393</f>
        <v>34289.266666666663</v>
      </c>
      <c r="G395" s="187">
        <v>0</v>
      </c>
      <c r="H395" s="252">
        <f>IF(G395&gt;0,(G395*F395*E395),(F395*E395))</f>
        <v>3428.9266666666663</v>
      </c>
    </row>
    <row r="396" spans="1:9" ht="13.5" thickBot="1" x14ac:dyDescent="0.25">
      <c r="A396" s="938"/>
      <c r="B396" s="528" t="s">
        <v>269</v>
      </c>
      <c r="C396" s="88" t="s">
        <v>284</v>
      </c>
      <c r="D396" s="89" t="s">
        <v>586</v>
      </c>
      <c r="E396" s="193">
        <v>0.1</v>
      </c>
      <c r="F396" s="90">
        <f>H393</f>
        <v>34289.266666666663</v>
      </c>
      <c r="G396" s="153">
        <v>0</v>
      </c>
      <c r="H396" s="255">
        <f>IF(G396&gt;0,(G396*F396*E396),(F396*E396))</f>
        <v>3428.9266666666663</v>
      </c>
    </row>
    <row r="397" spans="1:9" s="42" customFormat="1" ht="17.25" x14ac:dyDescent="0.2">
      <c r="A397" s="458" t="s">
        <v>755</v>
      </c>
      <c r="B397" s="526"/>
      <c r="C397" s="399" t="s">
        <v>460</v>
      </c>
      <c r="D397" s="326" t="s">
        <v>3251</v>
      </c>
      <c r="E397" s="414"/>
      <c r="F397" s="401">
        <f>ROUND(SUM(H397:H399),0)</f>
        <v>8237</v>
      </c>
      <c r="G397" s="402"/>
      <c r="H397" s="252"/>
      <c r="I397" s="738"/>
    </row>
    <row r="398" spans="1:9" x14ac:dyDescent="0.2">
      <c r="A398" s="81" t="s">
        <v>2555</v>
      </c>
      <c r="B398" s="244" t="s">
        <v>607</v>
      </c>
      <c r="C398" s="20" t="s">
        <v>608</v>
      </c>
      <c r="D398" s="19" t="s">
        <v>585</v>
      </c>
      <c r="E398" s="194">
        <v>1</v>
      </c>
      <c r="F398" s="23">
        <f>VLOOKUP(B398,'BASE DE DATOS'!$A$5:$E$997,5,FALSE)</f>
        <v>336981</v>
      </c>
      <c r="G398" s="58">
        <f>1/45</f>
        <v>2.2222222222222223E-2</v>
      </c>
      <c r="H398" s="252">
        <f>IF(G398&gt;0,(G398*F398*E398),(F398*E398))</f>
        <v>7488.4666666666672</v>
      </c>
    </row>
    <row r="399" spans="1:9" ht="13.5" thickBot="1" x14ac:dyDescent="0.25">
      <c r="A399" s="85" t="s">
        <v>293</v>
      </c>
      <c r="B399" s="531" t="s">
        <v>269</v>
      </c>
      <c r="C399" s="70" t="s">
        <v>284</v>
      </c>
      <c r="D399" s="49" t="s">
        <v>586</v>
      </c>
      <c r="E399" s="195">
        <v>0.1</v>
      </c>
      <c r="F399" s="100">
        <f>H398</f>
        <v>7488.4666666666672</v>
      </c>
      <c r="G399" s="154">
        <v>0</v>
      </c>
      <c r="H399" s="255">
        <f>IF(G399&gt;0,(G399*F399*E399),(F399*E399))</f>
        <v>748.84666666666681</v>
      </c>
    </row>
    <row r="400" spans="1:9" s="42" customFormat="1" ht="30" x14ac:dyDescent="0.2">
      <c r="A400" s="458" t="s">
        <v>756</v>
      </c>
      <c r="B400" s="529"/>
      <c r="C400" s="388" t="s">
        <v>3744</v>
      </c>
      <c r="D400" s="389" t="s">
        <v>3251</v>
      </c>
      <c r="E400" s="395"/>
      <c r="F400" s="391">
        <f>ROUND(SUM(H400:H404),0)</f>
        <v>26746</v>
      </c>
      <c r="G400" s="392"/>
      <c r="H400" s="252"/>
      <c r="I400" s="738"/>
    </row>
    <row r="401" spans="1:9" x14ac:dyDescent="0.2">
      <c r="A401" s="949" t="s">
        <v>2555</v>
      </c>
      <c r="B401" s="244" t="s">
        <v>587</v>
      </c>
      <c r="C401" s="20" t="s">
        <v>588</v>
      </c>
      <c r="D401" s="19" t="s">
        <v>585</v>
      </c>
      <c r="E401" s="194">
        <v>1</v>
      </c>
      <c r="F401" s="23">
        <f>VLOOKUP(B401,'BASE DE DATOS'!$A$5:$E$997,5,FALSE)</f>
        <v>514339</v>
      </c>
      <c r="G401" s="58">
        <f>1/25</f>
        <v>0.04</v>
      </c>
      <c r="H401" s="252">
        <f>IF(G401&gt;0,(G401*F401*E401),(F401*E401))</f>
        <v>20573.560000000001</v>
      </c>
    </row>
    <row r="402" spans="1:9" s="9" customFormat="1" x14ac:dyDescent="0.2">
      <c r="A402" s="949"/>
      <c r="B402" s="244" t="s">
        <v>266</v>
      </c>
      <c r="C402" s="20" t="s">
        <v>283</v>
      </c>
      <c r="D402" s="19" t="s">
        <v>586</v>
      </c>
      <c r="E402" s="194">
        <v>0.1</v>
      </c>
      <c r="F402" s="23">
        <f>+H401</f>
        <v>20573.560000000001</v>
      </c>
      <c r="G402" s="58">
        <v>0</v>
      </c>
      <c r="H402" s="252">
        <f>IF(G402&gt;0,(G402*F402*E402),(F402*E402))</f>
        <v>2057.3560000000002</v>
      </c>
    </row>
    <row r="403" spans="1:9" x14ac:dyDescent="0.2">
      <c r="A403" s="944" t="s">
        <v>293</v>
      </c>
      <c r="B403" s="244" t="s">
        <v>598</v>
      </c>
      <c r="C403" s="214" t="s">
        <v>3362</v>
      </c>
      <c r="D403" s="215" t="s">
        <v>586</v>
      </c>
      <c r="E403" s="194">
        <v>0.1</v>
      </c>
      <c r="F403" s="598">
        <f>H401</f>
        <v>20573.560000000001</v>
      </c>
      <c r="G403" s="216">
        <v>0</v>
      </c>
      <c r="H403" s="252">
        <f>IF(G403&gt;0,(G403*F403*E403),(F403*E403))</f>
        <v>2057.3560000000002</v>
      </c>
    </row>
    <row r="404" spans="1:9" ht="13.5" thickBot="1" x14ac:dyDescent="0.25">
      <c r="A404" s="945"/>
      <c r="B404" s="543" t="s">
        <v>269</v>
      </c>
      <c r="C404" s="70" t="s">
        <v>284</v>
      </c>
      <c r="D404" s="49" t="s">
        <v>586</v>
      </c>
      <c r="E404" s="195">
        <v>0.1</v>
      </c>
      <c r="F404" s="100">
        <f>H401</f>
        <v>20573.560000000001</v>
      </c>
      <c r="G404" s="154">
        <v>0</v>
      </c>
      <c r="H404" s="255">
        <f>IF(G404&gt;0,(G404*F404*E404),(F404*E404))</f>
        <v>2057.3560000000002</v>
      </c>
    </row>
    <row r="405" spans="1:9" s="42" customFormat="1" ht="17.25" x14ac:dyDescent="0.2">
      <c r="A405" s="458" t="s">
        <v>757</v>
      </c>
      <c r="B405" s="526"/>
      <c r="C405" s="399" t="s">
        <v>461</v>
      </c>
      <c r="D405" s="326" t="s">
        <v>3251</v>
      </c>
      <c r="E405" s="400"/>
      <c r="F405" s="401">
        <f>ROUND(SUM(H405:H409),0)</f>
        <v>16073</v>
      </c>
      <c r="G405" s="402"/>
      <c r="H405" s="252"/>
      <c r="I405" s="738"/>
    </row>
    <row r="406" spans="1:9" x14ac:dyDescent="0.2">
      <c r="A406" s="947" t="s">
        <v>2555</v>
      </c>
      <c r="B406" s="244" t="s">
        <v>587</v>
      </c>
      <c r="C406" s="20" t="s">
        <v>588</v>
      </c>
      <c r="D406" s="19" t="s">
        <v>585</v>
      </c>
      <c r="E406" s="194">
        <v>1</v>
      </c>
      <c r="F406" s="23">
        <f>VLOOKUP(B406,'BASE DE DATOS'!$A$5:$E$997,5,FALSE)</f>
        <v>514339</v>
      </c>
      <c r="G406" s="58">
        <f>1/40</f>
        <v>2.5000000000000001E-2</v>
      </c>
      <c r="H406" s="252">
        <f>IF(G406&gt;0,(G406*F406*E406),(F406*E406))</f>
        <v>12858.475</v>
      </c>
    </row>
    <row r="407" spans="1:9" x14ac:dyDescent="0.2">
      <c r="A407" s="947"/>
      <c r="B407" s="244" t="s">
        <v>266</v>
      </c>
      <c r="C407" s="20" t="s">
        <v>283</v>
      </c>
      <c r="D407" s="19" t="s">
        <v>586</v>
      </c>
      <c r="E407" s="194">
        <v>0.1</v>
      </c>
      <c r="F407" s="23">
        <f>+H406</f>
        <v>12858.475</v>
      </c>
      <c r="G407" s="58">
        <v>0</v>
      </c>
      <c r="H407" s="252">
        <f>IF(G407&gt;0,(G407*F407*E407),(F407*E407))</f>
        <v>1285.8475000000001</v>
      </c>
    </row>
    <row r="408" spans="1:9" x14ac:dyDescent="0.2">
      <c r="A408" s="937" t="s">
        <v>293</v>
      </c>
      <c r="B408" s="244" t="s">
        <v>598</v>
      </c>
      <c r="C408" s="214" t="s">
        <v>3362</v>
      </c>
      <c r="D408" s="215" t="s">
        <v>586</v>
      </c>
      <c r="E408" s="194">
        <v>0.1</v>
      </c>
      <c r="F408" s="598">
        <f>H406</f>
        <v>12858.475</v>
      </c>
      <c r="G408" s="216">
        <v>0</v>
      </c>
      <c r="H408" s="252">
        <f>IF(G408&gt;0,(G408*F408*E408),(F408*E408))</f>
        <v>1285.8475000000001</v>
      </c>
    </row>
    <row r="409" spans="1:9" ht="13.5" thickBot="1" x14ac:dyDescent="0.25">
      <c r="A409" s="938"/>
      <c r="B409" s="543" t="s">
        <v>269</v>
      </c>
      <c r="C409" s="70" t="s">
        <v>284</v>
      </c>
      <c r="D409" s="49" t="s">
        <v>586</v>
      </c>
      <c r="E409" s="195">
        <v>0.05</v>
      </c>
      <c r="F409" s="100">
        <f>H406</f>
        <v>12858.475</v>
      </c>
      <c r="G409" s="154">
        <v>0</v>
      </c>
      <c r="H409" s="255">
        <f>IF(G409&gt;0,(G409*F409*E409),(F409*E409))</f>
        <v>642.92375000000004</v>
      </c>
    </row>
    <row r="410" spans="1:9" s="42" customFormat="1" ht="17.25" x14ac:dyDescent="0.2">
      <c r="A410" s="458" t="s">
        <v>758</v>
      </c>
      <c r="B410" s="529"/>
      <c r="C410" s="388" t="s">
        <v>3745</v>
      </c>
      <c r="D410" s="389" t="s">
        <v>3251</v>
      </c>
      <c r="E410" s="395"/>
      <c r="F410" s="391">
        <f>ROUND(SUM(H410:H414),0)</f>
        <v>14410</v>
      </c>
      <c r="G410" s="392"/>
      <c r="H410" s="252"/>
      <c r="I410" s="738"/>
    </row>
    <row r="411" spans="1:9" x14ac:dyDescent="0.2">
      <c r="A411" s="949" t="s">
        <v>2555</v>
      </c>
      <c r="B411" s="241" t="s">
        <v>583</v>
      </c>
      <c r="C411" s="3" t="s">
        <v>584</v>
      </c>
      <c r="D411" s="2" t="s">
        <v>585</v>
      </c>
      <c r="E411" s="196">
        <v>1</v>
      </c>
      <c r="F411" s="23">
        <f>VLOOKUP(B411,'BASE DE DATOS'!$A$5:$E$997,5,FALSE)</f>
        <v>88679</v>
      </c>
      <c r="G411" s="104">
        <f>1/8</f>
        <v>0.125</v>
      </c>
      <c r="H411" s="252">
        <f>IF(G411&gt;0,(G411*F411*E411),(F411*E411))</f>
        <v>11084.875</v>
      </c>
    </row>
    <row r="412" spans="1:9" x14ac:dyDescent="0.2">
      <c r="A412" s="949"/>
      <c r="B412" s="241" t="s">
        <v>266</v>
      </c>
      <c r="C412" s="3" t="s">
        <v>283</v>
      </c>
      <c r="D412" s="2" t="s">
        <v>586</v>
      </c>
      <c r="E412" s="196">
        <v>0.1</v>
      </c>
      <c r="F412" s="23">
        <f>+H411</f>
        <v>11084.875</v>
      </c>
      <c r="G412" s="104">
        <v>0</v>
      </c>
      <c r="H412" s="252">
        <f>IF(G412&gt;0,(G412*F412*E412),(F412*E412))</f>
        <v>1108.4875</v>
      </c>
    </row>
    <row r="413" spans="1:9" x14ac:dyDescent="0.2">
      <c r="A413" s="944" t="s">
        <v>293</v>
      </c>
      <c r="B413" s="241" t="s">
        <v>598</v>
      </c>
      <c r="C413" s="218" t="s">
        <v>3362</v>
      </c>
      <c r="D413" s="219" t="s">
        <v>586</v>
      </c>
      <c r="E413" s="196">
        <v>0.1</v>
      </c>
      <c r="F413" s="220">
        <f>H411</f>
        <v>11084.875</v>
      </c>
      <c r="G413" s="187">
        <v>0</v>
      </c>
      <c r="H413" s="252">
        <f>IF(G413&gt;0,(G413*F413*E413),(F413*E413))</f>
        <v>1108.4875</v>
      </c>
    </row>
    <row r="414" spans="1:9" ht="13.5" thickBot="1" x14ac:dyDescent="0.25">
      <c r="A414" s="945"/>
      <c r="B414" s="528" t="s">
        <v>269</v>
      </c>
      <c r="C414" s="88" t="s">
        <v>284</v>
      </c>
      <c r="D414" s="89" t="s">
        <v>586</v>
      </c>
      <c r="E414" s="197">
        <v>0.1</v>
      </c>
      <c r="F414" s="90">
        <f>H411</f>
        <v>11084.875</v>
      </c>
      <c r="G414" s="153">
        <v>0</v>
      </c>
      <c r="H414" s="255">
        <f>IF(G414&gt;0,(G414*F414*E414),(F414*E414))</f>
        <v>1108.4875</v>
      </c>
    </row>
    <row r="415" spans="1:9" s="463" customFormat="1" ht="15" x14ac:dyDescent="0.2">
      <c r="A415" s="458" t="s">
        <v>759</v>
      </c>
      <c r="B415" s="529"/>
      <c r="C415" s="388" t="s">
        <v>2209</v>
      </c>
      <c r="D415" s="389" t="s">
        <v>405</v>
      </c>
      <c r="E415" s="395"/>
      <c r="F415" s="391">
        <f>ROUND(SUM(H415:H419),0)</f>
        <v>4611</v>
      </c>
      <c r="G415" s="392"/>
      <c r="H415" s="252"/>
      <c r="I415" s="9"/>
    </row>
    <row r="416" spans="1:9" x14ac:dyDescent="0.2">
      <c r="A416" s="949" t="s">
        <v>2555</v>
      </c>
      <c r="B416" s="241" t="s">
        <v>583</v>
      </c>
      <c r="C416" s="3" t="s">
        <v>584</v>
      </c>
      <c r="D416" s="2" t="s">
        <v>585</v>
      </c>
      <c r="E416" s="196">
        <v>1</v>
      </c>
      <c r="F416" s="23">
        <f>VLOOKUP(B416,'BASE DE DATOS'!$A$5:$E$997,5,FALSE)</f>
        <v>88679</v>
      </c>
      <c r="G416" s="104">
        <f>1/25</f>
        <v>0.04</v>
      </c>
      <c r="H416" s="252">
        <f>IF(G416&gt;0,(G416*F416*E416),(F416*E416))</f>
        <v>3547.16</v>
      </c>
    </row>
    <row r="417" spans="1:9" x14ac:dyDescent="0.2">
      <c r="A417" s="949"/>
      <c r="B417" s="241" t="s">
        <v>266</v>
      </c>
      <c r="C417" s="3" t="s">
        <v>283</v>
      </c>
      <c r="D417" s="2" t="s">
        <v>586</v>
      </c>
      <c r="E417" s="196">
        <v>0.1</v>
      </c>
      <c r="F417" s="23">
        <f>+H416</f>
        <v>3547.16</v>
      </c>
      <c r="G417" s="104">
        <v>0</v>
      </c>
      <c r="H417" s="252">
        <f>IF(G417&gt;0,(G417*F417*E417),(F417*E417))</f>
        <v>354.71600000000001</v>
      </c>
    </row>
    <row r="418" spans="1:9" x14ac:dyDescent="0.2">
      <c r="A418" s="944" t="s">
        <v>293</v>
      </c>
      <c r="B418" s="241" t="s">
        <v>598</v>
      </c>
      <c r="C418" s="218" t="s">
        <v>3362</v>
      </c>
      <c r="D418" s="219" t="s">
        <v>586</v>
      </c>
      <c r="E418" s="196">
        <v>0.1</v>
      </c>
      <c r="F418" s="220">
        <f>H416</f>
        <v>3547.16</v>
      </c>
      <c r="G418" s="187">
        <v>0</v>
      </c>
      <c r="H418" s="252">
        <f>IF(G418&gt;0,(G418*F418*E418),(F418*E418))</f>
        <v>354.71600000000001</v>
      </c>
    </row>
    <row r="419" spans="1:9" ht="13.5" thickBot="1" x14ac:dyDescent="0.25">
      <c r="A419" s="945"/>
      <c r="B419" s="528" t="s">
        <v>269</v>
      </c>
      <c r="C419" s="88" t="s">
        <v>284</v>
      </c>
      <c r="D419" s="89" t="s">
        <v>586</v>
      </c>
      <c r="E419" s="197">
        <v>0.1</v>
      </c>
      <c r="F419" s="90">
        <f>H416</f>
        <v>3547.16</v>
      </c>
      <c r="G419" s="153">
        <v>0</v>
      </c>
      <c r="H419" s="255">
        <f>IF(G419&gt;0,(G419*F419*E419),(F419*E419))</f>
        <v>354.71600000000001</v>
      </c>
    </row>
    <row r="420" spans="1:9" s="42" customFormat="1" ht="15" x14ac:dyDescent="0.2">
      <c r="A420" s="458" t="s">
        <v>760</v>
      </c>
      <c r="B420" s="526"/>
      <c r="C420" s="399" t="s">
        <v>454</v>
      </c>
      <c r="D420" s="326" t="s">
        <v>405</v>
      </c>
      <c r="E420" s="414"/>
      <c r="F420" s="401">
        <f>ROUND(SUM(H420:H424),0)</f>
        <v>5869</v>
      </c>
      <c r="G420" s="402"/>
      <c r="H420" s="252"/>
      <c r="I420" s="738"/>
    </row>
    <row r="421" spans="1:9" x14ac:dyDescent="0.2">
      <c r="A421" s="947" t="s">
        <v>2555</v>
      </c>
      <c r="B421" s="244" t="s">
        <v>644</v>
      </c>
      <c r="C421" s="20" t="s">
        <v>645</v>
      </c>
      <c r="D421" s="19" t="s">
        <v>585</v>
      </c>
      <c r="E421" s="194">
        <v>1</v>
      </c>
      <c r="F421" s="23">
        <f>VLOOKUP(B421,'BASE DE DATOS'!$A$5:$E$997,5,FALSE)</f>
        <v>248302</v>
      </c>
      <c r="G421" s="58">
        <f>1/55</f>
        <v>1.8181818181818181E-2</v>
      </c>
      <c r="H421" s="252">
        <f>IF(G421&gt;0,(G421*F421*E421),(F421*E421))</f>
        <v>4514.5818181818177</v>
      </c>
    </row>
    <row r="422" spans="1:9" x14ac:dyDescent="0.2">
      <c r="A422" s="947"/>
      <c r="B422" s="241" t="s">
        <v>266</v>
      </c>
      <c r="C422" s="3" t="s">
        <v>283</v>
      </c>
      <c r="D422" s="2" t="s">
        <v>586</v>
      </c>
      <c r="E422" s="114">
        <v>0.1</v>
      </c>
      <c r="F422" s="23">
        <f>+H421</f>
        <v>4514.5818181818177</v>
      </c>
      <c r="G422" s="104">
        <v>0</v>
      </c>
      <c r="H422" s="252">
        <f>IF(G422&gt;0,(G422*F422*E422),(F422*E422))</f>
        <v>451.4581818181818</v>
      </c>
    </row>
    <row r="423" spans="1:9" s="9" customFormat="1" x14ac:dyDescent="0.2">
      <c r="A423" s="937" t="s">
        <v>293</v>
      </c>
      <c r="B423" s="241" t="s">
        <v>598</v>
      </c>
      <c r="C423" s="218" t="s">
        <v>3362</v>
      </c>
      <c r="D423" s="219" t="s">
        <v>586</v>
      </c>
      <c r="E423" s="114">
        <v>0.1</v>
      </c>
      <c r="F423" s="220">
        <f>H421</f>
        <v>4514.5818181818177</v>
      </c>
      <c r="G423" s="187">
        <v>0</v>
      </c>
      <c r="H423" s="252">
        <f>IF(G423&gt;0,(G423*F423*E423),(F423*E423))</f>
        <v>451.4581818181818</v>
      </c>
    </row>
    <row r="424" spans="1:9" s="9" customFormat="1" ht="13.5" thickBot="1" x14ac:dyDescent="0.25">
      <c r="A424" s="938"/>
      <c r="B424" s="528" t="s">
        <v>269</v>
      </c>
      <c r="C424" s="88" t="s">
        <v>284</v>
      </c>
      <c r="D424" s="89" t="s">
        <v>586</v>
      </c>
      <c r="E424" s="193">
        <v>0.1</v>
      </c>
      <c r="F424" s="90">
        <f>H421</f>
        <v>4514.5818181818177</v>
      </c>
      <c r="G424" s="153">
        <v>0</v>
      </c>
      <c r="H424" s="255">
        <f>IF(G424&gt;0,(G424*F424*E424),(F424*E424))</f>
        <v>451.4581818181818</v>
      </c>
    </row>
    <row r="425" spans="1:9" s="463" customFormat="1" ht="17.25" x14ac:dyDescent="0.2">
      <c r="A425" s="458" t="s">
        <v>761</v>
      </c>
      <c r="B425" s="526"/>
      <c r="C425" s="399" t="s">
        <v>3746</v>
      </c>
      <c r="D425" s="326" t="s">
        <v>3251</v>
      </c>
      <c r="E425" s="400"/>
      <c r="F425" s="401">
        <f>ROUND(SUM(H425:H429),0)</f>
        <v>4966</v>
      </c>
      <c r="G425" s="402"/>
      <c r="H425" s="252"/>
      <c r="I425" s="9"/>
    </row>
    <row r="426" spans="1:9" x14ac:dyDescent="0.2">
      <c r="A426" s="947" t="s">
        <v>2555</v>
      </c>
      <c r="B426" s="244" t="s">
        <v>644</v>
      </c>
      <c r="C426" s="20" t="s">
        <v>645</v>
      </c>
      <c r="D426" s="19" t="s">
        <v>585</v>
      </c>
      <c r="E426" s="194">
        <v>1</v>
      </c>
      <c r="F426" s="23">
        <f>VLOOKUP(B426,'BASE DE DATOS'!$A$5:$E$997,5,FALSE)</f>
        <v>248302</v>
      </c>
      <c r="G426" s="58">
        <f>1/60</f>
        <v>1.6666666666666666E-2</v>
      </c>
      <c r="H426" s="252">
        <f>IF(G426&gt;0,(G426*F426*E426),(F426*E426))</f>
        <v>4138.3666666666668</v>
      </c>
    </row>
    <row r="427" spans="1:9" x14ac:dyDescent="0.2">
      <c r="A427" s="947"/>
      <c r="B427" s="244" t="s">
        <v>266</v>
      </c>
      <c r="C427" s="20" t="s">
        <v>283</v>
      </c>
      <c r="D427" s="19" t="s">
        <v>586</v>
      </c>
      <c r="E427" s="194">
        <v>0.1</v>
      </c>
      <c r="F427" s="23">
        <f>+H426</f>
        <v>4138.3666666666668</v>
      </c>
      <c r="G427" s="58">
        <v>0</v>
      </c>
      <c r="H427" s="252">
        <f>IF(G427&gt;0,(G427*F427*E427),(F427*E427))</f>
        <v>413.8366666666667</v>
      </c>
    </row>
    <row r="428" spans="1:9" x14ac:dyDescent="0.2">
      <c r="A428" s="937" t="s">
        <v>293</v>
      </c>
      <c r="B428" s="244" t="s">
        <v>598</v>
      </c>
      <c r="C428" s="214" t="s">
        <v>3362</v>
      </c>
      <c r="D428" s="215" t="s">
        <v>586</v>
      </c>
      <c r="E428" s="194">
        <v>0.05</v>
      </c>
      <c r="F428" s="598">
        <f>H426</f>
        <v>4138.3666666666668</v>
      </c>
      <c r="G428" s="216">
        <v>0</v>
      </c>
      <c r="H428" s="252">
        <f>IF(G428&gt;0,(G428*F428*E428),(F428*E428))</f>
        <v>206.91833333333335</v>
      </c>
    </row>
    <row r="429" spans="1:9" ht="13.5" thickBot="1" x14ac:dyDescent="0.25">
      <c r="A429" s="938"/>
      <c r="B429" s="543" t="s">
        <v>269</v>
      </c>
      <c r="C429" s="70" t="s">
        <v>284</v>
      </c>
      <c r="D429" s="49" t="s">
        <v>586</v>
      </c>
      <c r="E429" s="195">
        <v>0.05</v>
      </c>
      <c r="F429" s="100">
        <f>H426</f>
        <v>4138.3666666666668</v>
      </c>
      <c r="G429" s="154">
        <v>0</v>
      </c>
      <c r="H429" s="255">
        <f>IF(G429&gt;0,(G429*F429*E429),(F429*E429))</f>
        <v>206.91833333333335</v>
      </c>
    </row>
    <row r="430" spans="1:9" s="42" customFormat="1" ht="17.25" x14ac:dyDescent="0.2">
      <c r="A430" s="458" t="s">
        <v>762</v>
      </c>
      <c r="B430" s="529"/>
      <c r="C430" s="388" t="s">
        <v>459</v>
      </c>
      <c r="D430" s="389" t="s">
        <v>3251</v>
      </c>
      <c r="E430" s="390"/>
      <c r="F430" s="391">
        <f>ROUND(SUM(H430:H434),0)</f>
        <v>10641</v>
      </c>
      <c r="G430" s="392"/>
      <c r="H430" s="252"/>
      <c r="I430" s="738"/>
    </row>
    <row r="431" spans="1:9" s="9" customFormat="1" x14ac:dyDescent="0.2">
      <c r="A431" s="947" t="s">
        <v>2555</v>
      </c>
      <c r="B431" s="241" t="s">
        <v>583</v>
      </c>
      <c r="C431" s="3" t="s">
        <v>584</v>
      </c>
      <c r="D431" s="2" t="s">
        <v>585</v>
      </c>
      <c r="E431" s="114">
        <v>1</v>
      </c>
      <c r="F431" s="23">
        <f>VLOOKUP(B431,'BASE DE DATOS'!$A$5:$E$997,5,FALSE)</f>
        <v>88679</v>
      </c>
      <c r="G431" s="104">
        <f>1/10</f>
        <v>0.1</v>
      </c>
      <c r="H431" s="252">
        <f>IF(G431&gt;0,(G431*F431*E431),(F431*E431))</f>
        <v>8867.9</v>
      </c>
    </row>
    <row r="432" spans="1:9" x14ac:dyDescent="0.2">
      <c r="A432" s="947"/>
      <c r="B432" s="241" t="s">
        <v>266</v>
      </c>
      <c r="C432" s="3" t="s">
        <v>283</v>
      </c>
      <c r="D432" s="2" t="s">
        <v>586</v>
      </c>
      <c r="E432" s="114">
        <v>0.1</v>
      </c>
      <c r="F432" s="23">
        <f>+H431</f>
        <v>8867.9</v>
      </c>
      <c r="G432" s="104">
        <v>0</v>
      </c>
      <c r="H432" s="252">
        <f>IF(G432&gt;0,(G432*F432*E432),(F432*E432))</f>
        <v>886.79</v>
      </c>
    </row>
    <row r="433" spans="1:9" x14ac:dyDescent="0.2">
      <c r="A433" s="937" t="s">
        <v>293</v>
      </c>
      <c r="B433" s="241" t="s">
        <v>598</v>
      </c>
      <c r="C433" s="218" t="s">
        <v>3362</v>
      </c>
      <c r="D433" s="219" t="s">
        <v>586</v>
      </c>
      <c r="E433" s="114">
        <v>0.05</v>
      </c>
      <c r="F433" s="220">
        <f>H431</f>
        <v>8867.9</v>
      </c>
      <c r="G433" s="187">
        <v>0</v>
      </c>
      <c r="H433" s="252">
        <f>IF(G433&gt;0,(G433*F433*E433),(F433*E433))</f>
        <v>443.39499999999998</v>
      </c>
    </row>
    <row r="434" spans="1:9" ht="13.5" thickBot="1" x14ac:dyDescent="0.25">
      <c r="A434" s="938"/>
      <c r="B434" s="528" t="s">
        <v>269</v>
      </c>
      <c r="C434" s="88" t="s">
        <v>284</v>
      </c>
      <c r="D434" s="89" t="s">
        <v>586</v>
      </c>
      <c r="E434" s="193">
        <v>0.05</v>
      </c>
      <c r="F434" s="90">
        <f>H431</f>
        <v>8867.9</v>
      </c>
      <c r="G434" s="153">
        <v>0</v>
      </c>
      <c r="H434" s="255">
        <f>IF(G434&gt;0,(G434*F434*E434),(F434*E434))</f>
        <v>443.39499999999998</v>
      </c>
    </row>
    <row r="435" spans="1:9" s="42" customFormat="1" ht="17.25" x14ac:dyDescent="0.2">
      <c r="A435" s="458" t="s">
        <v>763</v>
      </c>
      <c r="B435" s="526"/>
      <c r="C435" s="399" t="s">
        <v>3751</v>
      </c>
      <c r="D435" s="326" t="s">
        <v>3251</v>
      </c>
      <c r="E435" s="414"/>
      <c r="F435" s="401">
        <f>ROUND(SUM(H435:H439),0)</f>
        <v>13967</v>
      </c>
      <c r="G435" s="402"/>
      <c r="H435" s="252"/>
      <c r="I435" s="738"/>
    </row>
    <row r="436" spans="1:9" x14ac:dyDescent="0.2">
      <c r="A436" s="979" t="s">
        <v>2555</v>
      </c>
      <c r="B436" s="244" t="s">
        <v>644</v>
      </c>
      <c r="C436" s="20" t="s">
        <v>645</v>
      </c>
      <c r="D436" s="19" t="s">
        <v>585</v>
      </c>
      <c r="E436" s="194">
        <v>1</v>
      </c>
      <c r="F436" s="23">
        <f>VLOOKUP(B436,'BASE DE DATOS'!$A$5:$E$997,5,FALSE)</f>
        <v>248302</v>
      </c>
      <c r="G436" s="58">
        <f>1/24</f>
        <v>4.1666666666666664E-2</v>
      </c>
      <c r="H436" s="252">
        <f>IF(G436&gt;0,(G436*F436*E436),(F436*E436))</f>
        <v>10345.916666666666</v>
      </c>
    </row>
    <row r="437" spans="1:9" x14ac:dyDescent="0.2">
      <c r="A437" s="979"/>
      <c r="B437" s="241" t="s">
        <v>266</v>
      </c>
      <c r="C437" s="3" t="s">
        <v>283</v>
      </c>
      <c r="D437" s="2" t="s">
        <v>586</v>
      </c>
      <c r="E437" s="114">
        <v>0.1</v>
      </c>
      <c r="F437" s="23">
        <f>+H436</f>
        <v>10345.916666666666</v>
      </c>
      <c r="G437" s="104">
        <v>0</v>
      </c>
      <c r="H437" s="252">
        <f>IF(G437&gt;0,(G437*F437*E437),(F437*E437))</f>
        <v>1034.5916666666667</v>
      </c>
    </row>
    <row r="438" spans="1:9" x14ac:dyDescent="0.2">
      <c r="A438" s="937" t="s">
        <v>293</v>
      </c>
      <c r="B438" s="241" t="s">
        <v>598</v>
      </c>
      <c r="C438" s="218" t="s">
        <v>3362</v>
      </c>
      <c r="D438" s="219" t="s">
        <v>586</v>
      </c>
      <c r="E438" s="114">
        <v>0.05</v>
      </c>
      <c r="F438" s="220">
        <f>H436</f>
        <v>10345.916666666666</v>
      </c>
      <c r="G438" s="187">
        <v>0</v>
      </c>
      <c r="H438" s="252">
        <f>IF(G438&gt;0,(G438*F438*E438),(F438*E438))</f>
        <v>517.29583333333335</v>
      </c>
    </row>
    <row r="439" spans="1:9" ht="13.5" thickBot="1" x14ac:dyDescent="0.25">
      <c r="A439" s="938"/>
      <c r="B439" s="531" t="s">
        <v>269</v>
      </c>
      <c r="C439" s="70" t="s">
        <v>284</v>
      </c>
      <c r="D439" s="49" t="s">
        <v>586</v>
      </c>
      <c r="E439" s="195">
        <v>0.2</v>
      </c>
      <c r="F439" s="100">
        <f>H436</f>
        <v>10345.916666666666</v>
      </c>
      <c r="G439" s="154">
        <v>0</v>
      </c>
      <c r="H439" s="255">
        <f>IF(G439&gt;0,(G439*F439*E439),(F439*E439))</f>
        <v>2069.1833333333334</v>
      </c>
    </row>
    <row r="440" spans="1:9" s="42" customFormat="1" ht="17.25" x14ac:dyDescent="0.2">
      <c r="A440" s="458" t="s">
        <v>764</v>
      </c>
      <c r="B440" s="529"/>
      <c r="C440" s="388" t="s">
        <v>3747</v>
      </c>
      <c r="D440" s="389" t="s">
        <v>3251</v>
      </c>
      <c r="E440" s="390"/>
      <c r="F440" s="391">
        <f>ROUND(SUM(H440:H443),0)</f>
        <v>18864</v>
      </c>
      <c r="G440" s="392"/>
      <c r="H440" s="252"/>
      <c r="I440" s="738"/>
    </row>
    <row r="441" spans="1:9" s="9" customFormat="1" x14ac:dyDescent="0.2">
      <c r="A441" s="947" t="s">
        <v>2555</v>
      </c>
      <c r="B441" s="244" t="s">
        <v>583</v>
      </c>
      <c r="C441" s="20" t="s">
        <v>584</v>
      </c>
      <c r="D441" s="19" t="s">
        <v>585</v>
      </c>
      <c r="E441" s="194">
        <v>1</v>
      </c>
      <c r="F441" s="23">
        <f>VLOOKUP(B441,'BASE DE DATOS'!$A$5:$E$997,5,FALSE)</f>
        <v>88679</v>
      </c>
      <c r="G441" s="58">
        <f>1/5.5</f>
        <v>0.18181818181818182</v>
      </c>
      <c r="H441" s="252">
        <f>IF(G441&gt;0,(G441*F441*E441),(F441*E441))</f>
        <v>16123.454545454546</v>
      </c>
    </row>
    <row r="442" spans="1:9" x14ac:dyDescent="0.2">
      <c r="A442" s="947"/>
      <c r="B442" s="244" t="s">
        <v>266</v>
      </c>
      <c r="C442" s="20" t="s">
        <v>283</v>
      </c>
      <c r="D442" s="19" t="s">
        <v>586</v>
      </c>
      <c r="E442" s="194">
        <v>0.1</v>
      </c>
      <c r="F442" s="23">
        <f>+H441</f>
        <v>16123.454545454546</v>
      </c>
      <c r="G442" s="58">
        <v>0</v>
      </c>
      <c r="H442" s="252">
        <f>IF(G442&gt;0,(G442*F442*E442),(F442*E442))</f>
        <v>1612.3454545454547</v>
      </c>
    </row>
    <row r="443" spans="1:9" ht="13.5" thickBot="1" x14ac:dyDescent="0.25">
      <c r="A443" s="85" t="s">
        <v>293</v>
      </c>
      <c r="B443" s="531" t="s">
        <v>269</v>
      </c>
      <c r="C443" s="70" t="s">
        <v>284</v>
      </c>
      <c r="D443" s="49" t="s">
        <v>586</v>
      </c>
      <c r="E443" s="195">
        <v>7.0000000000000007E-2</v>
      </c>
      <c r="F443" s="100">
        <f>H441</f>
        <v>16123.454545454546</v>
      </c>
      <c r="G443" s="154">
        <v>0</v>
      </c>
      <c r="H443" s="255">
        <f>IF(G443&gt;0,(G443*F443*E443),(F443*E443))</f>
        <v>1128.6418181818183</v>
      </c>
    </row>
    <row r="444" spans="1:9" s="42" customFormat="1" ht="17.25" x14ac:dyDescent="0.2">
      <c r="A444" s="458" t="s">
        <v>765</v>
      </c>
      <c r="B444" s="526"/>
      <c r="C444" s="399" t="s">
        <v>3748</v>
      </c>
      <c r="D444" s="326" t="s">
        <v>3251</v>
      </c>
      <c r="E444" s="414"/>
      <c r="F444" s="401">
        <f>ROUND(SUM(H444:H447),0)</f>
        <v>10198</v>
      </c>
      <c r="G444" s="402"/>
      <c r="H444" s="252"/>
      <c r="I444" s="738"/>
    </row>
    <row r="445" spans="1:9" x14ac:dyDescent="0.2">
      <c r="A445" s="947" t="s">
        <v>2555</v>
      </c>
      <c r="B445" s="244" t="s">
        <v>583</v>
      </c>
      <c r="C445" s="20" t="s">
        <v>584</v>
      </c>
      <c r="D445" s="19" t="s">
        <v>585</v>
      </c>
      <c r="E445" s="194">
        <v>1</v>
      </c>
      <c r="F445" s="23">
        <f>VLOOKUP(B445,'BASE DE DATOS'!$A$5:$E$997,5,FALSE)</f>
        <v>88679</v>
      </c>
      <c r="G445" s="104">
        <f>1/10</f>
        <v>0.1</v>
      </c>
      <c r="H445" s="252">
        <f>IF(G445&gt;0,(G445*F445*E445),(F445*E445))</f>
        <v>8867.9</v>
      </c>
    </row>
    <row r="446" spans="1:9" s="9" customFormat="1" x14ac:dyDescent="0.2">
      <c r="A446" s="947"/>
      <c r="B446" s="244" t="s">
        <v>266</v>
      </c>
      <c r="C446" s="20" t="s">
        <v>283</v>
      </c>
      <c r="D446" s="19" t="s">
        <v>586</v>
      </c>
      <c r="E446" s="194">
        <v>0.1</v>
      </c>
      <c r="F446" s="23">
        <f>+H445</f>
        <v>8867.9</v>
      </c>
      <c r="G446" s="58">
        <v>0</v>
      </c>
      <c r="H446" s="252">
        <f>IF(G446&gt;0,(G446*F446*E446),(F446*E446))</f>
        <v>886.79</v>
      </c>
    </row>
    <row r="447" spans="1:9" ht="13.5" thickBot="1" x14ac:dyDescent="0.25">
      <c r="A447" s="85" t="s">
        <v>293</v>
      </c>
      <c r="B447" s="531" t="s">
        <v>269</v>
      </c>
      <c r="C447" s="70" t="s">
        <v>284</v>
      </c>
      <c r="D447" s="49" t="s">
        <v>586</v>
      </c>
      <c r="E447" s="195">
        <v>0.05</v>
      </c>
      <c r="F447" s="100">
        <f>H445</f>
        <v>8867.9</v>
      </c>
      <c r="G447" s="154">
        <v>0</v>
      </c>
      <c r="H447" s="255">
        <f>IF(G447&gt;0,(G447*F447*E447),(F447*E447))</f>
        <v>443.39499999999998</v>
      </c>
    </row>
    <row r="448" spans="1:9" s="42" customFormat="1" ht="17.25" x14ac:dyDescent="0.2">
      <c r="A448" s="458" t="s">
        <v>1088</v>
      </c>
      <c r="B448" s="526"/>
      <c r="C448" s="399" t="s">
        <v>3750</v>
      </c>
      <c r="D448" s="326" t="s">
        <v>3251</v>
      </c>
      <c r="E448" s="414"/>
      <c r="F448" s="401">
        <f>ROUND(SUM(H448:H451),0)</f>
        <v>5099</v>
      </c>
      <c r="G448" s="402"/>
      <c r="H448" s="252"/>
      <c r="I448" s="738"/>
    </row>
    <row r="449" spans="1:9" x14ac:dyDescent="0.2">
      <c r="A449" s="947" t="s">
        <v>2555</v>
      </c>
      <c r="B449" s="244" t="s">
        <v>583</v>
      </c>
      <c r="C449" s="20" t="s">
        <v>584</v>
      </c>
      <c r="D449" s="19" t="s">
        <v>585</v>
      </c>
      <c r="E449" s="194">
        <v>1</v>
      </c>
      <c r="F449" s="23">
        <f>VLOOKUP(B449,'BASE DE DATOS'!$A$5:$E$997,5,FALSE)</f>
        <v>88679</v>
      </c>
      <c r="G449" s="104">
        <f>1/20</f>
        <v>0.05</v>
      </c>
      <c r="H449" s="252">
        <f>IF(G449&gt;0,(G449*F449*E449),(F449*E449))</f>
        <v>4433.95</v>
      </c>
    </row>
    <row r="450" spans="1:9" s="9" customFormat="1" x14ac:dyDescent="0.2">
      <c r="A450" s="947"/>
      <c r="B450" s="244" t="s">
        <v>266</v>
      </c>
      <c r="C450" s="20" t="s">
        <v>283</v>
      </c>
      <c r="D450" s="19" t="s">
        <v>586</v>
      </c>
      <c r="E450" s="194">
        <v>0.1</v>
      </c>
      <c r="F450" s="23">
        <f>+H449</f>
        <v>4433.95</v>
      </c>
      <c r="G450" s="58">
        <v>0</v>
      </c>
      <c r="H450" s="252">
        <f>IF(G450&gt;0,(G450*F450*E450),(F450*E450))</f>
        <v>443.39499999999998</v>
      </c>
    </row>
    <row r="451" spans="1:9" ht="13.5" thickBot="1" x14ac:dyDescent="0.25">
      <c r="A451" s="674" t="s">
        <v>293</v>
      </c>
      <c r="B451" s="531" t="s">
        <v>269</v>
      </c>
      <c r="C451" s="70" t="s">
        <v>284</v>
      </c>
      <c r="D451" s="49" t="s">
        <v>586</v>
      </c>
      <c r="E451" s="195">
        <v>0.05</v>
      </c>
      <c r="F451" s="100">
        <f>H449</f>
        <v>4433.95</v>
      </c>
      <c r="G451" s="154">
        <v>0</v>
      </c>
      <c r="H451" s="255">
        <f>IF(G451&gt;0,(G451*F451*E451),(F451*E451))</f>
        <v>221.69749999999999</v>
      </c>
    </row>
    <row r="452" spans="1:9" s="42" customFormat="1" ht="15" x14ac:dyDescent="0.2">
      <c r="A452" s="458" t="s">
        <v>3542</v>
      </c>
      <c r="B452" s="526"/>
      <c r="C452" s="399" t="s">
        <v>453</v>
      </c>
      <c r="D452" s="326" t="s">
        <v>411</v>
      </c>
      <c r="E452" s="414"/>
      <c r="F452" s="401">
        <f>ROUND(SUM(H452:H455),0)</f>
        <v>22946</v>
      </c>
      <c r="G452" s="402"/>
      <c r="H452" s="252"/>
      <c r="I452" s="738"/>
    </row>
    <row r="453" spans="1:9" x14ac:dyDescent="0.2">
      <c r="A453" s="947" t="s">
        <v>2555</v>
      </c>
      <c r="B453" s="244" t="s">
        <v>599</v>
      </c>
      <c r="C453" s="20" t="s">
        <v>600</v>
      </c>
      <c r="D453" s="19" t="s">
        <v>585</v>
      </c>
      <c r="E453" s="194">
        <v>1</v>
      </c>
      <c r="F453" s="23">
        <f>VLOOKUP(B453,'BASE DE DATOS'!$A$5:$E$997,5,FALSE)</f>
        <v>159623</v>
      </c>
      <c r="G453" s="58">
        <f>1/8</f>
        <v>0.125</v>
      </c>
      <c r="H453" s="252">
        <f>IF(G453&gt;0,(G453*F453*E453),(F453*E453))</f>
        <v>19952.875</v>
      </c>
    </row>
    <row r="454" spans="1:9" x14ac:dyDescent="0.2">
      <c r="A454" s="947"/>
      <c r="B454" s="244" t="s">
        <v>266</v>
      </c>
      <c r="C454" s="20" t="s">
        <v>283</v>
      </c>
      <c r="D454" s="19" t="s">
        <v>586</v>
      </c>
      <c r="E454" s="194">
        <v>0.05</v>
      </c>
      <c r="F454" s="23">
        <f>+H453</f>
        <v>19952.875</v>
      </c>
      <c r="G454" s="58">
        <v>0</v>
      </c>
      <c r="H454" s="252">
        <f>IF(G454&gt;0,(G454*F454*E454),(F454*E454))</f>
        <v>997.64375000000007</v>
      </c>
    </row>
    <row r="455" spans="1:9" s="9" customFormat="1" ht="13.5" thickBot="1" x14ac:dyDescent="0.25">
      <c r="A455" s="85" t="s">
        <v>293</v>
      </c>
      <c r="B455" s="531" t="s">
        <v>269</v>
      </c>
      <c r="C455" s="70" t="s">
        <v>284</v>
      </c>
      <c r="D455" s="49" t="s">
        <v>586</v>
      </c>
      <c r="E455" s="195">
        <v>0.1</v>
      </c>
      <c r="F455" s="100">
        <f>H453</f>
        <v>19952.875</v>
      </c>
      <c r="G455" s="154">
        <v>0</v>
      </c>
      <c r="H455" s="255">
        <f>IF(G455&gt;0,(G455*F455*E455),(F455*E455))</f>
        <v>1995.2875000000001</v>
      </c>
    </row>
    <row r="456" spans="1:9" s="42" customFormat="1" ht="15" x14ac:dyDescent="0.2">
      <c r="A456" s="458" t="s">
        <v>3667</v>
      </c>
      <c r="B456" s="526"/>
      <c r="C456" s="399" t="s">
        <v>3543</v>
      </c>
      <c r="D456" s="326" t="s">
        <v>411</v>
      </c>
      <c r="E456" s="414"/>
      <c r="F456" s="401">
        <f>ROUND(SUM(H456:H459),0)</f>
        <v>12748</v>
      </c>
      <c r="G456" s="402"/>
      <c r="H456" s="252"/>
      <c r="I456" s="738"/>
    </row>
    <row r="457" spans="1:9" x14ac:dyDescent="0.2">
      <c r="A457" s="947" t="s">
        <v>2555</v>
      </c>
      <c r="B457" s="244" t="s">
        <v>583</v>
      </c>
      <c r="C457" s="20" t="s">
        <v>584</v>
      </c>
      <c r="D457" s="19" t="s">
        <v>585</v>
      </c>
      <c r="E457" s="194">
        <v>1</v>
      </c>
      <c r="F457" s="23">
        <f>VLOOKUP(B457,'BASE DE DATOS'!$A$5:$E$997,5,FALSE)</f>
        <v>88679</v>
      </c>
      <c r="G457" s="58">
        <f>1/8</f>
        <v>0.125</v>
      </c>
      <c r="H457" s="252">
        <f>IF(G457&gt;0,(G457*F457*E457),(F457*E457))</f>
        <v>11084.875</v>
      </c>
    </row>
    <row r="458" spans="1:9" x14ac:dyDescent="0.2">
      <c r="A458" s="947"/>
      <c r="B458" s="244" t="s">
        <v>266</v>
      </c>
      <c r="C458" s="20" t="s">
        <v>283</v>
      </c>
      <c r="D458" s="19" t="s">
        <v>586</v>
      </c>
      <c r="E458" s="194">
        <v>0.1</v>
      </c>
      <c r="F458" s="23">
        <f>+H457</f>
        <v>11084.875</v>
      </c>
      <c r="G458" s="58">
        <v>0</v>
      </c>
      <c r="H458" s="252">
        <f>IF(G458&gt;0,(G458*F458*E458),(F458*E458))</f>
        <v>1108.4875</v>
      </c>
    </row>
    <row r="459" spans="1:9" s="9" customFormat="1" ht="13.5" thickBot="1" x14ac:dyDescent="0.25">
      <c r="A459" s="518" t="s">
        <v>293</v>
      </c>
      <c r="B459" s="531" t="s">
        <v>269</v>
      </c>
      <c r="C459" s="70" t="s">
        <v>284</v>
      </c>
      <c r="D459" s="49" t="s">
        <v>586</v>
      </c>
      <c r="E459" s="195">
        <v>0.05</v>
      </c>
      <c r="F459" s="100">
        <f>H457</f>
        <v>11084.875</v>
      </c>
      <c r="G459" s="154">
        <v>0</v>
      </c>
      <c r="H459" s="255">
        <f>IF(G459&gt;0,(G459*F459*E459),(F459*E459))</f>
        <v>554.24374999999998</v>
      </c>
    </row>
    <row r="460" spans="1:9" s="42" customFormat="1" ht="17.25" x14ac:dyDescent="0.2">
      <c r="A460" s="458" t="s">
        <v>3749</v>
      </c>
      <c r="B460" s="526"/>
      <c r="C460" s="399" t="s">
        <v>3752</v>
      </c>
      <c r="D460" s="389" t="s">
        <v>3251</v>
      </c>
      <c r="E460" s="414"/>
      <c r="F460" s="401">
        <f>ROUND(SUM(H460:H464),0)</f>
        <v>43250</v>
      </c>
      <c r="G460" s="402"/>
      <c r="H460" s="252"/>
      <c r="I460" s="741"/>
    </row>
    <row r="461" spans="1:9" x14ac:dyDescent="0.2">
      <c r="A461" s="984" t="s">
        <v>2555</v>
      </c>
      <c r="B461" s="244" t="s">
        <v>583</v>
      </c>
      <c r="C461" s="20" t="s">
        <v>584</v>
      </c>
      <c r="D461" s="19" t="s">
        <v>585</v>
      </c>
      <c r="E461" s="194">
        <v>1</v>
      </c>
      <c r="F461" s="23">
        <f>VLOOKUP(B461,'BASE DE DATOS'!$A$5:$E$997,5,FALSE)</f>
        <v>88679</v>
      </c>
      <c r="G461" s="58">
        <f>1/3.7</f>
        <v>0.27027027027027023</v>
      </c>
      <c r="H461" s="252">
        <f>IF(G461&gt;0,(G461*F461*E461),(F461*E461))</f>
        <v>23967.297297297293</v>
      </c>
    </row>
    <row r="462" spans="1:9" x14ac:dyDescent="0.2">
      <c r="A462" s="984"/>
      <c r="B462" s="244" t="s">
        <v>599</v>
      </c>
      <c r="C462" s="20" t="s">
        <v>600</v>
      </c>
      <c r="D462" s="19" t="s">
        <v>585</v>
      </c>
      <c r="E462" s="194">
        <v>1</v>
      </c>
      <c r="F462" s="23">
        <f>VLOOKUP(B462,'BASE DE DATOS'!$A$5:$E$997,5,FALSE)</f>
        <v>159623</v>
      </c>
      <c r="G462" s="58">
        <f>1/11</f>
        <v>9.0909090909090912E-2</v>
      </c>
      <c r="H462" s="252">
        <f>IF(G462&gt;0,(G462*F462*E462),(F462*E462))</f>
        <v>14511.181818181818</v>
      </c>
    </row>
    <row r="463" spans="1:9" x14ac:dyDescent="0.2">
      <c r="A463" s="984"/>
      <c r="B463" s="244" t="s">
        <v>266</v>
      </c>
      <c r="C463" s="20" t="s">
        <v>283</v>
      </c>
      <c r="D463" s="19" t="s">
        <v>586</v>
      </c>
      <c r="E463" s="194">
        <v>0.02</v>
      </c>
      <c r="F463" s="23">
        <f>H462+H461</f>
        <v>38478.479115479109</v>
      </c>
      <c r="G463" s="58">
        <v>0</v>
      </c>
      <c r="H463" s="252">
        <f>IF(G463&gt;0,(G463*F463*E463),(F463*E463))</f>
        <v>769.56958230958219</v>
      </c>
    </row>
    <row r="464" spans="1:9" s="9" customFormat="1" ht="13.5" thickBot="1" x14ac:dyDescent="0.25">
      <c r="A464" s="475" t="s">
        <v>293</v>
      </c>
      <c r="B464" s="531" t="s">
        <v>269</v>
      </c>
      <c r="C464" s="70" t="s">
        <v>284</v>
      </c>
      <c r="D464" s="49" t="s">
        <v>586</v>
      </c>
      <c r="E464" s="195">
        <v>0.104</v>
      </c>
      <c r="F464" s="100">
        <f>H462+H461</f>
        <v>38478.479115479109</v>
      </c>
      <c r="G464" s="154">
        <v>0</v>
      </c>
      <c r="H464" s="255">
        <f>IF(G464&gt;0,(G464*F464*E464),(F464*E464))</f>
        <v>4001.7618280098272</v>
      </c>
    </row>
    <row r="465" spans="1:9" s="42" customFormat="1" ht="45" x14ac:dyDescent="0.2">
      <c r="A465" s="458" t="s">
        <v>3875</v>
      </c>
      <c r="B465" s="526"/>
      <c r="C465" s="399" t="s">
        <v>3876</v>
      </c>
      <c r="D465" s="389" t="s">
        <v>3251</v>
      </c>
      <c r="E465" s="414"/>
      <c r="F465" s="401">
        <f>ROUND(SUM(H465:H469),0)</f>
        <v>15103</v>
      </c>
      <c r="G465" s="402"/>
      <c r="H465" s="252"/>
      <c r="I465" s="741">
        <v>39</v>
      </c>
    </row>
    <row r="466" spans="1:9" x14ac:dyDescent="0.2">
      <c r="A466" s="984" t="s">
        <v>2555</v>
      </c>
      <c r="B466" s="244" t="s">
        <v>583</v>
      </c>
      <c r="C466" s="20" t="s">
        <v>584</v>
      </c>
      <c r="D466" s="19" t="s">
        <v>585</v>
      </c>
      <c r="E466" s="194">
        <v>1</v>
      </c>
      <c r="F466" s="23">
        <f>VLOOKUP(B466,'BASE DE DATOS'!$A$5:$E$997,5,FALSE)</f>
        <v>88679</v>
      </c>
      <c r="G466" s="58">
        <f>1/14</f>
        <v>7.1428571428571425E-2</v>
      </c>
      <c r="H466" s="252">
        <f>IF(G466&gt;0,(G466*F466*E466),(F466*E466))</f>
        <v>6334.2142857142853</v>
      </c>
    </row>
    <row r="467" spans="1:9" x14ac:dyDescent="0.2">
      <c r="A467" s="984"/>
      <c r="B467" s="244" t="s">
        <v>599</v>
      </c>
      <c r="C467" s="20" t="s">
        <v>600</v>
      </c>
      <c r="D467" s="19" t="s">
        <v>585</v>
      </c>
      <c r="E467" s="194">
        <v>1</v>
      </c>
      <c r="F467" s="23">
        <f>VLOOKUP(B467,'BASE DE DATOS'!$A$5:$E$997,5,FALSE)</f>
        <v>159623</v>
      </c>
      <c r="G467" s="58">
        <f>1/20</f>
        <v>0.05</v>
      </c>
      <c r="H467" s="252">
        <f>IF(G467&gt;0,(G467*F467*E467),(F467*E467))</f>
        <v>7981.1500000000005</v>
      </c>
    </row>
    <row r="468" spans="1:9" x14ac:dyDescent="0.2">
      <c r="A468" s="984"/>
      <c r="B468" s="244" t="s">
        <v>266</v>
      </c>
      <c r="C468" s="20" t="s">
        <v>283</v>
      </c>
      <c r="D468" s="19" t="s">
        <v>586</v>
      </c>
      <c r="E468" s="194">
        <v>5.0000000000000001E-3</v>
      </c>
      <c r="F468" s="23">
        <f>H467+H466</f>
        <v>14315.364285714286</v>
      </c>
      <c r="G468" s="58">
        <v>0</v>
      </c>
      <c r="H468" s="252">
        <f>IF(G468&gt;0,(G468*F468*E468),(F468*E468))</f>
        <v>71.576821428571435</v>
      </c>
    </row>
    <row r="469" spans="1:9" s="9" customFormat="1" ht="13.5" thickBot="1" x14ac:dyDescent="0.25">
      <c r="A469" s="732" t="s">
        <v>293</v>
      </c>
      <c r="B469" s="531" t="s">
        <v>269</v>
      </c>
      <c r="C469" s="70" t="s">
        <v>284</v>
      </c>
      <c r="D469" s="49" t="s">
        <v>586</v>
      </c>
      <c r="E469" s="195">
        <v>0.05</v>
      </c>
      <c r="F469" s="100">
        <f>H467+H466</f>
        <v>14315.364285714286</v>
      </c>
      <c r="G469" s="154">
        <v>0</v>
      </c>
      <c r="H469" s="252">
        <f>IF(G469&gt;0,(G469*F469*E469),(F469*E469))</f>
        <v>715.76821428571429</v>
      </c>
    </row>
    <row r="470" spans="1:9" ht="15.75" thickBot="1" x14ac:dyDescent="0.25">
      <c r="A470" s="956" t="s">
        <v>2222</v>
      </c>
      <c r="B470" s="957"/>
      <c r="C470" s="957"/>
      <c r="D470" s="957"/>
      <c r="E470" s="957"/>
      <c r="F470" s="958"/>
      <c r="G470" s="957"/>
      <c r="H470" s="959"/>
    </row>
    <row r="471" spans="1:9" ht="45.75" thickBot="1" x14ac:dyDescent="0.25">
      <c r="A471" s="72" t="s">
        <v>2044</v>
      </c>
      <c r="B471" s="72" t="s">
        <v>265</v>
      </c>
      <c r="C471" s="72" t="s">
        <v>402</v>
      </c>
      <c r="D471" s="354" t="s">
        <v>346</v>
      </c>
      <c r="E471" s="192" t="s">
        <v>2173</v>
      </c>
      <c r="F471" s="162" t="s">
        <v>3165</v>
      </c>
      <c r="G471" s="290" t="s">
        <v>281</v>
      </c>
      <c r="H471" s="74" t="s">
        <v>3164</v>
      </c>
    </row>
    <row r="472" spans="1:9" s="42" customFormat="1" ht="17.25" x14ac:dyDescent="0.2">
      <c r="A472" s="458" t="s">
        <v>766</v>
      </c>
      <c r="B472" s="527"/>
      <c r="C472" s="388" t="s">
        <v>3761</v>
      </c>
      <c r="D472" s="389" t="s">
        <v>3225</v>
      </c>
      <c r="E472" s="390"/>
      <c r="F472" s="391">
        <f>ROUND(SUM(H472:H475),0)</f>
        <v>43205</v>
      </c>
      <c r="G472" s="392"/>
      <c r="H472" s="393"/>
      <c r="I472" s="738"/>
    </row>
    <row r="473" spans="1:9" x14ac:dyDescent="0.2">
      <c r="A473" s="947" t="s">
        <v>2555</v>
      </c>
      <c r="B473" s="241" t="s">
        <v>587</v>
      </c>
      <c r="C473" s="3" t="s">
        <v>588</v>
      </c>
      <c r="D473" s="2" t="s">
        <v>585</v>
      </c>
      <c r="E473" s="114">
        <v>1</v>
      </c>
      <c r="F473" s="23">
        <f>VLOOKUP(B473,'BASE DE DATOS'!$A$5:$E$997,5,FALSE)</f>
        <v>514339</v>
      </c>
      <c r="G473" s="104">
        <f>1/14.2857</f>
        <v>7.0000070000069997E-2</v>
      </c>
      <c r="H473" s="252">
        <f>IF(G473&gt;0,(G473*F473*E473),(F473*E473))</f>
        <v>36003.766003766003</v>
      </c>
    </row>
    <row r="474" spans="1:9" s="9" customFormat="1" x14ac:dyDescent="0.2">
      <c r="A474" s="947"/>
      <c r="B474" s="241" t="s">
        <v>266</v>
      </c>
      <c r="C474" s="3" t="s">
        <v>283</v>
      </c>
      <c r="D474" s="2" t="s">
        <v>586</v>
      </c>
      <c r="E474" s="114">
        <v>0.1</v>
      </c>
      <c r="F474" s="23">
        <f>+H473</f>
        <v>36003.766003766003</v>
      </c>
      <c r="G474" s="104">
        <v>0</v>
      </c>
      <c r="H474" s="252">
        <f>IF(G474&gt;0,(G474*F474*E474),(F474*E474))</f>
        <v>3600.3766003766004</v>
      </c>
    </row>
    <row r="475" spans="1:9" ht="13.5" thickBot="1" x14ac:dyDescent="0.25">
      <c r="A475" s="85" t="s">
        <v>293</v>
      </c>
      <c r="B475" s="530" t="s">
        <v>269</v>
      </c>
      <c r="C475" s="88" t="s">
        <v>284</v>
      </c>
      <c r="D475" s="89" t="s">
        <v>586</v>
      </c>
      <c r="E475" s="193">
        <v>0.1</v>
      </c>
      <c r="F475" s="90">
        <f>H473</f>
        <v>36003.766003766003</v>
      </c>
      <c r="G475" s="153">
        <v>0</v>
      </c>
      <c r="H475" s="255">
        <f>IF(G475&gt;0,(G475*F475*E475),(F475*E475))</f>
        <v>3600.3766003766004</v>
      </c>
    </row>
    <row r="476" spans="1:9" s="42" customFormat="1" ht="17.25" x14ac:dyDescent="0.2">
      <c r="A476" s="458" t="s">
        <v>768</v>
      </c>
      <c r="B476" s="529"/>
      <c r="C476" s="388" t="s">
        <v>3762</v>
      </c>
      <c r="D476" s="389" t="s">
        <v>3225</v>
      </c>
      <c r="E476" s="390"/>
      <c r="F476" s="391">
        <f>ROUND(SUM(H476:H480),0)</f>
        <v>78437</v>
      </c>
      <c r="G476" s="392"/>
      <c r="H476" s="252"/>
      <c r="I476" s="738"/>
    </row>
    <row r="477" spans="1:9" x14ac:dyDescent="0.2">
      <c r="A477" s="947" t="s">
        <v>2555</v>
      </c>
      <c r="B477" s="241" t="s">
        <v>587</v>
      </c>
      <c r="C477" s="3" t="s">
        <v>588</v>
      </c>
      <c r="D477" s="2" t="s">
        <v>585</v>
      </c>
      <c r="E477" s="114">
        <v>1</v>
      </c>
      <c r="F477" s="23">
        <f>VLOOKUP(B477,'BASE DE DATOS'!$A$5:$E$997,5,FALSE)</f>
        <v>514339</v>
      </c>
      <c r="G477" s="104">
        <f>1/8.1967</f>
        <v>0.12200031720082473</v>
      </c>
      <c r="H477" s="252">
        <f>IF(G477&gt;0,(G477*F477*E477),(F477*E477))</f>
        <v>62749.52114875499</v>
      </c>
    </row>
    <row r="478" spans="1:9" x14ac:dyDescent="0.2">
      <c r="A478" s="947"/>
      <c r="B478" s="241" t="s">
        <v>266</v>
      </c>
      <c r="C478" s="3" t="s">
        <v>283</v>
      </c>
      <c r="D478" s="2" t="s">
        <v>586</v>
      </c>
      <c r="E478" s="114">
        <v>0.05</v>
      </c>
      <c r="F478" s="23">
        <f>+H477</f>
        <v>62749.52114875499</v>
      </c>
      <c r="G478" s="104">
        <v>0</v>
      </c>
      <c r="H478" s="252">
        <f>IF(G478&gt;0,(G478*F478*E478),(F478*E478))</f>
        <v>3137.4760574377497</v>
      </c>
    </row>
    <row r="479" spans="1:9" x14ac:dyDescent="0.2">
      <c r="A479" s="944" t="s">
        <v>293</v>
      </c>
      <c r="B479" s="241" t="s">
        <v>276</v>
      </c>
      <c r="C479" s="218" t="s">
        <v>286</v>
      </c>
      <c r="D479" s="219" t="s">
        <v>586</v>
      </c>
      <c r="E479" s="114">
        <v>0.1</v>
      </c>
      <c r="F479" s="220">
        <f>H477</f>
        <v>62749.52114875499</v>
      </c>
      <c r="G479" s="187">
        <v>0</v>
      </c>
      <c r="H479" s="252">
        <f>IF(G479&gt;0,(G479*F479*E479),(F479*E479))</f>
        <v>6274.9521148754993</v>
      </c>
    </row>
    <row r="480" spans="1:9" ht="13.5" thickBot="1" x14ac:dyDescent="0.25">
      <c r="A480" s="945"/>
      <c r="B480" s="528" t="s">
        <v>269</v>
      </c>
      <c r="C480" s="88" t="s">
        <v>284</v>
      </c>
      <c r="D480" s="89" t="s">
        <v>586</v>
      </c>
      <c r="E480" s="193">
        <v>0.1</v>
      </c>
      <c r="F480" s="90">
        <f>H477</f>
        <v>62749.52114875499</v>
      </c>
      <c r="G480" s="153">
        <v>0</v>
      </c>
      <c r="H480" s="255">
        <f>IF(G480&gt;0,(G480*F480*E480),(F480*E480))</f>
        <v>6274.9521148754993</v>
      </c>
    </row>
    <row r="481" spans="1:9" s="42" customFormat="1" ht="17.25" x14ac:dyDescent="0.2">
      <c r="A481" s="458" t="s">
        <v>769</v>
      </c>
      <c r="B481" s="529"/>
      <c r="C481" s="388" t="s">
        <v>3763</v>
      </c>
      <c r="D481" s="389" t="s">
        <v>3225</v>
      </c>
      <c r="E481" s="390"/>
      <c r="F481" s="391">
        <f>ROUND(SUM(H481:H485),0)</f>
        <v>128585</v>
      </c>
      <c r="G481" s="392"/>
      <c r="H481" s="252"/>
      <c r="I481" s="738"/>
    </row>
    <row r="482" spans="1:9" x14ac:dyDescent="0.2">
      <c r="A482" s="947" t="s">
        <v>2555</v>
      </c>
      <c r="B482" s="241" t="s">
        <v>587</v>
      </c>
      <c r="C482" s="3" t="s">
        <v>588</v>
      </c>
      <c r="D482" s="2" t="s">
        <v>585</v>
      </c>
      <c r="E482" s="114">
        <v>1</v>
      </c>
      <c r="F482" s="23">
        <f>VLOOKUP(B482,'BASE DE DATOS'!$A$5:$E$997,5,FALSE)</f>
        <v>514339</v>
      </c>
      <c r="G482" s="104">
        <f>1/5</f>
        <v>0.2</v>
      </c>
      <c r="H482" s="252">
        <f>IF(G482&gt;0,(G482*F482*E482),(F482*E482))</f>
        <v>102867.8</v>
      </c>
    </row>
    <row r="483" spans="1:9" x14ac:dyDescent="0.2">
      <c r="A483" s="947"/>
      <c r="B483" s="241" t="s">
        <v>266</v>
      </c>
      <c r="C483" s="3" t="s">
        <v>283</v>
      </c>
      <c r="D483" s="2" t="s">
        <v>586</v>
      </c>
      <c r="E483" s="114">
        <v>0.05</v>
      </c>
      <c r="F483" s="23">
        <f>+H482</f>
        <v>102867.8</v>
      </c>
      <c r="G483" s="104">
        <v>0</v>
      </c>
      <c r="H483" s="252">
        <f>IF(G483&gt;0,(G483*F483*E483),(F483*E483))</f>
        <v>5143.3900000000003</v>
      </c>
    </row>
    <row r="484" spans="1:9" s="33" customFormat="1" x14ac:dyDescent="0.2">
      <c r="A484" s="944" t="s">
        <v>293</v>
      </c>
      <c r="B484" s="241" t="s">
        <v>276</v>
      </c>
      <c r="C484" s="218" t="s">
        <v>286</v>
      </c>
      <c r="D484" s="219" t="s">
        <v>586</v>
      </c>
      <c r="E484" s="114">
        <v>0.1</v>
      </c>
      <c r="F484" s="220">
        <f>H482</f>
        <v>102867.8</v>
      </c>
      <c r="G484" s="187">
        <v>0</v>
      </c>
      <c r="H484" s="252">
        <f>IF(G484&gt;0,(G484*F484*E484),(F484*E484))</f>
        <v>10286.780000000001</v>
      </c>
    </row>
    <row r="485" spans="1:9" ht="13.5" thickBot="1" x14ac:dyDescent="0.25">
      <c r="A485" s="945"/>
      <c r="B485" s="528" t="s">
        <v>269</v>
      </c>
      <c r="C485" s="88" t="s">
        <v>284</v>
      </c>
      <c r="D485" s="89" t="s">
        <v>586</v>
      </c>
      <c r="E485" s="193">
        <v>0.1</v>
      </c>
      <c r="F485" s="90">
        <f>H482</f>
        <v>102867.8</v>
      </c>
      <c r="G485" s="153">
        <v>0</v>
      </c>
      <c r="H485" s="255">
        <f>IF(G485&gt;0,(G485*F485*E485),(F485*E485))</f>
        <v>10286.780000000001</v>
      </c>
    </row>
    <row r="486" spans="1:9" s="42" customFormat="1" ht="17.25" x14ac:dyDescent="0.2">
      <c r="A486" s="458" t="s">
        <v>770</v>
      </c>
      <c r="B486" s="529"/>
      <c r="C486" s="388" t="s">
        <v>3764</v>
      </c>
      <c r="D486" s="389" t="s">
        <v>3225</v>
      </c>
      <c r="E486" s="390"/>
      <c r="F486" s="391">
        <f>ROUND(SUM(H486:H491),0)</f>
        <v>92505</v>
      </c>
      <c r="G486" s="392"/>
      <c r="H486" s="393"/>
      <c r="I486" s="738"/>
    </row>
    <row r="487" spans="1:9" x14ac:dyDescent="0.2">
      <c r="A487" s="947" t="s">
        <v>2555</v>
      </c>
      <c r="B487" s="241" t="s">
        <v>587</v>
      </c>
      <c r="C487" s="3" t="s">
        <v>588</v>
      </c>
      <c r="D487" s="2" t="s">
        <v>585</v>
      </c>
      <c r="E487" s="114">
        <v>1</v>
      </c>
      <c r="F487" s="23">
        <f>VLOOKUP(B487,'BASE DE DATOS'!$A$5:$E$997,5,FALSE)</f>
        <v>514339</v>
      </c>
      <c r="G487" s="104">
        <f>1/8</f>
        <v>0.125</v>
      </c>
      <c r="H487" s="252">
        <f>IF(G487&gt;0,(G487*F487*E487),(F487*E487))</f>
        <v>64292.375</v>
      </c>
    </row>
    <row r="488" spans="1:9" x14ac:dyDescent="0.2">
      <c r="A488" s="947"/>
      <c r="B488" s="241" t="s">
        <v>266</v>
      </c>
      <c r="C488" s="3" t="s">
        <v>283</v>
      </c>
      <c r="D488" s="2" t="s">
        <v>586</v>
      </c>
      <c r="E488" s="114">
        <v>0.1</v>
      </c>
      <c r="F488" s="23">
        <f>+H487</f>
        <v>64292.375</v>
      </c>
      <c r="G488" s="104">
        <v>0</v>
      </c>
      <c r="H488" s="252">
        <f>IF(G488&gt;0,(G488*F488*E488),(F488*E488))</f>
        <v>6429.2375000000002</v>
      </c>
    </row>
    <row r="489" spans="1:9" x14ac:dyDescent="0.2">
      <c r="A489" s="944" t="s">
        <v>293</v>
      </c>
      <c r="B489" s="241" t="s">
        <v>276</v>
      </c>
      <c r="C489" s="218" t="s">
        <v>286</v>
      </c>
      <c r="D489" s="219" t="s">
        <v>586</v>
      </c>
      <c r="E489" s="114">
        <v>0.1</v>
      </c>
      <c r="F489" s="220">
        <f>H487</f>
        <v>64292.375</v>
      </c>
      <c r="G489" s="187">
        <v>0</v>
      </c>
      <c r="H489" s="252">
        <f>IF(G489&gt;0,(G489*F489*E489),(F489*E489))</f>
        <v>6429.2375000000002</v>
      </c>
    </row>
    <row r="490" spans="1:9" x14ac:dyDescent="0.2">
      <c r="A490" s="944"/>
      <c r="B490" s="241" t="s">
        <v>269</v>
      </c>
      <c r="C490" s="218" t="s">
        <v>284</v>
      </c>
      <c r="D490" s="219" t="s">
        <v>586</v>
      </c>
      <c r="E490" s="114">
        <v>0.1</v>
      </c>
      <c r="F490" s="220">
        <f>H487</f>
        <v>64292.375</v>
      </c>
      <c r="G490" s="187">
        <v>0</v>
      </c>
      <c r="H490" s="252">
        <f>IF(G490&gt;0,(G490*F490*E490),(F490*E490))</f>
        <v>6429.2375000000002</v>
      </c>
    </row>
    <row r="491" spans="1:9" s="9" customFormat="1" ht="13.5" thickBot="1" x14ac:dyDescent="0.25">
      <c r="A491" s="945"/>
      <c r="B491" s="528" t="s">
        <v>609</v>
      </c>
      <c r="C491" s="88" t="s">
        <v>610</v>
      </c>
      <c r="D491" s="89" t="s">
        <v>585</v>
      </c>
      <c r="E491" s="193">
        <v>1</v>
      </c>
      <c r="F491" s="90">
        <f>VLOOKUP(B491,'BASE DE DATOS'!$A$5:$E$997,5,FALSE)</f>
        <v>71400</v>
      </c>
      <c r="G491" s="153">
        <f>1/8</f>
        <v>0.125</v>
      </c>
      <c r="H491" s="255">
        <f>IF(G491&gt;0,(G491*F491*E491),(F491*E491))</f>
        <v>8925</v>
      </c>
    </row>
    <row r="492" spans="1:9" s="42" customFormat="1" ht="17.25" x14ac:dyDescent="0.2">
      <c r="A492" s="458" t="s">
        <v>771</v>
      </c>
      <c r="B492" s="529"/>
      <c r="C492" s="388" t="s">
        <v>3765</v>
      </c>
      <c r="D492" s="389" t="s">
        <v>3225</v>
      </c>
      <c r="E492" s="390"/>
      <c r="F492" s="391">
        <f>ROUND(SUM(H492:H497),0)</f>
        <v>129877</v>
      </c>
      <c r="G492" s="392"/>
      <c r="H492" s="252"/>
      <c r="I492" s="738"/>
    </row>
    <row r="493" spans="1:9" x14ac:dyDescent="0.2">
      <c r="A493" s="947" t="s">
        <v>2555</v>
      </c>
      <c r="B493" s="241" t="s">
        <v>587</v>
      </c>
      <c r="C493" s="3" t="s">
        <v>588</v>
      </c>
      <c r="D493" s="2" t="s">
        <v>585</v>
      </c>
      <c r="E493" s="114">
        <v>1</v>
      </c>
      <c r="F493" s="23">
        <f>VLOOKUP(B493,'BASE DE DATOS'!$A$5:$E$997,5,FALSE)</f>
        <v>514339</v>
      </c>
      <c r="G493" s="104">
        <f>1/5.5</f>
        <v>0.18181818181818182</v>
      </c>
      <c r="H493" s="252">
        <f>IF(G493&gt;0,(G493*F493*E493),(F493*E493))</f>
        <v>93516.181818181823</v>
      </c>
    </row>
    <row r="494" spans="1:9" x14ac:dyDescent="0.2">
      <c r="A494" s="947"/>
      <c r="B494" s="241" t="s">
        <v>266</v>
      </c>
      <c r="C494" s="3" t="s">
        <v>283</v>
      </c>
      <c r="D494" s="2" t="s">
        <v>586</v>
      </c>
      <c r="E494" s="114">
        <v>0.05</v>
      </c>
      <c r="F494" s="23">
        <f>+H493</f>
        <v>93516.181818181823</v>
      </c>
      <c r="G494" s="104">
        <v>0</v>
      </c>
      <c r="H494" s="252">
        <f>IF(G494&gt;0,(G494*F494*E494),(F494*E494))</f>
        <v>4675.8090909090915</v>
      </c>
    </row>
    <row r="495" spans="1:9" x14ac:dyDescent="0.2">
      <c r="A495" s="944" t="s">
        <v>293</v>
      </c>
      <c r="B495" s="241" t="s">
        <v>276</v>
      </c>
      <c r="C495" s="218" t="s">
        <v>286</v>
      </c>
      <c r="D495" s="219" t="s">
        <v>586</v>
      </c>
      <c r="E495" s="114">
        <v>0.1</v>
      </c>
      <c r="F495" s="220">
        <f>H493</f>
        <v>93516.181818181823</v>
      </c>
      <c r="G495" s="187">
        <v>0</v>
      </c>
      <c r="H495" s="252">
        <f>IF(G495&gt;0,(G495*F495*E495),(F495*E495))</f>
        <v>9351.6181818181831</v>
      </c>
    </row>
    <row r="496" spans="1:9" x14ac:dyDescent="0.2">
      <c r="A496" s="944"/>
      <c r="B496" s="241" t="s">
        <v>269</v>
      </c>
      <c r="C496" s="218" t="s">
        <v>284</v>
      </c>
      <c r="D496" s="219" t="s">
        <v>586</v>
      </c>
      <c r="E496" s="114">
        <v>0.1</v>
      </c>
      <c r="F496" s="220">
        <f>H493</f>
        <v>93516.181818181823</v>
      </c>
      <c r="G496" s="187">
        <v>0</v>
      </c>
      <c r="H496" s="252">
        <f>IF(G496&gt;0,(G496*F496*E496),(F496*E496))</f>
        <v>9351.6181818181831</v>
      </c>
    </row>
    <row r="497" spans="1:9" ht="13.5" thickBot="1" x14ac:dyDescent="0.25">
      <c r="A497" s="945"/>
      <c r="B497" s="528" t="s">
        <v>609</v>
      </c>
      <c r="C497" s="88" t="s">
        <v>610</v>
      </c>
      <c r="D497" s="89" t="s">
        <v>585</v>
      </c>
      <c r="E497" s="193">
        <v>1</v>
      </c>
      <c r="F497" s="90">
        <f>VLOOKUP(B497,'BASE DE DATOS'!$A$5:$E$997,5,FALSE)</f>
        <v>71400</v>
      </c>
      <c r="G497" s="153">
        <f>1/5.5</f>
        <v>0.18181818181818182</v>
      </c>
      <c r="H497" s="255">
        <f>IF(G497&gt;0,(G497*F497*E497),(F497*E497))</f>
        <v>12981.818181818182</v>
      </c>
    </row>
    <row r="498" spans="1:9" s="42" customFormat="1" ht="30" x14ac:dyDescent="0.2">
      <c r="A498" s="458" t="s">
        <v>772</v>
      </c>
      <c r="B498" s="529"/>
      <c r="C498" s="388" t="s">
        <v>3766</v>
      </c>
      <c r="D498" s="389" t="s">
        <v>3225</v>
      </c>
      <c r="E498" s="390"/>
      <c r="F498" s="391">
        <f>ROUND(SUM(H498:H503),0)</f>
        <v>178581</v>
      </c>
      <c r="G498" s="392"/>
      <c r="H498" s="252"/>
      <c r="I498" s="738"/>
    </row>
    <row r="499" spans="1:9" x14ac:dyDescent="0.2">
      <c r="A499" s="947" t="s">
        <v>2555</v>
      </c>
      <c r="B499" s="241" t="s">
        <v>587</v>
      </c>
      <c r="C499" s="3" t="s">
        <v>588</v>
      </c>
      <c r="D499" s="2" t="s">
        <v>585</v>
      </c>
      <c r="E499" s="114">
        <v>1</v>
      </c>
      <c r="F499" s="23">
        <f>VLOOKUP(B499,'BASE DE DATOS'!$A$5:$E$997,5,FALSE)</f>
        <v>514339</v>
      </c>
      <c r="G499" s="104">
        <f>1/4</f>
        <v>0.25</v>
      </c>
      <c r="H499" s="252">
        <f>IF(G499&gt;0,(G499*F499*E499),(F499*E499))</f>
        <v>128584.75</v>
      </c>
    </row>
    <row r="500" spans="1:9" x14ac:dyDescent="0.2">
      <c r="A500" s="947"/>
      <c r="B500" s="241" t="s">
        <v>266</v>
      </c>
      <c r="C500" s="3" t="s">
        <v>283</v>
      </c>
      <c r="D500" s="2" t="s">
        <v>586</v>
      </c>
      <c r="E500" s="114">
        <v>0.05</v>
      </c>
      <c r="F500" s="23">
        <f>+H499</f>
        <v>128584.75</v>
      </c>
      <c r="G500" s="104">
        <v>0</v>
      </c>
      <c r="H500" s="252">
        <f>IF(G500&gt;0,(G500*F500*E500),(F500*E500))</f>
        <v>6429.2375000000002</v>
      </c>
    </row>
    <row r="501" spans="1:9" x14ac:dyDescent="0.2">
      <c r="A501" s="944" t="s">
        <v>293</v>
      </c>
      <c r="B501" s="241" t="s">
        <v>276</v>
      </c>
      <c r="C501" s="218" t="s">
        <v>286</v>
      </c>
      <c r="D501" s="219" t="s">
        <v>586</v>
      </c>
      <c r="E501" s="114">
        <v>0.1</v>
      </c>
      <c r="F501" s="220">
        <f>H499</f>
        <v>128584.75</v>
      </c>
      <c r="G501" s="187">
        <v>0</v>
      </c>
      <c r="H501" s="252">
        <f>IF(G501&gt;0,(G501*F501*E501),(F501*E501))</f>
        <v>12858.475</v>
      </c>
    </row>
    <row r="502" spans="1:9" x14ac:dyDescent="0.2">
      <c r="A502" s="944"/>
      <c r="B502" s="241" t="s">
        <v>269</v>
      </c>
      <c r="C502" s="218" t="s">
        <v>284</v>
      </c>
      <c r="D502" s="219" t="s">
        <v>586</v>
      </c>
      <c r="E502" s="114">
        <v>0.1</v>
      </c>
      <c r="F502" s="220">
        <f>H499</f>
        <v>128584.75</v>
      </c>
      <c r="G502" s="187">
        <v>0</v>
      </c>
      <c r="H502" s="252">
        <f>IF(G502&gt;0,(G502*F502*E502),(F502*E502))</f>
        <v>12858.475</v>
      </c>
    </row>
    <row r="503" spans="1:9" ht="13.5" thickBot="1" x14ac:dyDescent="0.25">
      <c r="A503" s="945"/>
      <c r="B503" s="528" t="s">
        <v>609</v>
      </c>
      <c r="C503" s="88" t="s">
        <v>610</v>
      </c>
      <c r="D503" s="89" t="s">
        <v>585</v>
      </c>
      <c r="E503" s="193">
        <v>1</v>
      </c>
      <c r="F503" s="90">
        <f>VLOOKUP(B503,'BASE DE DATOS'!$A$5:$E$997,5,FALSE)</f>
        <v>71400</v>
      </c>
      <c r="G503" s="153">
        <f>1/4</f>
        <v>0.25</v>
      </c>
      <c r="H503" s="255">
        <f>IF(G503&gt;0,(G503*F503*E503),(F503*E503))</f>
        <v>17850</v>
      </c>
    </row>
    <row r="504" spans="1:9" s="42" customFormat="1" ht="17.25" x14ac:dyDescent="0.2">
      <c r="A504" s="458" t="s">
        <v>773</v>
      </c>
      <c r="B504" s="529"/>
      <c r="C504" s="388" t="s">
        <v>3767</v>
      </c>
      <c r="D504" s="389" t="s">
        <v>3225</v>
      </c>
      <c r="E504" s="390"/>
      <c r="F504" s="391">
        <f>ROUND(SUM(H504:H507),0)</f>
        <v>77151</v>
      </c>
      <c r="G504" s="392"/>
      <c r="H504" s="252"/>
      <c r="I504" s="738"/>
    </row>
    <row r="505" spans="1:9" x14ac:dyDescent="0.2">
      <c r="A505" s="947" t="s">
        <v>2555</v>
      </c>
      <c r="B505" s="241" t="s">
        <v>587</v>
      </c>
      <c r="C505" s="3" t="s">
        <v>588</v>
      </c>
      <c r="D505" s="2" t="s">
        <v>585</v>
      </c>
      <c r="E505" s="114">
        <v>1</v>
      </c>
      <c r="F505" s="23">
        <f>VLOOKUP(B505,'BASE DE DATOS'!$A$5:$E$997,5,FALSE)</f>
        <v>514339</v>
      </c>
      <c r="G505" s="104">
        <f>1/8</f>
        <v>0.125</v>
      </c>
      <c r="H505" s="252">
        <f>IF(G505&gt;0,(G505*F505*E505),(F505*E505))</f>
        <v>64292.375</v>
      </c>
    </row>
    <row r="506" spans="1:9" x14ac:dyDescent="0.2">
      <c r="A506" s="947"/>
      <c r="B506" s="241" t="s">
        <v>266</v>
      </c>
      <c r="C506" s="3" t="s">
        <v>283</v>
      </c>
      <c r="D506" s="2" t="s">
        <v>586</v>
      </c>
      <c r="E506" s="114">
        <v>0.1</v>
      </c>
      <c r="F506" s="23">
        <f>H505</f>
        <v>64292.375</v>
      </c>
      <c r="G506" s="104">
        <v>0</v>
      </c>
      <c r="H506" s="252">
        <f>IF(G506&gt;0,(G506*F506*E506),(F506*E506))</f>
        <v>6429.2375000000002</v>
      </c>
    </row>
    <row r="507" spans="1:9" ht="13.5" thickBot="1" x14ac:dyDescent="0.25">
      <c r="A507" s="85" t="s">
        <v>293</v>
      </c>
      <c r="B507" s="530" t="s">
        <v>269</v>
      </c>
      <c r="C507" s="88" t="s">
        <v>284</v>
      </c>
      <c r="D507" s="89" t="s">
        <v>586</v>
      </c>
      <c r="E507" s="193">
        <v>0.1</v>
      </c>
      <c r="F507" s="90">
        <f>H505</f>
        <v>64292.375</v>
      </c>
      <c r="G507" s="153">
        <v>0</v>
      </c>
      <c r="H507" s="255">
        <f>IF(G507&gt;0,(G507*F507*E507),(F507*E507))</f>
        <v>6429.2375000000002</v>
      </c>
    </row>
    <row r="508" spans="1:9" s="42" customFormat="1" ht="17.25" x14ac:dyDescent="0.2">
      <c r="A508" s="458" t="s">
        <v>774</v>
      </c>
      <c r="B508" s="529"/>
      <c r="C508" s="388" t="s">
        <v>3768</v>
      </c>
      <c r="D508" s="389" t="s">
        <v>3225</v>
      </c>
      <c r="E508" s="390"/>
      <c r="F508" s="391">
        <f>ROUND(SUM(H508:H512),0)</f>
        <v>91846</v>
      </c>
      <c r="G508" s="392"/>
      <c r="H508" s="252"/>
      <c r="I508" s="738"/>
    </row>
    <row r="509" spans="1:9" x14ac:dyDescent="0.2">
      <c r="A509" s="947" t="s">
        <v>2555</v>
      </c>
      <c r="B509" s="241" t="s">
        <v>587</v>
      </c>
      <c r="C509" s="3" t="s">
        <v>588</v>
      </c>
      <c r="D509" s="2" t="s">
        <v>585</v>
      </c>
      <c r="E509" s="114">
        <v>1</v>
      </c>
      <c r="F509" s="23">
        <f>VLOOKUP(B509,'BASE DE DATOS'!$A$5:$E$997,5,FALSE)</f>
        <v>514339</v>
      </c>
      <c r="G509" s="104">
        <f>1/7</f>
        <v>0.14285714285714285</v>
      </c>
      <c r="H509" s="252">
        <f>IF(G509&gt;0,(G509*F509*E509),(F509*E509))</f>
        <v>73477</v>
      </c>
    </row>
    <row r="510" spans="1:9" x14ac:dyDescent="0.2">
      <c r="A510" s="947"/>
      <c r="B510" s="241" t="s">
        <v>266</v>
      </c>
      <c r="C510" s="3" t="s">
        <v>283</v>
      </c>
      <c r="D510" s="2" t="s">
        <v>586</v>
      </c>
      <c r="E510" s="114">
        <v>0.05</v>
      </c>
      <c r="F510" s="23">
        <f>H509</f>
        <v>73477</v>
      </c>
      <c r="G510" s="104">
        <v>0</v>
      </c>
      <c r="H510" s="252">
        <f>IF(G510&gt;0,(G510*F510*E510),(F510*E510))</f>
        <v>3673.8500000000004</v>
      </c>
    </row>
    <row r="511" spans="1:9" x14ac:dyDescent="0.2">
      <c r="A511" s="944" t="s">
        <v>293</v>
      </c>
      <c r="B511" s="241" t="s">
        <v>276</v>
      </c>
      <c r="C511" s="218" t="s">
        <v>286</v>
      </c>
      <c r="D511" s="219" t="s">
        <v>586</v>
      </c>
      <c r="E511" s="114">
        <v>0.1</v>
      </c>
      <c r="F511" s="220">
        <f>H509</f>
        <v>73477</v>
      </c>
      <c r="G511" s="187">
        <v>0</v>
      </c>
      <c r="H511" s="252">
        <f>IF(G511&gt;0,(G511*F511*E511),(F511*E511))</f>
        <v>7347.7000000000007</v>
      </c>
    </row>
    <row r="512" spans="1:9" s="33" customFormat="1" ht="13.5" thickBot="1" x14ac:dyDescent="0.25">
      <c r="A512" s="945"/>
      <c r="B512" s="528" t="s">
        <v>269</v>
      </c>
      <c r="C512" s="88" t="s">
        <v>284</v>
      </c>
      <c r="D512" s="89" t="s">
        <v>586</v>
      </c>
      <c r="E512" s="193">
        <v>0.1</v>
      </c>
      <c r="F512" s="90">
        <f>H509</f>
        <v>73477</v>
      </c>
      <c r="G512" s="153">
        <v>0</v>
      </c>
      <c r="H512" s="255">
        <f>IF(G512&gt;0,(G512*F512*E512),(F512*E512))</f>
        <v>7347.7000000000007</v>
      </c>
    </row>
    <row r="513" spans="1:9" s="42" customFormat="1" ht="17.25" x14ac:dyDescent="0.2">
      <c r="A513" s="458" t="s">
        <v>775</v>
      </c>
      <c r="B513" s="529"/>
      <c r="C513" s="388" t="s">
        <v>3769</v>
      </c>
      <c r="D513" s="389" t="s">
        <v>3225</v>
      </c>
      <c r="E513" s="390"/>
      <c r="F513" s="391">
        <f>ROUND(SUM(H513:H517),0)</f>
        <v>160731</v>
      </c>
      <c r="G513" s="392"/>
      <c r="H513" s="393"/>
      <c r="I513" s="738"/>
    </row>
    <row r="514" spans="1:9" x14ac:dyDescent="0.2">
      <c r="A514" s="947" t="s">
        <v>2555</v>
      </c>
      <c r="B514" s="241" t="s">
        <v>587</v>
      </c>
      <c r="C514" s="3" t="s">
        <v>588</v>
      </c>
      <c r="D514" s="2" t="s">
        <v>585</v>
      </c>
      <c r="E514" s="114">
        <v>1</v>
      </c>
      <c r="F514" s="23">
        <f>VLOOKUP(B514,'BASE DE DATOS'!$A$5:$E$997,5,FALSE)</f>
        <v>514339</v>
      </c>
      <c r="G514" s="104">
        <f>1/4</f>
        <v>0.25</v>
      </c>
      <c r="H514" s="252">
        <f>IF(G514&gt;0,(G514*F514*E514),(F514*E514))</f>
        <v>128584.75</v>
      </c>
    </row>
    <row r="515" spans="1:9" x14ac:dyDescent="0.2">
      <c r="A515" s="947"/>
      <c r="B515" s="241" t="s">
        <v>266</v>
      </c>
      <c r="C515" s="3" t="s">
        <v>283</v>
      </c>
      <c r="D515" s="2" t="s">
        <v>586</v>
      </c>
      <c r="E515" s="114">
        <v>0.05</v>
      </c>
      <c r="F515" s="23">
        <f>H514</f>
        <v>128584.75</v>
      </c>
      <c r="G515" s="104">
        <v>0</v>
      </c>
      <c r="H515" s="252">
        <f>IF(G515&gt;0,(G515*F515*E515),(F515*E515))</f>
        <v>6429.2375000000002</v>
      </c>
    </row>
    <row r="516" spans="1:9" x14ac:dyDescent="0.2">
      <c r="A516" s="944" t="s">
        <v>293</v>
      </c>
      <c r="B516" s="241" t="s">
        <v>276</v>
      </c>
      <c r="C516" s="218" t="s">
        <v>286</v>
      </c>
      <c r="D516" s="219" t="s">
        <v>586</v>
      </c>
      <c r="E516" s="114">
        <v>0.1</v>
      </c>
      <c r="F516" s="220">
        <f>H514</f>
        <v>128584.75</v>
      </c>
      <c r="G516" s="187">
        <v>0</v>
      </c>
      <c r="H516" s="252">
        <f>IF(G516&gt;0,(G516*F516*E516),(F516*E516))</f>
        <v>12858.475</v>
      </c>
    </row>
    <row r="517" spans="1:9" ht="13.5" thickBot="1" x14ac:dyDescent="0.25">
      <c r="A517" s="945"/>
      <c r="B517" s="528" t="s">
        <v>269</v>
      </c>
      <c r="C517" s="88" t="s">
        <v>284</v>
      </c>
      <c r="D517" s="89" t="s">
        <v>586</v>
      </c>
      <c r="E517" s="193">
        <v>0.1</v>
      </c>
      <c r="F517" s="90">
        <f>H514</f>
        <v>128584.75</v>
      </c>
      <c r="G517" s="153">
        <v>0</v>
      </c>
      <c r="H517" s="255">
        <f>IF(G517&gt;0,(G517*F517*E517),(F517*E517))</f>
        <v>12858.475</v>
      </c>
    </row>
    <row r="518" spans="1:9" s="42" customFormat="1" ht="17.25" x14ac:dyDescent="0.2">
      <c r="A518" s="458" t="s">
        <v>776</v>
      </c>
      <c r="B518" s="529"/>
      <c r="C518" s="388" t="s">
        <v>3770</v>
      </c>
      <c r="D518" s="389" t="s">
        <v>3225</v>
      </c>
      <c r="E518" s="390"/>
      <c r="F518" s="391">
        <f>ROUND(SUM(H518:H523),0)</f>
        <v>119054</v>
      </c>
      <c r="G518" s="392"/>
      <c r="H518" s="252"/>
      <c r="I518" s="738"/>
    </row>
    <row r="519" spans="1:9" x14ac:dyDescent="0.2">
      <c r="A519" s="947" t="s">
        <v>2555</v>
      </c>
      <c r="B519" s="241" t="s">
        <v>587</v>
      </c>
      <c r="C519" s="3" t="s">
        <v>588</v>
      </c>
      <c r="D519" s="2" t="s">
        <v>585</v>
      </c>
      <c r="E519" s="114">
        <v>1</v>
      </c>
      <c r="F519" s="23">
        <f>VLOOKUP(B519,'BASE DE DATOS'!$A$5:$E$997,5,FALSE)</f>
        <v>514339</v>
      </c>
      <c r="G519" s="104">
        <f>1/6</f>
        <v>0.16666666666666666</v>
      </c>
      <c r="H519" s="252">
        <f>IF(G519&gt;0,(G519*F519*E519),(F519*E519))</f>
        <v>85723.166666666657</v>
      </c>
    </row>
    <row r="520" spans="1:9" x14ac:dyDescent="0.2">
      <c r="A520" s="947"/>
      <c r="B520" s="241" t="s">
        <v>266</v>
      </c>
      <c r="C520" s="3" t="s">
        <v>283</v>
      </c>
      <c r="D520" s="2" t="s">
        <v>586</v>
      </c>
      <c r="E520" s="114">
        <v>0.05</v>
      </c>
      <c r="F520" s="23">
        <f>H519</f>
        <v>85723.166666666657</v>
      </c>
      <c r="G520" s="104">
        <v>0</v>
      </c>
      <c r="H520" s="252">
        <f>IF(G520&gt;0,(G520*F520*E520),(F520*E520))</f>
        <v>4286.1583333333328</v>
      </c>
    </row>
    <row r="521" spans="1:9" x14ac:dyDescent="0.2">
      <c r="A521" s="944" t="s">
        <v>293</v>
      </c>
      <c r="B521" s="241" t="s">
        <v>276</v>
      </c>
      <c r="C521" s="218" t="s">
        <v>286</v>
      </c>
      <c r="D521" s="219" t="s">
        <v>586</v>
      </c>
      <c r="E521" s="114">
        <v>0.1</v>
      </c>
      <c r="F521" s="220">
        <f>H519</f>
        <v>85723.166666666657</v>
      </c>
      <c r="G521" s="187">
        <v>0</v>
      </c>
      <c r="H521" s="252">
        <f>IF(G521&gt;0,(G521*F521*E521),(F521*E521))</f>
        <v>8572.3166666666657</v>
      </c>
    </row>
    <row r="522" spans="1:9" x14ac:dyDescent="0.2">
      <c r="A522" s="944"/>
      <c r="B522" s="241" t="s">
        <v>269</v>
      </c>
      <c r="C522" s="218" t="s">
        <v>284</v>
      </c>
      <c r="D522" s="219" t="s">
        <v>586</v>
      </c>
      <c r="E522" s="114">
        <v>0.1</v>
      </c>
      <c r="F522" s="220">
        <f>H519</f>
        <v>85723.166666666657</v>
      </c>
      <c r="G522" s="187">
        <v>0</v>
      </c>
      <c r="H522" s="252">
        <f>IF(G522&gt;0,(G522*F522*E522),(F522*E522))</f>
        <v>8572.3166666666657</v>
      </c>
    </row>
    <row r="523" spans="1:9" s="33" customFormat="1" ht="13.5" thickBot="1" x14ac:dyDescent="0.25">
      <c r="A523" s="945"/>
      <c r="B523" s="528" t="s">
        <v>609</v>
      </c>
      <c r="C523" s="88" t="s">
        <v>610</v>
      </c>
      <c r="D523" s="89" t="s">
        <v>585</v>
      </c>
      <c r="E523" s="193">
        <v>1</v>
      </c>
      <c r="F523" s="90">
        <f>VLOOKUP(B523,'BASE DE DATOS'!$A$5:$E$997,5,FALSE)</f>
        <v>71400</v>
      </c>
      <c r="G523" s="153">
        <f>1/6</f>
        <v>0.16666666666666666</v>
      </c>
      <c r="H523" s="255">
        <f>IF(G523&gt;0,(G523*F523*E523),(F523*E523))</f>
        <v>11900</v>
      </c>
    </row>
    <row r="524" spans="1:9" s="42" customFormat="1" ht="17.25" x14ac:dyDescent="0.2">
      <c r="A524" s="458" t="s">
        <v>777</v>
      </c>
      <c r="B524" s="529"/>
      <c r="C524" s="388" t="s">
        <v>3771</v>
      </c>
      <c r="D524" s="389" t="s">
        <v>3225</v>
      </c>
      <c r="E524" s="390"/>
      <c r="F524" s="391">
        <f>ROUND(SUM(H524:H529),0)</f>
        <v>142865</v>
      </c>
      <c r="G524" s="392"/>
      <c r="H524" s="252"/>
      <c r="I524" s="738"/>
    </row>
    <row r="525" spans="1:9" x14ac:dyDescent="0.2">
      <c r="A525" s="947" t="s">
        <v>2555</v>
      </c>
      <c r="B525" s="241" t="s">
        <v>587</v>
      </c>
      <c r="C525" s="3" t="s">
        <v>588</v>
      </c>
      <c r="D525" s="2" t="s">
        <v>585</v>
      </c>
      <c r="E525" s="114">
        <v>1</v>
      </c>
      <c r="F525" s="23">
        <f>VLOOKUP(B525,'BASE DE DATOS'!$A$5:$E$997,5,FALSE)</f>
        <v>514339</v>
      </c>
      <c r="G525" s="104">
        <f>1/5</f>
        <v>0.2</v>
      </c>
      <c r="H525" s="252">
        <f>IF(G525&gt;0,(G525*F525*E525),(F525*E525))</f>
        <v>102867.8</v>
      </c>
    </row>
    <row r="526" spans="1:9" x14ac:dyDescent="0.2">
      <c r="A526" s="947"/>
      <c r="B526" s="241" t="s">
        <v>266</v>
      </c>
      <c r="C526" s="3" t="s">
        <v>283</v>
      </c>
      <c r="D526" s="2" t="s">
        <v>586</v>
      </c>
      <c r="E526" s="114">
        <v>0.05</v>
      </c>
      <c r="F526" s="23">
        <f>H525</f>
        <v>102867.8</v>
      </c>
      <c r="G526" s="104">
        <v>0</v>
      </c>
      <c r="H526" s="252">
        <f>IF(G526&gt;0,(G526*F526*E526),(F526*E526))</f>
        <v>5143.3900000000003</v>
      </c>
    </row>
    <row r="527" spans="1:9" x14ac:dyDescent="0.2">
      <c r="A527" s="944" t="s">
        <v>293</v>
      </c>
      <c r="B527" s="241" t="s">
        <v>276</v>
      </c>
      <c r="C527" s="218" t="s">
        <v>286</v>
      </c>
      <c r="D527" s="219" t="s">
        <v>586</v>
      </c>
      <c r="E527" s="114">
        <v>0.1</v>
      </c>
      <c r="F527" s="220">
        <f>H525</f>
        <v>102867.8</v>
      </c>
      <c r="G527" s="187">
        <v>0</v>
      </c>
      <c r="H527" s="252">
        <f>IF(G527&gt;0,(G527*F527*E527),(F527*E527))</f>
        <v>10286.780000000001</v>
      </c>
    </row>
    <row r="528" spans="1:9" x14ac:dyDescent="0.2">
      <c r="A528" s="944"/>
      <c r="B528" s="241" t="s">
        <v>269</v>
      </c>
      <c r="C528" s="218" t="s">
        <v>284</v>
      </c>
      <c r="D528" s="219" t="s">
        <v>586</v>
      </c>
      <c r="E528" s="114">
        <v>0.1</v>
      </c>
      <c r="F528" s="220">
        <f>H525</f>
        <v>102867.8</v>
      </c>
      <c r="G528" s="187">
        <v>0</v>
      </c>
      <c r="H528" s="252">
        <f>IF(G528&gt;0,(G528*F528*E528),(F528*E528))</f>
        <v>10286.780000000001</v>
      </c>
    </row>
    <row r="529" spans="1:9" ht="13.5" thickBot="1" x14ac:dyDescent="0.25">
      <c r="A529" s="945"/>
      <c r="B529" s="528" t="s">
        <v>609</v>
      </c>
      <c r="C529" s="88" t="s">
        <v>610</v>
      </c>
      <c r="D529" s="89" t="s">
        <v>585</v>
      </c>
      <c r="E529" s="193">
        <v>1</v>
      </c>
      <c r="F529" s="90">
        <f>VLOOKUP(B529,'BASE DE DATOS'!$A$5:$E$997,5,FALSE)</f>
        <v>71400</v>
      </c>
      <c r="G529" s="153">
        <f>1/5</f>
        <v>0.2</v>
      </c>
      <c r="H529" s="255">
        <f>IF(G529&gt;0,(G529*F529*E529),(F529*E529))</f>
        <v>14280</v>
      </c>
    </row>
    <row r="530" spans="1:9" s="42" customFormat="1" ht="30" x14ac:dyDescent="0.2">
      <c r="A530" s="458" t="s">
        <v>778</v>
      </c>
      <c r="B530" s="529"/>
      <c r="C530" s="388" t="s">
        <v>3772</v>
      </c>
      <c r="D530" s="389" t="s">
        <v>3225</v>
      </c>
      <c r="E530" s="390"/>
      <c r="F530" s="391">
        <f>ROUND(SUM(H530:H535),0)</f>
        <v>178581</v>
      </c>
      <c r="G530" s="392"/>
      <c r="H530" s="252"/>
      <c r="I530" s="738"/>
    </row>
    <row r="531" spans="1:9" s="25" customFormat="1" x14ac:dyDescent="0.2">
      <c r="A531" s="947" t="s">
        <v>2555</v>
      </c>
      <c r="B531" s="241" t="s">
        <v>587</v>
      </c>
      <c r="C531" s="3" t="s">
        <v>588</v>
      </c>
      <c r="D531" s="2" t="s">
        <v>585</v>
      </c>
      <c r="E531" s="114">
        <v>1</v>
      </c>
      <c r="F531" s="23">
        <f>VLOOKUP(B531,'BASE DE DATOS'!$A$5:$E$997,5,FALSE)</f>
        <v>514339</v>
      </c>
      <c r="G531" s="104">
        <f>1/4</f>
        <v>0.25</v>
      </c>
      <c r="H531" s="252">
        <f>IF(G531&gt;0,(G531*F531*E531),(F531*E531))</f>
        <v>128584.75</v>
      </c>
    </row>
    <row r="532" spans="1:9" x14ac:dyDescent="0.2">
      <c r="A532" s="947"/>
      <c r="B532" s="241" t="s">
        <v>266</v>
      </c>
      <c r="C532" s="3" t="s">
        <v>283</v>
      </c>
      <c r="D532" s="2" t="s">
        <v>586</v>
      </c>
      <c r="E532" s="114">
        <v>0.05</v>
      </c>
      <c r="F532" s="23">
        <f>H531</f>
        <v>128584.75</v>
      </c>
      <c r="G532" s="104">
        <v>0</v>
      </c>
      <c r="H532" s="252">
        <f>IF(G532&gt;0,(G532*F532*E532),(F532*E532))</f>
        <v>6429.2375000000002</v>
      </c>
    </row>
    <row r="533" spans="1:9" x14ac:dyDescent="0.2">
      <c r="A533" s="944" t="s">
        <v>293</v>
      </c>
      <c r="B533" s="241" t="s">
        <v>276</v>
      </c>
      <c r="C533" s="218" t="s">
        <v>286</v>
      </c>
      <c r="D533" s="219" t="s">
        <v>586</v>
      </c>
      <c r="E533" s="114">
        <v>0.1</v>
      </c>
      <c r="F533" s="220">
        <f>H531</f>
        <v>128584.75</v>
      </c>
      <c r="G533" s="187">
        <v>0</v>
      </c>
      <c r="H533" s="252">
        <f>IF(G533&gt;0,(G533*F533*E533),(F533*E533))</f>
        <v>12858.475</v>
      </c>
    </row>
    <row r="534" spans="1:9" x14ac:dyDescent="0.2">
      <c r="A534" s="944"/>
      <c r="B534" s="241" t="s">
        <v>269</v>
      </c>
      <c r="C534" s="218" t="s">
        <v>284</v>
      </c>
      <c r="D534" s="219" t="s">
        <v>586</v>
      </c>
      <c r="E534" s="114">
        <v>0.1</v>
      </c>
      <c r="F534" s="220">
        <f>H531</f>
        <v>128584.75</v>
      </c>
      <c r="G534" s="187">
        <v>0</v>
      </c>
      <c r="H534" s="252">
        <f>IF(G534&gt;0,(G534*F534*E534),(F534*E534))</f>
        <v>12858.475</v>
      </c>
    </row>
    <row r="535" spans="1:9" ht="13.5" thickBot="1" x14ac:dyDescent="0.25">
      <c r="A535" s="945"/>
      <c r="B535" s="528" t="s">
        <v>609</v>
      </c>
      <c r="C535" s="88" t="s">
        <v>610</v>
      </c>
      <c r="D535" s="89" t="s">
        <v>585</v>
      </c>
      <c r="E535" s="193">
        <v>1</v>
      </c>
      <c r="F535" s="90">
        <f>VLOOKUP(B535,'BASE DE DATOS'!$A$5:$E$997,5,FALSE)</f>
        <v>71400</v>
      </c>
      <c r="G535" s="153">
        <f>1/4</f>
        <v>0.25</v>
      </c>
      <c r="H535" s="255">
        <f>IF(G535&gt;0,(G535*F535*E535),(F535*E535))</f>
        <v>17850</v>
      </c>
    </row>
    <row r="536" spans="1:9" s="42" customFormat="1" ht="30" x14ac:dyDescent="0.2">
      <c r="A536" s="458" t="s">
        <v>779</v>
      </c>
      <c r="B536" s="529"/>
      <c r="C536" s="388" t="s">
        <v>3773</v>
      </c>
      <c r="D536" s="389" t="s">
        <v>3225</v>
      </c>
      <c r="E536" s="390"/>
      <c r="F536" s="391">
        <f>ROUND(SUM(H536:H540),0)</f>
        <v>66864</v>
      </c>
      <c r="G536" s="392"/>
      <c r="H536" s="252"/>
      <c r="I536" s="738"/>
    </row>
    <row r="537" spans="1:9" x14ac:dyDescent="0.2">
      <c r="A537" s="947" t="s">
        <v>2555</v>
      </c>
      <c r="B537" s="241" t="s">
        <v>587</v>
      </c>
      <c r="C537" s="3" t="s">
        <v>588</v>
      </c>
      <c r="D537" s="2" t="s">
        <v>585</v>
      </c>
      <c r="E537" s="114">
        <v>1</v>
      </c>
      <c r="F537" s="23">
        <f>VLOOKUP(B537,'BASE DE DATOS'!$A$5:$E$997,5,FALSE)</f>
        <v>514339</v>
      </c>
      <c r="G537" s="104">
        <f>1/10</f>
        <v>0.1</v>
      </c>
      <c r="H537" s="252">
        <f>IF(G537&gt;0,(G537*F537*E537),(F537*E537))</f>
        <v>51433.9</v>
      </c>
    </row>
    <row r="538" spans="1:9" x14ac:dyDescent="0.2">
      <c r="A538" s="947"/>
      <c r="B538" s="241" t="s">
        <v>266</v>
      </c>
      <c r="C538" s="3" t="s">
        <v>283</v>
      </c>
      <c r="D538" s="2" t="s">
        <v>586</v>
      </c>
      <c r="E538" s="114">
        <v>0.1</v>
      </c>
      <c r="F538" s="23">
        <f>H537</f>
        <v>51433.9</v>
      </c>
      <c r="G538" s="104">
        <v>0</v>
      </c>
      <c r="H538" s="252">
        <f>IF(G538&gt;0,(G538*F538*E538),(F538*E538))</f>
        <v>5143.3900000000003</v>
      </c>
    </row>
    <row r="539" spans="1:9" x14ac:dyDescent="0.2">
      <c r="A539" s="944" t="s">
        <v>293</v>
      </c>
      <c r="B539" s="241" t="s">
        <v>274</v>
      </c>
      <c r="C539" s="218" t="s">
        <v>287</v>
      </c>
      <c r="D539" s="219" t="s">
        <v>586</v>
      </c>
      <c r="E539" s="114">
        <v>0.1</v>
      </c>
      <c r="F539" s="220">
        <f>H537</f>
        <v>51433.9</v>
      </c>
      <c r="G539" s="187">
        <v>0</v>
      </c>
      <c r="H539" s="252">
        <f>IF(G539&gt;0,(G539*F539*E539),(F539*E539))</f>
        <v>5143.3900000000003</v>
      </c>
    </row>
    <row r="540" spans="1:9" ht="13.5" thickBot="1" x14ac:dyDescent="0.25">
      <c r="A540" s="945"/>
      <c r="B540" s="528" t="s">
        <v>269</v>
      </c>
      <c r="C540" s="88" t="s">
        <v>284</v>
      </c>
      <c r="D540" s="89" t="s">
        <v>586</v>
      </c>
      <c r="E540" s="193">
        <v>0.1</v>
      </c>
      <c r="F540" s="90">
        <f>H537</f>
        <v>51433.9</v>
      </c>
      <c r="G540" s="153">
        <v>0</v>
      </c>
      <c r="H540" s="255">
        <f>IF(G540&gt;0,(G540*F540*E540),(F540*E540))</f>
        <v>5143.3900000000003</v>
      </c>
    </row>
    <row r="541" spans="1:9" s="42" customFormat="1" ht="30" x14ac:dyDescent="0.2">
      <c r="A541" s="458" t="s">
        <v>780</v>
      </c>
      <c r="B541" s="529"/>
      <c r="C541" s="388" t="s">
        <v>3774</v>
      </c>
      <c r="D541" s="389" t="s">
        <v>3225</v>
      </c>
      <c r="E541" s="390"/>
      <c r="F541" s="391">
        <f>ROUND(SUM(H541:H545),0)</f>
        <v>95520</v>
      </c>
      <c r="G541" s="392"/>
      <c r="H541" s="252"/>
      <c r="I541" s="738"/>
    </row>
    <row r="542" spans="1:9" x14ac:dyDescent="0.2">
      <c r="A542" s="947" t="s">
        <v>2555</v>
      </c>
      <c r="B542" s="241" t="s">
        <v>587</v>
      </c>
      <c r="C542" s="3" t="s">
        <v>588</v>
      </c>
      <c r="D542" s="2" t="s">
        <v>585</v>
      </c>
      <c r="E542" s="114">
        <v>1</v>
      </c>
      <c r="F542" s="23">
        <f>VLOOKUP(B542,'BASE DE DATOS'!$A$5:$E$997,5,FALSE)</f>
        <v>514339</v>
      </c>
      <c r="G542" s="104">
        <f>1/7</f>
        <v>0.14285714285714285</v>
      </c>
      <c r="H542" s="252">
        <f>IF(G542&gt;0,(G542*F542*E542),(F542*E542))</f>
        <v>73477</v>
      </c>
    </row>
    <row r="543" spans="1:9" x14ac:dyDescent="0.2">
      <c r="A543" s="947"/>
      <c r="B543" s="241" t="s">
        <v>266</v>
      </c>
      <c r="C543" s="3" t="s">
        <v>283</v>
      </c>
      <c r="D543" s="2" t="s">
        <v>586</v>
      </c>
      <c r="E543" s="114">
        <v>0.1</v>
      </c>
      <c r="F543" s="23">
        <f>H542</f>
        <v>73477</v>
      </c>
      <c r="G543" s="104">
        <v>0</v>
      </c>
      <c r="H543" s="252">
        <f>IF(G543&gt;0,(G543*F543*E543),(F543*E543))</f>
        <v>7347.7000000000007</v>
      </c>
    </row>
    <row r="544" spans="1:9" x14ac:dyDescent="0.2">
      <c r="A544" s="944" t="s">
        <v>293</v>
      </c>
      <c r="B544" s="241" t="s">
        <v>274</v>
      </c>
      <c r="C544" s="218" t="s">
        <v>287</v>
      </c>
      <c r="D544" s="219" t="s">
        <v>586</v>
      </c>
      <c r="E544" s="114">
        <v>0.1</v>
      </c>
      <c r="F544" s="220">
        <f>H542</f>
        <v>73477</v>
      </c>
      <c r="G544" s="187">
        <v>0</v>
      </c>
      <c r="H544" s="252">
        <f>IF(G544&gt;0,(G544*F544*E544),(F544*E544))</f>
        <v>7347.7000000000007</v>
      </c>
    </row>
    <row r="545" spans="1:9" ht="13.5" thickBot="1" x14ac:dyDescent="0.25">
      <c r="A545" s="945"/>
      <c r="B545" s="528" t="s">
        <v>269</v>
      </c>
      <c r="C545" s="88" t="s">
        <v>284</v>
      </c>
      <c r="D545" s="89" t="s">
        <v>586</v>
      </c>
      <c r="E545" s="193">
        <v>0.1</v>
      </c>
      <c r="F545" s="90">
        <f>H542</f>
        <v>73477</v>
      </c>
      <c r="G545" s="153">
        <v>0</v>
      </c>
      <c r="H545" s="255">
        <f>IF(G545&gt;0,(G545*F545*E545),(F545*E545))</f>
        <v>7347.7000000000007</v>
      </c>
    </row>
    <row r="546" spans="1:9" s="42" customFormat="1" ht="17.25" x14ac:dyDescent="0.2">
      <c r="A546" s="458" t="s">
        <v>781</v>
      </c>
      <c r="B546" s="526"/>
      <c r="C546" s="399" t="s">
        <v>3775</v>
      </c>
      <c r="D546" s="326" t="s">
        <v>3225</v>
      </c>
      <c r="E546" s="414"/>
      <c r="F546" s="401">
        <f>ROUND(SUM(H546:H549),0)</f>
        <v>51434</v>
      </c>
      <c r="G546" s="402"/>
      <c r="H546" s="252"/>
      <c r="I546" s="738"/>
    </row>
    <row r="547" spans="1:9" x14ac:dyDescent="0.2">
      <c r="A547" s="947" t="s">
        <v>2555</v>
      </c>
      <c r="B547" s="244" t="s">
        <v>587</v>
      </c>
      <c r="C547" s="20" t="s">
        <v>588</v>
      </c>
      <c r="D547" s="19" t="s">
        <v>585</v>
      </c>
      <c r="E547" s="194">
        <v>1</v>
      </c>
      <c r="F547" s="23">
        <f>VLOOKUP(B547,'BASE DE DATOS'!$A$5:$E$997,5,FALSE)</f>
        <v>514339</v>
      </c>
      <c r="G547" s="58">
        <f>1/12</f>
        <v>8.3333333333333329E-2</v>
      </c>
      <c r="H547" s="252">
        <f>IF(G547&gt;0,(G547*F547*E547),(F547*E547))</f>
        <v>42861.583333333328</v>
      </c>
    </row>
    <row r="548" spans="1:9" x14ac:dyDescent="0.2">
      <c r="A548" s="947"/>
      <c r="B548" s="244" t="s">
        <v>266</v>
      </c>
      <c r="C548" s="20" t="s">
        <v>283</v>
      </c>
      <c r="D548" s="19" t="s">
        <v>586</v>
      </c>
      <c r="E548" s="194">
        <v>0.1</v>
      </c>
      <c r="F548" s="23">
        <f>H547</f>
        <v>42861.583333333328</v>
      </c>
      <c r="G548" s="58">
        <v>0</v>
      </c>
      <c r="H548" s="252">
        <f>IF(G548&gt;0,(G548*F548*E548),(F548*E548))</f>
        <v>4286.1583333333328</v>
      </c>
    </row>
    <row r="549" spans="1:9" ht="13.5" thickBot="1" x14ac:dyDescent="0.25">
      <c r="A549" s="85" t="s">
        <v>293</v>
      </c>
      <c r="B549" s="531" t="s">
        <v>269</v>
      </c>
      <c r="C549" s="70" t="s">
        <v>284</v>
      </c>
      <c r="D549" s="49" t="s">
        <v>586</v>
      </c>
      <c r="E549" s="195">
        <v>0.1</v>
      </c>
      <c r="F549" s="100">
        <f>H547</f>
        <v>42861.583333333328</v>
      </c>
      <c r="G549" s="154">
        <v>0</v>
      </c>
      <c r="H549" s="255">
        <f>IF(G549&gt;0,(G549*F549*E549),(F549*E549))</f>
        <v>4286.1583333333328</v>
      </c>
    </row>
    <row r="550" spans="1:9" s="42" customFormat="1" ht="17.25" x14ac:dyDescent="0.2">
      <c r="A550" s="458" t="s">
        <v>782</v>
      </c>
      <c r="B550" s="526"/>
      <c r="C550" s="399" t="s">
        <v>3776</v>
      </c>
      <c r="D550" s="326" t="s">
        <v>3225</v>
      </c>
      <c r="E550" s="414"/>
      <c r="F550" s="401">
        <f>ROUND(SUM(H550:H553),0)</f>
        <v>68579</v>
      </c>
      <c r="G550" s="402"/>
      <c r="H550" s="330"/>
      <c r="I550" s="738"/>
    </row>
    <row r="551" spans="1:9" x14ac:dyDescent="0.2">
      <c r="A551" s="947" t="s">
        <v>2555</v>
      </c>
      <c r="B551" s="244" t="s">
        <v>587</v>
      </c>
      <c r="C551" s="20" t="s">
        <v>588</v>
      </c>
      <c r="D551" s="19" t="s">
        <v>585</v>
      </c>
      <c r="E551" s="194">
        <v>1</v>
      </c>
      <c r="F551" s="23">
        <f>VLOOKUP(B551,'BASE DE DATOS'!$A$5:$E$997,5,FALSE)</f>
        <v>514339</v>
      </c>
      <c r="G551" s="58">
        <f>1/9</f>
        <v>0.1111111111111111</v>
      </c>
      <c r="H551" s="252">
        <f>IF(G551&gt;0,(G551*F551*E551),(F551*E551))</f>
        <v>57148.777777777774</v>
      </c>
    </row>
    <row r="552" spans="1:9" x14ac:dyDescent="0.2">
      <c r="A552" s="947"/>
      <c r="B552" s="241" t="s">
        <v>266</v>
      </c>
      <c r="C552" s="3" t="s">
        <v>283</v>
      </c>
      <c r="D552" s="2" t="s">
        <v>586</v>
      </c>
      <c r="E552" s="114">
        <v>0.1</v>
      </c>
      <c r="F552" s="23">
        <f>H551</f>
        <v>57148.777777777774</v>
      </c>
      <c r="G552" s="104">
        <v>0</v>
      </c>
      <c r="H552" s="252">
        <f>IF(G552&gt;0,(G552*F552*E552),(F552*E552))</f>
        <v>5714.8777777777777</v>
      </c>
    </row>
    <row r="553" spans="1:9" ht="13.5" thickBot="1" x14ac:dyDescent="0.25">
      <c r="A553" s="84" t="s">
        <v>293</v>
      </c>
      <c r="B553" s="530" t="s">
        <v>269</v>
      </c>
      <c r="C553" s="88" t="s">
        <v>284</v>
      </c>
      <c r="D553" s="89" t="s">
        <v>586</v>
      </c>
      <c r="E553" s="193">
        <v>0.1</v>
      </c>
      <c r="F553" s="90">
        <f>H551</f>
        <v>57148.777777777774</v>
      </c>
      <c r="G553" s="153">
        <v>0</v>
      </c>
      <c r="H553" s="255">
        <f>IF(G553&gt;0,(G553*F553*E553),(F553*E553))</f>
        <v>5714.8777777777777</v>
      </c>
    </row>
    <row r="554" spans="1:9" s="42" customFormat="1" ht="17.25" x14ac:dyDescent="0.2">
      <c r="A554" s="458" t="s">
        <v>783</v>
      </c>
      <c r="B554" s="529"/>
      <c r="C554" s="388" t="s">
        <v>3539</v>
      </c>
      <c r="D554" s="389" t="s">
        <v>3225</v>
      </c>
      <c r="E554" s="390"/>
      <c r="F554" s="391">
        <f>ROUND(SUM(H554:H556),0)</f>
        <v>6427</v>
      </c>
      <c r="G554" s="392"/>
      <c r="H554" s="393"/>
      <c r="I554" s="738"/>
    </row>
    <row r="555" spans="1:9" x14ac:dyDescent="0.2">
      <c r="A555" s="81" t="s">
        <v>2555</v>
      </c>
      <c r="B555" s="241" t="s">
        <v>583</v>
      </c>
      <c r="C555" s="3" t="s">
        <v>584</v>
      </c>
      <c r="D555" s="2" t="s">
        <v>585</v>
      </c>
      <c r="E555" s="114">
        <v>1</v>
      </c>
      <c r="F555" s="23">
        <f>VLOOKUP(B555,'BASE DE DATOS'!$A$5:$E$997,5,FALSE)</f>
        <v>88679</v>
      </c>
      <c r="G555" s="104">
        <f>1/700</f>
        <v>1.4285714285714286E-3</v>
      </c>
      <c r="H555" s="252">
        <f>IF(G555&gt;0,(G555*F555*E555),(F555*E555))</f>
        <v>126.68428571428572</v>
      </c>
    </row>
    <row r="556" spans="1:9" ht="15" thickBot="1" x14ac:dyDescent="0.25">
      <c r="A556" s="85" t="s">
        <v>293</v>
      </c>
      <c r="B556" s="530" t="s">
        <v>657</v>
      </c>
      <c r="C556" s="88" t="s">
        <v>3928</v>
      </c>
      <c r="D556" s="89" t="s">
        <v>614</v>
      </c>
      <c r="E556" s="193">
        <v>1</v>
      </c>
      <c r="F556" s="90">
        <f>VLOOKUP(B556,'BASE DE DATOS'!$A$5:$E$997,5,FALSE)</f>
        <v>180000</v>
      </c>
      <c r="G556" s="153">
        <f>1/28.5714</f>
        <v>3.5000035000034999E-2</v>
      </c>
      <c r="H556" s="255">
        <f>IF(G556&gt;0,(G556*F556*E556),(F556*E556))</f>
        <v>6300.0063000063001</v>
      </c>
    </row>
    <row r="557" spans="1:9" s="42" customFormat="1" ht="17.25" x14ac:dyDescent="0.2">
      <c r="A557" s="458" t="s">
        <v>784</v>
      </c>
      <c r="B557" s="529"/>
      <c r="C557" s="388" t="s">
        <v>380</v>
      </c>
      <c r="D557" s="389" t="s">
        <v>3225</v>
      </c>
      <c r="E557" s="395"/>
      <c r="F557" s="391">
        <f>ROUND(SUM(H557:H566),0)</f>
        <v>214115</v>
      </c>
      <c r="G557" s="392"/>
      <c r="H557" s="393"/>
      <c r="I557" s="738"/>
    </row>
    <row r="558" spans="1:9" ht="14.25" x14ac:dyDescent="0.2">
      <c r="A558" s="936" t="s">
        <v>382</v>
      </c>
      <c r="B558" s="241" t="s">
        <v>1278</v>
      </c>
      <c r="C558" s="44" t="s">
        <v>628</v>
      </c>
      <c r="D558" s="136" t="s">
        <v>285</v>
      </c>
      <c r="E558" s="196">
        <v>1</v>
      </c>
      <c r="F558" s="23">
        <f>VLOOKUP(B558,'BASE DE DATOS'!$A$5:$E$997,5,FALSE)</f>
        <v>26610</v>
      </c>
      <c r="G558" s="104">
        <v>1.3</v>
      </c>
      <c r="H558" s="252">
        <f t="shared" ref="H558:H566" si="16">IF(G558&gt;0,(G558*F558*E558),(F558*E558))</f>
        <v>34593</v>
      </c>
    </row>
    <row r="559" spans="1:9" x14ac:dyDescent="0.2">
      <c r="A559" s="936"/>
      <c r="B559" s="241" t="s">
        <v>1279</v>
      </c>
      <c r="C559" s="3" t="s">
        <v>349</v>
      </c>
      <c r="D559" s="2" t="s">
        <v>617</v>
      </c>
      <c r="E559" s="114">
        <v>30</v>
      </c>
      <c r="F559" s="23">
        <f>VLOOKUP(B559,'BASE DE DATOS'!$A$5:$E$997,5,FALSE)</f>
        <v>19</v>
      </c>
      <c r="G559" s="104">
        <v>0</v>
      </c>
      <c r="H559" s="252">
        <f t="shared" si="16"/>
        <v>570</v>
      </c>
    </row>
    <row r="560" spans="1:9" x14ac:dyDescent="0.2">
      <c r="A560" s="936"/>
      <c r="B560" s="241" t="s">
        <v>1319</v>
      </c>
      <c r="C560" s="3" t="s">
        <v>2569</v>
      </c>
      <c r="D560" s="2" t="s">
        <v>616</v>
      </c>
      <c r="E560" s="114">
        <v>2</v>
      </c>
      <c r="F560" s="23">
        <f>VLOOKUP(B560,'BASE DE DATOS'!$A$5:$E$997,5,FALSE)</f>
        <v>32900</v>
      </c>
      <c r="G560" s="104">
        <v>1.05</v>
      </c>
      <c r="H560" s="252">
        <f t="shared" si="16"/>
        <v>69090</v>
      </c>
    </row>
    <row r="561" spans="1:9" x14ac:dyDescent="0.2">
      <c r="A561" s="947" t="s">
        <v>2555</v>
      </c>
      <c r="B561" s="241" t="s">
        <v>618</v>
      </c>
      <c r="C561" s="3" t="s">
        <v>619</v>
      </c>
      <c r="D561" s="2" t="s">
        <v>585</v>
      </c>
      <c r="E561" s="114">
        <v>1</v>
      </c>
      <c r="F561" s="23">
        <f>VLOOKUP(B561,'BASE DE DATOS'!$A$5:$E$997,5,FALSE)</f>
        <v>780376</v>
      </c>
      <c r="G561" s="104">
        <f>1/10</f>
        <v>0.1</v>
      </c>
      <c r="H561" s="252">
        <f t="shared" si="16"/>
        <v>78037.600000000006</v>
      </c>
    </row>
    <row r="562" spans="1:9" x14ac:dyDescent="0.2">
      <c r="A562" s="947"/>
      <c r="B562" s="241" t="s">
        <v>266</v>
      </c>
      <c r="C562" s="3" t="s">
        <v>283</v>
      </c>
      <c r="D562" s="2" t="s">
        <v>586</v>
      </c>
      <c r="E562" s="114">
        <v>0.1</v>
      </c>
      <c r="F562" s="23">
        <f>H561</f>
        <v>78037.600000000006</v>
      </c>
      <c r="G562" s="104">
        <v>0</v>
      </c>
      <c r="H562" s="252">
        <f t="shared" si="16"/>
        <v>7803.7600000000011</v>
      </c>
    </row>
    <row r="563" spans="1:9" x14ac:dyDescent="0.2">
      <c r="A563" s="944" t="s">
        <v>293</v>
      </c>
      <c r="B563" s="241" t="s">
        <v>620</v>
      </c>
      <c r="C563" s="3" t="s">
        <v>388</v>
      </c>
      <c r="D563" s="2" t="s">
        <v>585</v>
      </c>
      <c r="E563" s="114">
        <v>1</v>
      </c>
      <c r="F563" s="23">
        <f>VLOOKUP(B563,'BASE DE DATOS'!$A$5:$E$997,5,FALSE)</f>
        <v>71400</v>
      </c>
      <c r="G563" s="104">
        <f>1/10</f>
        <v>0.1</v>
      </c>
      <c r="H563" s="252">
        <f t="shared" si="16"/>
        <v>7140</v>
      </c>
    </row>
    <row r="564" spans="1:9" x14ac:dyDescent="0.2">
      <c r="A564" s="944"/>
      <c r="B564" s="241" t="s">
        <v>269</v>
      </c>
      <c r="C564" s="3" t="s">
        <v>284</v>
      </c>
      <c r="D564" s="2" t="s">
        <v>586</v>
      </c>
      <c r="E564" s="114">
        <v>0.1</v>
      </c>
      <c r="F564" s="23">
        <f>H561</f>
        <v>78037.600000000006</v>
      </c>
      <c r="G564" s="104">
        <v>0</v>
      </c>
      <c r="H564" s="252">
        <f t="shared" si="16"/>
        <v>7803.7600000000011</v>
      </c>
    </row>
    <row r="565" spans="1:9" x14ac:dyDescent="0.2">
      <c r="A565" s="944"/>
      <c r="B565" s="241" t="s">
        <v>621</v>
      </c>
      <c r="C565" s="3" t="s">
        <v>360</v>
      </c>
      <c r="D565" s="2" t="s">
        <v>585</v>
      </c>
      <c r="E565" s="114">
        <v>1</v>
      </c>
      <c r="F565" s="23">
        <f>VLOOKUP(B565,'BASE DE DATOS'!$A$5:$E$997,5,FALSE)</f>
        <v>71400</v>
      </c>
      <c r="G565" s="104">
        <f>1/10</f>
        <v>0.1</v>
      </c>
      <c r="H565" s="252">
        <f t="shared" si="16"/>
        <v>7140</v>
      </c>
    </row>
    <row r="566" spans="1:9" ht="13.5" thickBot="1" x14ac:dyDescent="0.25">
      <c r="A566" s="92" t="s">
        <v>139</v>
      </c>
      <c r="B566" s="530" t="s">
        <v>137</v>
      </c>
      <c r="C566" s="88" t="s">
        <v>138</v>
      </c>
      <c r="D566" s="89" t="s">
        <v>411</v>
      </c>
      <c r="E566" s="193">
        <f>1/40</f>
        <v>2.5000000000000001E-2</v>
      </c>
      <c r="F566" s="90">
        <f>VLOOKUP(B566,'BASE DE DATOS'!$A$5:$E$997,5,FALSE)</f>
        <v>77474</v>
      </c>
      <c r="G566" s="153">
        <v>0</v>
      </c>
      <c r="H566" s="255">
        <f t="shared" si="16"/>
        <v>1936.8500000000001</v>
      </c>
    </row>
    <row r="567" spans="1:9" s="42" customFormat="1" ht="17.25" x14ac:dyDescent="0.2">
      <c r="A567" s="464" t="s">
        <v>785</v>
      </c>
      <c r="B567" s="526"/>
      <c r="C567" s="399" t="s">
        <v>3777</v>
      </c>
      <c r="D567" s="326" t="s">
        <v>3225</v>
      </c>
      <c r="E567" s="414"/>
      <c r="F567" s="401">
        <f>ROUND(SUM(H567:H571),0)</f>
        <v>39349</v>
      </c>
      <c r="G567" s="402"/>
      <c r="H567" s="330"/>
      <c r="I567" s="738"/>
    </row>
    <row r="568" spans="1:9" x14ac:dyDescent="0.2">
      <c r="A568" s="947" t="s">
        <v>2555</v>
      </c>
      <c r="B568" s="241" t="s">
        <v>587</v>
      </c>
      <c r="C568" s="3" t="s">
        <v>588</v>
      </c>
      <c r="D568" s="2" t="s">
        <v>585</v>
      </c>
      <c r="E568" s="114">
        <v>1</v>
      </c>
      <c r="F568" s="23">
        <f>VLOOKUP(B568,'BASE DE DATOS'!$A$5:$E$997,5,FALSE)</f>
        <v>514339</v>
      </c>
      <c r="G568" s="104">
        <f>1/17.5</f>
        <v>5.7142857142857141E-2</v>
      </c>
      <c r="H568" s="252">
        <f>IF(G568&gt;0,(G568*F568*E568),(F568*E568))</f>
        <v>29390.799999999999</v>
      </c>
    </row>
    <row r="569" spans="1:9" x14ac:dyDescent="0.2">
      <c r="A569" s="947"/>
      <c r="B569" s="241" t="s">
        <v>266</v>
      </c>
      <c r="C569" s="3" t="s">
        <v>283</v>
      </c>
      <c r="D569" s="2" t="s">
        <v>586</v>
      </c>
      <c r="E569" s="114">
        <v>0.1</v>
      </c>
      <c r="F569" s="23">
        <f>H568</f>
        <v>29390.799999999999</v>
      </c>
      <c r="G569" s="104">
        <v>0</v>
      </c>
      <c r="H569" s="252">
        <f>IF(G569&gt;0,(G569*F569*E569),(F569*E569))</f>
        <v>2939.08</v>
      </c>
    </row>
    <row r="570" spans="1:9" x14ac:dyDescent="0.2">
      <c r="A570" s="944" t="s">
        <v>293</v>
      </c>
      <c r="B570" s="241" t="s">
        <v>655</v>
      </c>
      <c r="C570" s="218" t="s">
        <v>1954</v>
      </c>
      <c r="D570" s="219" t="s">
        <v>585</v>
      </c>
      <c r="E570" s="114">
        <v>1</v>
      </c>
      <c r="F570" s="220">
        <f>VLOOKUP(B570,'BASE DE DATOS'!$A$5:$E$997,5,FALSE)</f>
        <v>71400</v>
      </c>
      <c r="G570" s="187">
        <f>1/17.5</f>
        <v>5.7142857142857141E-2</v>
      </c>
      <c r="H570" s="252">
        <f>IF(G570&gt;0,(G570*F570*E570),(F570*E570))</f>
        <v>4080</v>
      </c>
    </row>
    <row r="571" spans="1:9" ht="13.5" thickBot="1" x14ac:dyDescent="0.25">
      <c r="A571" s="945"/>
      <c r="B571" s="528" t="s">
        <v>269</v>
      </c>
      <c r="C571" s="88" t="s">
        <v>284</v>
      </c>
      <c r="D571" s="89" t="s">
        <v>586</v>
      </c>
      <c r="E571" s="193">
        <v>0.1</v>
      </c>
      <c r="F571" s="90">
        <f>H568</f>
        <v>29390.799999999999</v>
      </c>
      <c r="G571" s="153">
        <v>0</v>
      </c>
      <c r="H571" s="255">
        <f>IF(G571&gt;0,(G571*F571*E571),(F571*E571))</f>
        <v>2939.08</v>
      </c>
    </row>
    <row r="572" spans="1:9" s="42" customFormat="1" ht="17.25" x14ac:dyDescent="0.2">
      <c r="A572" s="458" t="s">
        <v>786</v>
      </c>
      <c r="B572" s="529"/>
      <c r="C572" s="388" t="s">
        <v>3778</v>
      </c>
      <c r="D572" s="389" t="s">
        <v>3225</v>
      </c>
      <c r="E572" s="390"/>
      <c r="F572" s="391">
        <f>ROUND(SUM(H572:H580),0)</f>
        <v>192707</v>
      </c>
      <c r="G572" s="392"/>
      <c r="H572" s="393"/>
      <c r="I572" s="736"/>
    </row>
    <row r="573" spans="1:9" ht="14.25" x14ac:dyDescent="0.2">
      <c r="A573" s="82" t="s">
        <v>382</v>
      </c>
      <c r="B573" s="241" t="s">
        <v>1598</v>
      </c>
      <c r="C573" s="3" t="s">
        <v>622</v>
      </c>
      <c r="D573" s="2" t="s">
        <v>285</v>
      </c>
      <c r="E573" s="114">
        <v>1</v>
      </c>
      <c r="F573" s="23">
        <f>VLOOKUP(B573,'BASE DE DATOS'!$A$5:$E$997,5,FALSE)</f>
        <v>93750</v>
      </c>
      <c r="G573" s="104">
        <v>1.3</v>
      </c>
      <c r="H573" s="252">
        <f t="shared" ref="H573:H580" si="17">IF(G573&gt;0,(G573*F573*E573),(F573*E573))</f>
        <v>121875</v>
      </c>
    </row>
    <row r="574" spans="1:9" ht="14.25" x14ac:dyDescent="0.2">
      <c r="A574" s="946" t="s">
        <v>3252</v>
      </c>
      <c r="B574" s="244" t="s">
        <v>713</v>
      </c>
      <c r="C574" s="3" t="s">
        <v>140</v>
      </c>
      <c r="D574" s="2" t="s">
        <v>285</v>
      </c>
      <c r="E574" s="114">
        <v>1</v>
      </c>
      <c r="F574" s="23">
        <f>F199</f>
        <v>5046</v>
      </c>
      <c r="G574" s="104">
        <v>0</v>
      </c>
      <c r="H574" s="252">
        <f t="shared" si="17"/>
        <v>5046</v>
      </c>
    </row>
    <row r="575" spans="1:9" ht="14.25" x14ac:dyDescent="0.2">
      <c r="A575" s="946"/>
      <c r="B575" s="244" t="s">
        <v>1118</v>
      </c>
      <c r="C575" s="3" t="s">
        <v>134</v>
      </c>
      <c r="D575" s="2" t="s">
        <v>285</v>
      </c>
      <c r="E575" s="114">
        <v>1</v>
      </c>
      <c r="F575" s="23">
        <f>' VÍAS'!F162</f>
        <v>20811</v>
      </c>
      <c r="G575" s="104">
        <v>0</v>
      </c>
      <c r="H575" s="252">
        <f t="shared" si="17"/>
        <v>20811</v>
      </c>
    </row>
    <row r="576" spans="1:9" x14ac:dyDescent="0.2">
      <c r="A576" s="947" t="s">
        <v>2555</v>
      </c>
      <c r="B576" s="241" t="s">
        <v>587</v>
      </c>
      <c r="C576" s="3" t="s">
        <v>588</v>
      </c>
      <c r="D576" s="2" t="s">
        <v>585</v>
      </c>
      <c r="E576" s="114">
        <v>1</v>
      </c>
      <c r="F576" s="23">
        <f>VLOOKUP(B576,'BASE DE DATOS'!$A$5:$E$997,5,FALSE)</f>
        <v>514339</v>
      </c>
      <c r="G576" s="104">
        <f>1/16</f>
        <v>6.25E-2</v>
      </c>
      <c r="H576" s="252">
        <f t="shared" si="17"/>
        <v>32146.1875</v>
      </c>
    </row>
    <row r="577" spans="1:9" x14ac:dyDescent="0.2">
      <c r="A577" s="947"/>
      <c r="B577" s="241" t="s">
        <v>266</v>
      </c>
      <c r="C577" s="3" t="s">
        <v>283</v>
      </c>
      <c r="D577" s="2" t="s">
        <v>586</v>
      </c>
      <c r="E577" s="114">
        <v>0.1</v>
      </c>
      <c r="F577" s="23">
        <f>H576</f>
        <v>32146.1875</v>
      </c>
      <c r="G577" s="104">
        <v>0</v>
      </c>
      <c r="H577" s="252">
        <f t="shared" si="17"/>
        <v>3214.6187500000001</v>
      </c>
    </row>
    <row r="578" spans="1:9" x14ac:dyDescent="0.2">
      <c r="A578" s="944" t="s">
        <v>293</v>
      </c>
      <c r="B578" s="241" t="s">
        <v>655</v>
      </c>
      <c r="C578" s="44" t="s">
        <v>1954</v>
      </c>
      <c r="D578" s="136" t="s">
        <v>585</v>
      </c>
      <c r="E578" s="196">
        <v>1</v>
      </c>
      <c r="F578" s="23">
        <f>VLOOKUP(B578,'BASE DE DATOS'!$A$5:$E$997,5,FALSE)</f>
        <v>71400</v>
      </c>
      <c r="G578" s="104">
        <f>1/16</f>
        <v>6.25E-2</v>
      </c>
      <c r="H578" s="252">
        <f t="shared" si="17"/>
        <v>4462.5</v>
      </c>
    </row>
    <row r="579" spans="1:9" x14ac:dyDescent="0.2">
      <c r="A579" s="944"/>
      <c r="B579" s="241" t="s">
        <v>269</v>
      </c>
      <c r="C579" s="3" t="s">
        <v>284</v>
      </c>
      <c r="D579" s="2" t="s">
        <v>586</v>
      </c>
      <c r="E579" s="114">
        <v>0.1</v>
      </c>
      <c r="F579" s="23">
        <f>H576</f>
        <v>32146.1875</v>
      </c>
      <c r="G579" s="104">
        <v>0</v>
      </c>
      <c r="H579" s="252">
        <f t="shared" si="17"/>
        <v>3214.6187500000001</v>
      </c>
    </row>
    <row r="580" spans="1:9" ht="13.5" thickBot="1" x14ac:dyDescent="0.25">
      <c r="A580" s="92" t="s">
        <v>139</v>
      </c>
      <c r="B580" s="530" t="s">
        <v>137</v>
      </c>
      <c r="C580" s="88" t="s">
        <v>138</v>
      </c>
      <c r="D580" s="89" t="s">
        <v>411</v>
      </c>
      <c r="E580" s="193">
        <f>1/40</f>
        <v>2.5000000000000001E-2</v>
      </c>
      <c r="F580" s="90">
        <f>VLOOKUP(B580,'BASE DE DATOS'!$A$5:$E$997,5,FALSE)</f>
        <v>77474</v>
      </c>
      <c r="G580" s="153">
        <v>0</v>
      </c>
      <c r="H580" s="255">
        <f t="shared" si="17"/>
        <v>1936.8500000000001</v>
      </c>
    </row>
    <row r="581" spans="1:9" s="42" customFormat="1" ht="17.25" x14ac:dyDescent="0.2">
      <c r="A581" s="458" t="s">
        <v>787</v>
      </c>
      <c r="B581" s="529"/>
      <c r="C581" s="388" t="s">
        <v>3779</v>
      </c>
      <c r="D581" s="389" t="s">
        <v>3225</v>
      </c>
      <c r="E581" s="390"/>
      <c r="F581" s="391">
        <f>ROUND(SUM(H581:H587),0)</f>
        <v>68854</v>
      </c>
      <c r="G581" s="392"/>
      <c r="H581" s="393"/>
      <c r="I581" s="738"/>
    </row>
    <row r="582" spans="1:9" ht="14.25" x14ac:dyDescent="0.2">
      <c r="A582" s="82" t="s">
        <v>382</v>
      </c>
      <c r="B582" s="241" t="s">
        <v>1491</v>
      </c>
      <c r="C582" s="3" t="s">
        <v>348</v>
      </c>
      <c r="D582" s="2" t="s">
        <v>285</v>
      </c>
      <c r="E582" s="114">
        <v>1</v>
      </c>
      <c r="F582" s="23">
        <f>VLOOKUP(B582,'BASE DE DATOS'!$A$5:$E$997,5,FALSE)</f>
        <v>24990</v>
      </c>
      <c r="G582" s="104">
        <v>1.3</v>
      </c>
      <c r="H582" s="252">
        <f t="shared" ref="H582:H587" si="18">IF(G582&gt;0,(G582*F582*E582),(F582*E582))</f>
        <v>32487</v>
      </c>
    </row>
    <row r="583" spans="1:9" x14ac:dyDescent="0.2">
      <c r="A583" s="947" t="s">
        <v>2555</v>
      </c>
      <c r="B583" s="241" t="s">
        <v>587</v>
      </c>
      <c r="C583" s="3" t="s">
        <v>588</v>
      </c>
      <c r="D583" s="2" t="s">
        <v>585</v>
      </c>
      <c r="E583" s="114">
        <v>1</v>
      </c>
      <c r="F583" s="23">
        <f>VLOOKUP(B583,'BASE DE DATOS'!$A$5:$E$997,5,FALSE)</f>
        <v>514339</v>
      </c>
      <c r="G583" s="104">
        <f>1/20</f>
        <v>0.05</v>
      </c>
      <c r="H583" s="252">
        <f t="shared" si="18"/>
        <v>25716.95</v>
      </c>
    </row>
    <row r="584" spans="1:9" x14ac:dyDescent="0.2">
      <c r="A584" s="947"/>
      <c r="B584" s="241" t="s">
        <v>266</v>
      </c>
      <c r="C584" s="3" t="s">
        <v>283</v>
      </c>
      <c r="D584" s="2" t="s">
        <v>586</v>
      </c>
      <c r="E584" s="114">
        <v>0.1</v>
      </c>
      <c r="F584" s="23">
        <f>H583</f>
        <v>25716.95</v>
      </c>
      <c r="G584" s="104">
        <v>0</v>
      </c>
      <c r="H584" s="252">
        <f t="shared" si="18"/>
        <v>2571.6950000000002</v>
      </c>
    </row>
    <row r="585" spans="1:9" x14ac:dyDescent="0.2">
      <c r="A585" s="944" t="s">
        <v>293</v>
      </c>
      <c r="B585" s="241" t="s">
        <v>655</v>
      </c>
      <c r="C585" s="44" t="s">
        <v>1954</v>
      </c>
      <c r="D585" s="136" t="s">
        <v>585</v>
      </c>
      <c r="E585" s="196">
        <v>1</v>
      </c>
      <c r="F585" s="23">
        <f>VLOOKUP(B585,'BASE DE DATOS'!$A$5:$E$997,5,FALSE)</f>
        <v>71400</v>
      </c>
      <c r="G585" s="104">
        <f>1/20</f>
        <v>0.05</v>
      </c>
      <c r="H585" s="252">
        <f t="shared" si="18"/>
        <v>3570</v>
      </c>
    </row>
    <row r="586" spans="1:9" x14ac:dyDescent="0.2">
      <c r="A586" s="944"/>
      <c r="B586" s="241" t="s">
        <v>269</v>
      </c>
      <c r="C586" s="3" t="s">
        <v>284</v>
      </c>
      <c r="D586" s="2" t="s">
        <v>586</v>
      </c>
      <c r="E586" s="114">
        <v>0.1</v>
      </c>
      <c r="F586" s="23">
        <f>H583</f>
        <v>25716.95</v>
      </c>
      <c r="G586" s="104">
        <v>0</v>
      </c>
      <c r="H586" s="252">
        <f t="shared" si="18"/>
        <v>2571.6950000000002</v>
      </c>
    </row>
    <row r="587" spans="1:9" ht="13.5" thickBot="1" x14ac:dyDescent="0.25">
      <c r="A587" s="92" t="s">
        <v>139</v>
      </c>
      <c r="B587" s="530" t="s">
        <v>137</v>
      </c>
      <c r="C587" s="88" t="s">
        <v>138</v>
      </c>
      <c r="D587" s="89" t="s">
        <v>411</v>
      </c>
      <c r="E587" s="193">
        <f>1/40</f>
        <v>2.5000000000000001E-2</v>
      </c>
      <c r="F587" s="90">
        <f>VLOOKUP(B587,'BASE DE DATOS'!$A$5:$E$997,5,FALSE)</f>
        <v>77474</v>
      </c>
      <c r="G587" s="153">
        <v>0</v>
      </c>
      <c r="H587" s="255">
        <f t="shared" si="18"/>
        <v>1936.8500000000001</v>
      </c>
    </row>
    <row r="588" spans="1:9" s="42" customFormat="1" ht="17.25" x14ac:dyDescent="0.2">
      <c r="A588" s="458" t="s">
        <v>788</v>
      </c>
      <c r="B588" s="529"/>
      <c r="C588" s="388" t="s">
        <v>3540</v>
      </c>
      <c r="D588" s="389" t="s">
        <v>3225</v>
      </c>
      <c r="E588" s="390"/>
      <c r="F588" s="391">
        <f>ROUND(SUM(H588:H594),0)</f>
        <v>70960</v>
      </c>
      <c r="G588" s="392"/>
      <c r="H588" s="393"/>
      <c r="I588" s="738"/>
    </row>
    <row r="589" spans="1:9" ht="14.25" x14ac:dyDescent="0.2">
      <c r="A589" s="82" t="s">
        <v>382</v>
      </c>
      <c r="B589" s="241" t="s">
        <v>1278</v>
      </c>
      <c r="C589" s="44" t="s">
        <v>628</v>
      </c>
      <c r="D589" s="2" t="s">
        <v>285</v>
      </c>
      <c r="E589" s="196">
        <v>1</v>
      </c>
      <c r="F589" s="23">
        <f>VLOOKUP(B589,'BASE DE DATOS'!$A$5:$E$997,5,FALSE)</f>
        <v>26610</v>
      </c>
      <c r="G589" s="104">
        <v>1.3</v>
      </c>
      <c r="H589" s="252">
        <f t="shared" ref="H589:H594" si="19">IF(G589&gt;0,(G589*F589*E589),(F589*E589))</f>
        <v>34593</v>
      </c>
    </row>
    <row r="590" spans="1:9" x14ac:dyDescent="0.2">
      <c r="A590" s="947" t="s">
        <v>2555</v>
      </c>
      <c r="B590" s="241" t="s">
        <v>587</v>
      </c>
      <c r="C590" s="3" t="s">
        <v>588</v>
      </c>
      <c r="D590" s="2" t="s">
        <v>585</v>
      </c>
      <c r="E590" s="114">
        <v>1</v>
      </c>
      <c r="F590" s="23">
        <f>VLOOKUP(B590,'BASE DE DATOS'!$A$5:$E$997,5,FALSE)</f>
        <v>514339</v>
      </c>
      <c r="G590" s="104">
        <f>1/20</f>
        <v>0.05</v>
      </c>
      <c r="H590" s="252">
        <f t="shared" si="19"/>
        <v>25716.95</v>
      </c>
    </row>
    <row r="591" spans="1:9" x14ac:dyDescent="0.2">
      <c r="A591" s="947"/>
      <c r="B591" s="241" t="s">
        <v>266</v>
      </c>
      <c r="C591" s="3" t="s">
        <v>283</v>
      </c>
      <c r="D591" s="2" t="s">
        <v>586</v>
      </c>
      <c r="E591" s="114">
        <v>0.1</v>
      </c>
      <c r="F591" s="23">
        <f>H590</f>
        <v>25716.95</v>
      </c>
      <c r="G591" s="104">
        <v>0</v>
      </c>
      <c r="H591" s="252">
        <f t="shared" si="19"/>
        <v>2571.6950000000002</v>
      </c>
    </row>
    <row r="592" spans="1:9" x14ac:dyDescent="0.2">
      <c r="A592" s="944" t="s">
        <v>293</v>
      </c>
      <c r="B592" s="241" t="s">
        <v>269</v>
      </c>
      <c r="C592" s="3" t="s">
        <v>284</v>
      </c>
      <c r="D592" s="2" t="s">
        <v>586</v>
      </c>
      <c r="E592" s="114">
        <v>0.1</v>
      </c>
      <c r="F592" s="23">
        <f>H590</f>
        <v>25716.95</v>
      </c>
      <c r="G592" s="104">
        <v>0</v>
      </c>
      <c r="H592" s="252">
        <f t="shared" si="19"/>
        <v>2571.6950000000002</v>
      </c>
    </row>
    <row r="593" spans="1:9" x14ac:dyDescent="0.2">
      <c r="A593" s="985"/>
      <c r="B593" s="241" t="s">
        <v>621</v>
      </c>
      <c r="C593" s="3" t="s">
        <v>360</v>
      </c>
      <c r="D593" s="2" t="s">
        <v>585</v>
      </c>
      <c r="E593" s="114">
        <v>1</v>
      </c>
      <c r="F593" s="23">
        <f>VLOOKUP(B593,'BASE DE DATOS'!$A$5:$E$997,5,FALSE)</f>
        <v>71400</v>
      </c>
      <c r="G593" s="104">
        <f>1/20</f>
        <v>0.05</v>
      </c>
      <c r="H593" s="252">
        <f t="shared" si="19"/>
        <v>3570</v>
      </c>
    </row>
    <row r="594" spans="1:9" ht="13.5" thickBot="1" x14ac:dyDescent="0.25">
      <c r="A594" s="92" t="s">
        <v>139</v>
      </c>
      <c r="B594" s="530" t="s">
        <v>137</v>
      </c>
      <c r="C594" s="88" t="s">
        <v>138</v>
      </c>
      <c r="D594" s="89" t="s">
        <v>411</v>
      </c>
      <c r="E594" s="193">
        <f>1/40</f>
        <v>2.5000000000000001E-2</v>
      </c>
      <c r="F594" s="90">
        <f>VLOOKUP(B594,'BASE DE DATOS'!$A$5:$E$997,5,FALSE)</f>
        <v>77474</v>
      </c>
      <c r="G594" s="153">
        <v>0</v>
      </c>
      <c r="H594" s="255">
        <f t="shared" si="19"/>
        <v>1936.8500000000001</v>
      </c>
    </row>
    <row r="595" spans="1:9" s="42" customFormat="1" ht="17.25" x14ac:dyDescent="0.2">
      <c r="A595" s="458" t="s">
        <v>789</v>
      </c>
      <c r="B595" s="529"/>
      <c r="C595" s="388" t="s">
        <v>3780</v>
      </c>
      <c r="D595" s="389" t="s">
        <v>3251</v>
      </c>
      <c r="E595" s="395"/>
      <c r="F595" s="391">
        <f>ROUND(SUM(H595:H601),0)</f>
        <v>12714</v>
      </c>
      <c r="G595" s="392"/>
      <c r="H595" s="393"/>
      <c r="I595" s="738"/>
    </row>
    <row r="596" spans="1:9" ht="14.25" x14ac:dyDescent="0.2">
      <c r="A596" s="82" t="s">
        <v>382</v>
      </c>
      <c r="B596" s="241" t="s">
        <v>1278</v>
      </c>
      <c r="C596" s="44" t="s">
        <v>628</v>
      </c>
      <c r="D596" s="2" t="s">
        <v>285</v>
      </c>
      <c r="E596" s="196">
        <v>0.1</v>
      </c>
      <c r="F596" s="23">
        <f>VLOOKUP(B596,'BASE DE DATOS'!$A$5:$E$997,5,FALSE)</f>
        <v>26610</v>
      </c>
      <c r="G596" s="104">
        <v>1.3</v>
      </c>
      <c r="H596" s="252">
        <f t="shared" ref="H596:H601" si="20">IF(G596&gt;0,(G596*F596*E596),(F596*E596))</f>
        <v>3459.3</v>
      </c>
    </row>
    <row r="597" spans="1:9" x14ac:dyDescent="0.2">
      <c r="A597" s="947" t="s">
        <v>2555</v>
      </c>
      <c r="B597" s="241" t="s">
        <v>587</v>
      </c>
      <c r="C597" s="3" t="s">
        <v>588</v>
      </c>
      <c r="D597" s="2" t="s">
        <v>585</v>
      </c>
      <c r="E597" s="114">
        <v>1</v>
      </c>
      <c r="F597" s="23">
        <f>VLOOKUP(B597,'BASE DE DATOS'!$A$5:$E$997,5,FALSE)</f>
        <v>514339</v>
      </c>
      <c r="G597" s="104">
        <f>1/80</f>
        <v>1.2500000000000001E-2</v>
      </c>
      <c r="H597" s="252">
        <f t="shared" si="20"/>
        <v>6429.2375000000002</v>
      </c>
    </row>
    <row r="598" spans="1:9" x14ac:dyDescent="0.2">
      <c r="A598" s="947"/>
      <c r="B598" s="241" t="s">
        <v>266</v>
      </c>
      <c r="C598" s="3" t="s">
        <v>283</v>
      </c>
      <c r="D598" s="2" t="s">
        <v>586</v>
      </c>
      <c r="E598" s="114">
        <v>0.05</v>
      </c>
      <c r="F598" s="23">
        <f>H597</f>
        <v>6429.2375000000002</v>
      </c>
      <c r="G598" s="104">
        <v>0</v>
      </c>
      <c r="H598" s="252">
        <f t="shared" si="20"/>
        <v>321.46187500000002</v>
      </c>
    </row>
    <row r="599" spans="1:9" x14ac:dyDescent="0.2">
      <c r="A599" s="944" t="s">
        <v>293</v>
      </c>
      <c r="B599" s="241" t="s">
        <v>269</v>
      </c>
      <c r="C599" s="3" t="s">
        <v>284</v>
      </c>
      <c r="D599" s="2" t="s">
        <v>586</v>
      </c>
      <c r="E599" s="114">
        <v>0.1</v>
      </c>
      <c r="F599" s="23">
        <f>H597</f>
        <v>6429.2375000000002</v>
      </c>
      <c r="G599" s="104">
        <v>0</v>
      </c>
      <c r="H599" s="252">
        <f t="shared" si="20"/>
        <v>642.92375000000004</v>
      </c>
    </row>
    <row r="600" spans="1:9" x14ac:dyDescent="0.2">
      <c r="A600" s="985"/>
      <c r="B600" s="241" t="s">
        <v>621</v>
      </c>
      <c r="C600" s="3" t="s">
        <v>360</v>
      </c>
      <c r="D600" s="2" t="s">
        <v>585</v>
      </c>
      <c r="E600" s="114">
        <v>1</v>
      </c>
      <c r="F600" s="23">
        <f>VLOOKUP(B600,'BASE DE DATOS'!$A$5:$E$997,5,FALSE)</f>
        <v>71400</v>
      </c>
      <c r="G600" s="104">
        <f>1/80</f>
        <v>1.2500000000000001E-2</v>
      </c>
      <c r="H600" s="252">
        <f t="shared" si="20"/>
        <v>892.5</v>
      </c>
    </row>
    <row r="601" spans="1:9" ht="13.5" thickBot="1" x14ac:dyDescent="0.25">
      <c r="A601" s="92" t="s">
        <v>139</v>
      </c>
      <c r="B601" s="530" t="s">
        <v>137</v>
      </c>
      <c r="C601" s="88" t="s">
        <v>138</v>
      </c>
      <c r="D601" s="89" t="s">
        <v>411</v>
      </c>
      <c r="E601" s="193">
        <f>1/80</f>
        <v>1.2500000000000001E-2</v>
      </c>
      <c r="F601" s="90">
        <f>VLOOKUP(B601,'BASE DE DATOS'!$A$5:$E$997,5,FALSE)</f>
        <v>77474</v>
      </c>
      <c r="G601" s="153">
        <v>0</v>
      </c>
      <c r="H601" s="255">
        <f t="shared" si="20"/>
        <v>968.42500000000007</v>
      </c>
    </row>
    <row r="602" spans="1:9" s="42" customFormat="1" ht="17.25" x14ac:dyDescent="0.2">
      <c r="A602" s="458" t="s">
        <v>790</v>
      </c>
      <c r="B602" s="529"/>
      <c r="C602" s="388" t="s">
        <v>3781</v>
      </c>
      <c r="D602" s="389" t="s">
        <v>3225</v>
      </c>
      <c r="E602" s="390"/>
      <c r="F602" s="391">
        <f>ROUND(SUM(H602:H606),0)</f>
        <v>130784</v>
      </c>
      <c r="G602" s="392"/>
      <c r="H602" s="393"/>
      <c r="I602" s="738"/>
    </row>
    <row r="603" spans="1:9" ht="14.25" x14ac:dyDescent="0.2">
      <c r="A603" s="82" t="s">
        <v>382</v>
      </c>
      <c r="B603" s="241" t="s">
        <v>1493</v>
      </c>
      <c r="C603" s="3" t="s">
        <v>629</v>
      </c>
      <c r="D603" s="2" t="s">
        <v>285</v>
      </c>
      <c r="E603" s="114">
        <v>1</v>
      </c>
      <c r="F603" s="23">
        <f>VLOOKUP(B603,'BASE DE DATOS'!$A$5:$E$997,5,FALSE)</f>
        <v>68951.5</v>
      </c>
      <c r="G603" s="104">
        <v>1.3</v>
      </c>
      <c r="H603" s="252">
        <f>IF(G603&gt;0,(G603*F603*E603),(F603*E603))</f>
        <v>89636.95</v>
      </c>
    </row>
    <row r="604" spans="1:9" x14ac:dyDescent="0.2">
      <c r="A604" s="947" t="s">
        <v>2555</v>
      </c>
      <c r="B604" s="241" t="s">
        <v>587</v>
      </c>
      <c r="C604" s="3" t="s">
        <v>588</v>
      </c>
      <c r="D604" s="2" t="s">
        <v>585</v>
      </c>
      <c r="E604" s="114">
        <v>1</v>
      </c>
      <c r="F604" s="23">
        <f>VLOOKUP(B604,'BASE DE DATOS'!$A$5:$E$997,5,FALSE)</f>
        <v>514339</v>
      </c>
      <c r="G604" s="104">
        <f>1/15</f>
        <v>6.6666666666666666E-2</v>
      </c>
      <c r="H604" s="252">
        <f>IF(G604&gt;0,(G604*F604*E604),(F604*E604))</f>
        <v>34289.266666666663</v>
      </c>
    </row>
    <row r="605" spans="1:9" x14ac:dyDescent="0.2">
      <c r="A605" s="947"/>
      <c r="B605" s="241" t="s">
        <v>266</v>
      </c>
      <c r="C605" s="3" t="s">
        <v>283</v>
      </c>
      <c r="D605" s="2" t="s">
        <v>586</v>
      </c>
      <c r="E605" s="114">
        <v>0.1</v>
      </c>
      <c r="F605" s="23">
        <f>H604</f>
        <v>34289.266666666663</v>
      </c>
      <c r="G605" s="104">
        <v>0</v>
      </c>
      <c r="H605" s="252">
        <f>IF(G605&gt;0,(G605*F605*E605),(F605*E605))</f>
        <v>3428.9266666666663</v>
      </c>
    </row>
    <row r="606" spans="1:9" ht="13.5" thickBot="1" x14ac:dyDescent="0.25">
      <c r="A606" s="85" t="s">
        <v>293</v>
      </c>
      <c r="B606" s="530" t="s">
        <v>269</v>
      </c>
      <c r="C606" s="88" t="s">
        <v>284</v>
      </c>
      <c r="D606" s="89" t="s">
        <v>586</v>
      </c>
      <c r="E606" s="193">
        <v>0.1</v>
      </c>
      <c r="F606" s="90">
        <f>H604</f>
        <v>34289.266666666663</v>
      </c>
      <c r="G606" s="153">
        <v>0</v>
      </c>
      <c r="H606" s="255">
        <f>IF(G606&gt;0,(G606*F606*E606),(F606*E606))</f>
        <v>3428.9266666666663</v>
      </c>
    </row>
    <row r="607" spans="1:9" s="42" customFormat="1" ht="17.25" x14ac:dyDescent="0.2">
      <c r="A607" s="458" t="s">
        <v>791</v>
      </c>
      <c r="B607" s="529"/>
      <c r="C607" s="388" t="s">
        <v>3782</v>
      </c>
      <c r="D607" s="389" t="s">
        <v>3225</v>
      </c>
      <c r="E607" s="390"/>
      <c r="F607" s="391">
        <f>ROUND(SUM(H607:H611),0)</f>
        <v>139981</v>
      </c>
      <c r="G607" s="392"/>
      <c r="H607" s="393"/>
      <c r="I607" s="738"/>
    </row>
    <row r="608" spans="1:9" ht="14.25" x14ac:dyDescent="0.2">
      <c r="A608" s="82" t="s">
        <v>382</v>
      </c>
      <c r="B608" s="241" t="s">
        <v>1521</v>
      </c>
      <c r="C608" s="3" t="s">
        <v>1963</v>
      </c>
      <c r="D608" s="2" t="s">
        <v>285</v>
      </c>
      <c r="E608" s="114">
        <v>1</v>
      </c>
      <c r="F608" s="23">
        <f>VLOOKUP(B608,'BASE DE DATOS'!$A$5:$E$997,5,FALSE)</f>
        <v>77345</v>
      </c>
      <c r="G608" s="104">
        <v>1.3</v>
      </c>
      <c r="H608" s="252">
        <f>IF(G608&gt;0,(G608*F608*E608),(F608*E608))</f>
        <v>100548.5</v>
      </c>
    </row>
    <row r="609" spans="1:9" x14ac:dyDescent="0.2">
      <c r="A609" s="947" t="s">
        <v>2555</v>
      </c>
      <c r="B609" s="241" t="s">
        <v>587</v>
      </c>
      <c r="C609" s="3" t="s">
        <v>588</v>
      </c>
      <c r="D609" s="2" t="s">
        <v>585</v>
      </c>
      <c r="E609" s="114">
        <v>1</v>
      </c>
      <c r="F609" s="23">
        <f>VLOOKUP(B609,'BASE DE DATOS'!$A$5:$E$997,5,FALSE)</f>
        <v>514339</v>
      </c>
      <c r="G609" s="104">
        <f>1/15</f>
        <v>6.6666666666666666E-2</v>
      </c>
      <c r="H609" s="252">
        <f>IF(G609&gt;0,(G609*F609*E609),(F609*E609))</f>
        <v>34289.266666666663</v>
      </c>
    </row>
    <row r="610" spans="1:9" x14ac:dyDescent="0.2">
      <c r="A610" s="947"/>
      <c r="B610" s="241" t="s">
        <v>266</v>
      </c>
      <c r="C610" s="3" t="s">
        <v>283</v>
      </c>
      <c r="D610" s="2" t="s">
        <v>586</v>
      </c>
      <c r="E610" s="114">
        <v>0.05</v>
      </c>
      <c r="F610" s="23">
        <f>H609</f>
        <v>34289.266666666663</v>
      </c>
      <c r="G610" s="104">
        <v>0</v>
      </c>
      <c r="H610" s="252">
        <f>IF(G610&gt;0,(G610*F610*E610),(F610*E610))</f>
        <v>1714.4633333333331</v>
      </c>
    </row>
    <row r="611" spans="1:9" ht="13.5" thickBot="1" x14ac:dyDescent="0.25">
      <c r="A611" s="85" t="s">
        <v>293</v>
      </c>
      <c r="B611" s="530" t="s">
        <v>269</v>
      </c>
      <c r="C611" s="88" t="s">
        <v>284</v>
      </c>
      <c r="D611" s="89" t="s">
        <v>586</v>
      </c>
      <c r="E611" s="193">
        <v>0.1</v>
      </c>
      <c r="F611" s="90">
        <f>H609</f>
        <v>34289.266666666663</v>
      </c>
      <c r="G611" s="153">
        <v>0</v>
      </c>
      <c r="H611" s="255">
        <f>IF(G611&gt;0,(G611*F611*E611),(F611*E611))</f>
        <v>3428.9266666666663</v>
      </c>
    </row>
    <row r="612" spans="1:9" s="42" customFormat="1" ht="30" x14ac:dyDescent="0.2">
      <c r="A612" s="458" t="s">
        <v>792</v>
      </c>
      <c r="B612" s="529"/>
      <c r="C612" s="388" t="s">
        <v>3783</v>
      </c>
      <c r="D612" s="389" t="s">
        <v>405</v>
      </c>
      <c r="E612" s="390"/>
      <c r="F612" s="391">
        <f>ROUND(SUM(H612:H616),0)</f>
        <v>14961</v>
      </c>
      <c r="G612" s="392"/>
      <c r="H612" s="393"/>
      <c r="I612" s="738">
        <v>26</v>
      </c>
    </row>
    <row r="613" spans="1:9" ht="14.25" x14ac:dyDescent="0.2">
      <c r="A613" s="82" t="s">
        <v>382</v>
      </c>
      <c r="B613" s="241" t="s">
        <v>1291</v>
      </c>
      <c r="C613" s="3" t="s">
        <v>648</v>
      </c>
      <c r="D613" s="2" t="s">
        <v>285</v>
      </c>
      <c r="E613" s="114">
        <v>0.06</v>
      </c>
      <c r="F613" s="23">
        <f>VLOOKUP(B613,'BASE DE DATOS'!$A$5:$E$997,5,FALSE)</f>
        <v>71990</v>
      </c>
      <c r="G613" s="104">
        <v>0</v>
      </c>
      <c r="H613" s="252">
        <f>IF(G613&gt;0,(G613*F613*E613),(F613*E613))</f>
        <v>4319.3999999999996</v>
      </c>
    </row>
    <row r="614" spans="1:9" x14ac:dyDescent="0.2">
      <c r="A614" s="947" t="s">
        <v>2555</v>
      </c>
      <c r="B614" s="241" t="s">
        <v>583</v>
      </c>
      <c r="C614" s="3" t="s">
        <v>584</v>
      </c>
      <c r="D614" s="2" t="s">
        <v>585</v>
      </c>
      <c r="E614" s="114">
        <v>1</v>
      </c>
      <c r="F614" s="23">
        <f>VLOOKUP(B614,'BASE DE DATOS'!$A$5:$E$997,5,FALSE)</f>
        <v>88679</v>
      </c>
      <c r="G614" s="104">
        <f>1/10</f>
        <v>0.1</v>
      </c>
      <c r="H614" s="252">
        <f>IF(G614&gt;0,(G614*F614*E614),(F614*E614))</f>
        <v>8867.9</v>
      </c>
    </row>
    <row r="615" spans="1:9" x14ac:dyDescent="0.2">
      <c r="A615" s="947"/>
      <c r="B615" s="244" t="s">
        <v>266</v>
      </c>
      <c r="C615" s="3" t="s">
        <v>283</v>
      </c>
      <c r="D615" s="19" t="s">
        <v>586</v>
      </c>
      <c r="E615" s="194">
        <v>0.1</v>
      </c>
      <c r="F615" s="56">
        <f>H614</f>
        <v>8867.9</v>
      </c>
      <c r="G615" s="58">
        <v>0</v>
      </c>
      <c r="H615" s="252">
        <f>IF(G615&gt;0,(G615*F615*E615),(F615*E615))</f>
        <v>886.79</v>
      </c>
    </row>
    <row r="616" spans="1:9" ht="13.5" thickBot="1" x14ac:dyDescent="0.25">
      <c r="A616" s="224" t="s">
        <v>293</v>
      </c>
      <c r="B616" s="531" t="s">
        <v>269</v>
      </c>
      <c r="C616" s="88" t="s">
        <v>284</v>
      </c>
      <c r="D616" s="49" t="s">
        <v>586</v>
      </c>
      <c r="E616" s="195">
        <v>0.1</v>
      </c>
      <c r="F616" s="100">
        <f>H614</f>
        <v>8867.9</v>
      </c>
      <c r="G616" s="154">
        <v>0</v>
      </c>
      <c r="H616" s="255">
        <f>IF(G616&gt;0,(G616*F616*E616),(F616*E616))</f>
        <v>886.79</v>
      </c>
    </row>
    <row r="617" spans="1:9" ht="15.75" thickBot="1" x14ac:dyDescent="0.25">
      <c r="A617" s="980" t="s">
        <v>3371</v>
      </c>
      <c r="B617" s="981"/>
      <c r="C617" s="981"/>
      <c r="D617" s="981"/>
      <c r="E617" s="981"/>
      <c r="F617" s="982"/>
      <c r="G617" s="981"/>
      <c r="H617" s="983"/>
    </row>
    <row r="618" spans="1:9" ht="45.75" thickBot="1" x14ac:dyDescent="0.25">
      <c r="A618" s="72" t="s">
        <v>2044</v>
      </c>
      <c r="B618" s="72" t="s">
        <v>265</v>
      </c>
      <c r="C618" s="72" t="s">
        <v>402</v>
      </c>
      <c r="D618" s="354" t="s">
        <v>346</v>
      </c>
      <c r="E618" s="192" t="s">
        <v>2173</v>
      </c>
      <c r="F618" s="162" t="s">
        <v>3165</v>
      </c>
      <c r="G618" s="290" t="s">
        <v>281</v>
      </c>
      <c r="H618" s="74" t="s">
        <v>3164</v>
      </c>
    </row>
    <row r="619" spans="1:9" s="42" customFormat="1" ht="17.25" x14ac:dyDescent="0.2">
      <c r="A619" s="458" t="s">
        <v>767</v>
      </c>
      <c r="B619" s="527"/>
      <c r="C619" s="388" t="s">
        <v>67</v>
      </c>
      <c r="D619" s="389" t="s">
        <v>3225</v>
      </c>
      <c r="E619" s="395"/>
      <c r="F619" s="391">
        <f>ROUND(SUM(H619:H620),0)</f>
        <v>492091</v>
      </c>
      <c r="G619" s="392"/>
      <c r="H619" s="393"/>
      <c r="I619" s="738"/>
    </row>
    <row r="620" spans="1:9" ht="15" thickBot="1" x14ac:dyDescent="0.25">
      <c r="A620" s="522" t="s">
        <v>3252</v>
      </c>
      <c r="B620" s="530" t="s">
        <v>1159</v>
      </c>
      <c r="C620" s="88" t="s">
        <v>3534</v>
      </c>
      <c r="D620" s="89" t="s">
        <v>285</v>
      </c>
      <c r="E620" s="193">
        <v>1</v>
      </c>
      <c r="F620" s="90">
        <f>' VÍAS'!F642</f>
        <v>492091</v>
      </c>
      <c r="G620" s="153">
        <v>0</v>
      </c>
      <c r="H620" s="479">
        <f t="shared" ref="H620" si="21">IF(G620&gt;0,(G620*F620*E620),(F620*E620))</f>
        <v>492091</v>
      </c>
    </row>
    <row r="621" spans="1:9" s="42" customFormat="1" ht="30" x14ac:dyDescent="0.2">
      <c r="A621" s="458" t="s">
        <v>793</v>
      </c>
      <c r="B621" s="529"/>
      <c r="C621" s="388" t="s">
        <v>76</v>
      </c>
      <c r="D621" s="389" t="s">
        <v>411</v>
      </c>
      <c r="E621" s="395"/>
      <c r="F621" s="391">
        <f>ROUND(SUM(H621:H631),0)</f>
        <v>296315</v>
      </c>
      <c r="G621" s="392"/>
      <c r="H621" s="393"/>
      <c r="I621" s="738"/>
    </row>
    <row r="622" spans="1:9" x14ac:dyDescent="0.2">
      <c r="A622" s="936" t="s">
        <v>382</v>
      </c>
      <c r="B622" s="241" t="s">
        <v>1264</v>
      </c>
      <c r="C622" s="3" t="s">
        <v>641</v>
      </c>
      <c r="D622" s="2" t="s">
        <v>642</v>
      </c>
      <c r="E622" s="114">
        <v>0.2</v>
      </c>
      <c r="F622" s="23">
        <f>VLOOKUP(B622,'BASE DE DATOS'!$A$5:$E$997,5,FALSE)</f>
        <v>10959</v>
      </c>
      <c r="G622" s="104">
        <v>1.05</v>
      </c>
      <c r="H622" s="252">
        <f>IF(G622&gt;0,(G622*F622*E622),(F622*E622))</f>
        <v>2301.3900000000003</v>
      </c>
    </row>
    <row r="623" spans="1:9" x14ac:dyDescent="0.2">
      <c r="A623" s="936"/>
      <c r="B623" s="241" t="s">
        <v>1286</v>
      </c>
      <c r="C623" s="3" t="s">
        <v>664</v>
      </c>
      <c r="D623" s="2" t="s">
        <v>405</v>
      </c>
      <c r="E623" s="114">
        <f>0.45*4*2</f>
        <v>3.6</v>
      </c>
      <c r="F623" s="23">
        <f>VLOOKUP(B623,'BASE DE DATOS'!$A$5:$E$997,5,FALSE)</f>
        <v>6817</v>
      </c>
      <c r="G623" s="104">
        <v>0</v>
      </c>
      <c r="H623" s="252">
        <f t="shared" ref="H623:H631" si="22">IF(G623&gt;0,(G623*F623*E623),(F623*E623))</f>
        <v>24541.200000000001</v>
      </c>
    </row>
    <row r="624" spans="1:9" x14ac:dyDescent="0.2">
      <c r="A624" s="936"/>
      <c r="B624" s="241" t="s">
        <v>1463</v>
      </c>
      <c r="C624" s="3" t="s">
        <v>593</v>
      </c>
      <c r="D624" s="2" t="s">
        <v>405</v>
      </c>
      <c r="E624" s="114">
        <v>3</v>
      </c>
      <c r="F624" s="23">
        <f>VLOOKUP(B624,'BASE DE DATOS'!$A$5:$E$997,5,FALSE)</f>
        <v>4704</v>
      </c>
      <c r="G624" s="104">
        <f>1/3</f>
        <v>0.33333333333333331</v>
      </c>
      <c r="H624" s="252">
        <f t="shared" si="22"/>
        <v>4704</v>
      </c>
    </row>
    <row r="625" spans="1:9" x14ac:dyDescent="0.2">
      <c r="A625" s="936"/>
      <c r="B625" s="241" t="s">
        <v>1558</v>
      </c>
      <c r="C625" s="3" t="s">
        <v>2023</v>
      </c>
      <c r="D625" s="2" t="s">
        <v>590</v>
      </c>
      <c r="E625" s="114">
        <v>0.5</v>
      </c>
      <c r="F625" s="23">
        <f>VLOOKUP(B625,'BASE DE DATOS'!$A$5:$E$997,5,FALSE)</f>
        <v>5650</v>
      </c>
      <c r="G625" s="104">
        <v>0</v>
      </c>
      <c r="H625" s="252">
        <f t="shared" si="22"/>
        <v>2825</v>
      </c>
    </row>
    <row r="626" spans="1:9" s="9" customFormat="1" x14ac:dyDescent="0.2">
      <c r="A626" s="936"/>
      <c r="B626" s="241" t="s">
        <v>1711</v>
      </c>
      <c r="C626" s="3" t="s">
        <v>632</v>
      </c>
      <c r="D626" s="2" t="s">
        <v>405</v>
      </c>
      <c r="E626" s="114">
        <v>4</v>
      </c>
      <c r="F626" s="23">
        <f>VLOOKUP(B626,'BASE DE DATOS'!$A$5:$E$997,5,FALSE)</f>
        <v>10991</v>
      </c>
      <c r="G626" s="104">
        <f>1/3</f>
        <v>0.33333333333333331</v>
      </c>
      <c r="H626" s="252">
        <f t="shared" si="22"/>
        <v>14654.666666666666</v>
      </c>
    </row>
    <row r="627" spans="1:9" x14ac:dyDescent="0.2">
      <c r="A627" s="948" t="s">
        <v>3252</v>
      </c>
      <c r="B627" s="241" t="s">
        <v>814</v>
      </c>
      <c r="C627" s="11" t="s">
        <v>2018</v>
      </c>
      <c r="D627" s="2" t="s">
        <v>406</v>
      </c>
      <c r="E627" s="114">
        <v>2.7</v>
      </c>
      <c r="F627" s="23">
        <f>F118</f>
        <v>7440</v>
      </c>
      <c r="G627" s="104">
        <v>0</v>
      </c>
      <c r="H627" s="252">
        <f>IF(G627&gt;0,(G627*F627*E627),(F627*E627))</f>
        <v>20088</v>
      </c>
    </row>
    <row r="628" spans="1:9" ht="14.25" customHeight="1" x14ac:dyDescent="0.2">
      <c r="A628" s="948"/>
      <c r="B628" s="241" t="s">
        <v>798</v>
      </c>
      <c r="C628" s="3" t="s">
        <v>2095</v>
      </c>
      <c r="D628" s="2" t="s">
        <v>285</v>
      </c>
      <c r="E628" s="114">
        <v>0.17</v>
      </c>
      <c r="F628" s="23">
        <f>F26</f>
        <v>456694</v>
      </c>
      <c r="G628" s="104">
        <v>1.05</v>
      </c>
      <c r="H628" s="252">
        <f t="shared" si="22"/>
        <v>81519.879000000001</v>
      </c>
    </row>
    <row r="629" spans="1:9" ht="14.25" x14ac:dyDescent="0.2">
      <c r="A629" s="948"/>
      <c r="B629" s="241" t="s">
        <v>799</v>
      </c>
      <c r="C629" s="3" t="s">
        <v>2089</v>
      </c>
      <c r="D629" s="2" t="s">
        <v>285</v>
      </c>
      <c r="E629" s="114">
        <v>1.7999999999999999E-2</v>
      </c>
      <c r="F629" s="23">
        <f>F34</f>
        <v>482282</v>
      </c>
      <c r="G629" s="104">
        <v>1.05</v>
      </c>
      <c r="H629" s="252">
        <f t="shared" si="22"/>
        <v>9115.1298000000006</v>
      </c>
    </row>
    <row r="630" spans="1:9" x14ac:dyDescent="0.2">
      <c r="A630" s="81" t="s">
        <v>2555</v>
      </c>
      <c r="B630" s="241" t="s">
        <v>644</v>
      </c>
      <c r="C630" s="3" t="s">
        <v>645</v>
      </c>
      <c r="D630" s="2" t="s">
        <v>585</v>
      </c>
      <c r="E630" s="114">
        <v>1</v>
      </c>
      <c r="F630" s="23">
        <f>VLOOKUP(B630,'BASE DE DATOS'!$A$5:$E$997,5,FALSE)</f>
        <v>248302</v>
      </c>
      <c r="G630" s="104">
        <f>1/2</f>
        <v>0.5</v>
      </c>
      <c r="H630" s="252">
        <f t="shared" si="22"/>
        <v>124151</v>
      </c>
    </row>
    <row r="631" spans="1:9" ht="13.5" thickBot="1" x14ac:dyDescent="0.25">
      <c r="A631" s="94" t="s">
        <v>293</v>
      </c>
      <c r="B631" s="530" t="s">
        <v>269</v>
      </c>
      <c r="C631" s="88" t="s">
        <v>284</v>
      </c>
      <c r="D631" s="89" t="s">
        <v>586</v>
      </c>
      <c r="E631" s="193">
        <v>0.1</v>
      </c>
      <c r="F631" s="90">
        <f>H630</f>
        <v>124151</v>
      </c>
      <c r="G631" s="153">
        <v>0</v>
      </c>
      <c r="H631" s="255">
        <f t="shared" si="22"/>
        <v>12415.1</v>
      </c>
    </row>
    <row r="632" spans="1:9" s="42" customFormat="1" ht="30" x14ac:dyDescent="0.2">
      <c r="A632" s="458" t="s">
        <v>794</v>
      </c>
      <c r="B632" s="529"/>
      <c r="C632" s="388" t="s">
        <v>68</v>
      </c>
      <c r="D632" s="389" t="s">
        <v>411</v>
      </c>
      <c r="E632" s="395"/>
      <c r="F632" s="391">
        <f>ROUND(SUM(H632:H642),0)</f>
        <v>472556</v>
      </c>
      <c r="G632" s="392"/>
      <c r="H632" s="393"/>
      <c r="I632" s="738"/>
    </row>
    <row r="633" spans="1:9" x14ac:dyDescent="0.2">
      <c r="A633" s="936" t="s">
        <v>382</v>
      </c>
      <c r="B633" s="241" t="s">
        <v>1264</v>
      </c>
      <c r="C633" s="3" t="s">
        <v>641</v>
      </c>
      <c r="D633" s="2" t="s">
        <v>642</v>
      </c>
      <c r="E633" s="114">
        <v>0.2</v>
      </c>
      <c r="F633" s="23">
        <f>VLOOKUP(B633,'BASE DE DATOS'!$A$5:$E$997,5,FALSE)</f>
        <v>10959</v>
      </c>
      <c r="G633" s="104">
        <v>1.05</v>
      </c>
      <c r="H633" s="252">
        <f>IF(G633&gt;0,(G633*F633*E633),(F633*E633))</f>
        <v>2301.3900000000003</v>
      </c>
    </row>
    <row r="634" spans="1:9" x14ac:dyDescent="0.2">
      <c r="A634" s="936"/>
      <c r="B634" s="241" t="s">
        <v>1757</v>
      </c>
      <c r="C634" s="3" t="s">
        <v>144</v>
      </c>
      <c r="D634" s="2" t="s">
        <v>405</v>
      </c>
      <c r="E634" s="114">
        <v>5.6</v>
      </c>
      <c r="F634" s="23">
        <f>VLOOKUP(B634,'BASE DE DATOS'!$A$5:$E$997,5,FALSE)</f>
        <v>15817</v>
      </c>
      <c r="G634" s="104">
        <v>1.05</v>
      </c>
      <c r="H634" s="252">
        <f t="shared" ref="H634:H642" si="23">IF(G634&gt;0,(G634*F634*E634),(F634*E634))</f>
        <v>93003.96</v>
      </c>
    </row>
    <row r="635" spans="1:9" x14ac:dyDescent="0.2">
      <c r="A635" s="936"/>
      <c r="B635" s="241" t="s">
        <v>1463</v>
      </c>
      <c r="C635" s="3" t="s">
        <v>593</v>
      </c>
      <c r="D635" s="2" t="s">
        <v>405</v>
      </c>
      <c r="E635" s="114">
        <v>3</v>
      </c>
      <c r="F635" s="23">
        <f>VLOOKUP(B635,'BASE DE DATOS'!$A$5:$E$997,5,FALSE)</f>
        <v>4704</v>
      </c>
      <c r="G635" s="104">
        <f>1/2</f>
        <v>0.5</v>
      </c>
      <c r="H635" s="252">
        <f t="shared" si="23"/>
        <v>7056</v>
      </c>
    </row>
    <row r="636" spans="1:9" x14ac:dyDescent="0.2">
      <c r="A636" s="936"/>
      <c r="B636" s="241" t="s">
        <v>1558</v>
      </c>
      <c r="C636" s="3" t="s">
        <v>2023</v>
      </c>
      <c r="D636" s="2" t="s">
        <v>590</v>
      </c>
      <c r="E636" s="114">
        <v>0.8</v>
      </c>
      <c r="F636" s="23">
        <f>VLOOKUP(B636,'BASE DE DATOS'!$A$5:$E$997,5,FALSE)</f>
        <v>5650</v>
      </c>
      <c r="G636" s="104">
        <v>0</v>
      </c>
      <c r="H636" s="252">
        <f t="shared" si="23"/>
        <v>4520</v>
      </c>
    </row>
    <row r="637" spans="1:9" x14ac:dyDescent="0.2">
      <c r="A637" s="936"/>
      <c r="B637" s="241" t="s">
        <v>1711</v>
      </c>
      <c r="C637" s="3" t="s">
        <v>632</v>
      </c>
      <c r="D637" s="2" t="s">
        <v>405</v>
      </c>
      <c r="E637" s="114">
        <v>9</v>
      </c>
      <c r="F637" s="23">
        <f>VLOOKUP(B637,'BASE DE DATOS'!$A$5:$E$997,5,FALSE)</f>
        <v>10991</v>
      </c>
      <c r="G637" s="104">
        <f>1/2</f>
        <v>0.5</v>
      </c>
      <c r="H637" s="252">
        <f t="shared" si="23"/>
        <v>49459.5</v>
      </c>
    </row>
    <row r="638" spans="1:9" x14ac:dyDescent="0.2">
      <c r="A638" s="948" t="s">
        <v>3252</v>
      </c>
      <c r="B638" s="241" t="s">
        <v>814</v>
      </c>
      <c r="C638" s="11" t="s">
        <v>2018</v>
      </c>
      <c r="D638" s="2" t="s">
        <v>406</v>
      </c>
      <c r="E638" s="114">
        <v>3.5</v>
      </c>
      <c r="F638" s="23">
        <f>F118</f>
        <v>7440</v>
      </c>
      <c r="G638" s="104">
        <v>0</v>
      </c>
      <c r="H638" s="252">
        <f>IF(G638&gt;0,(G638*F638*E638),(F638*E638))</f>
        <v>26040</v>
      </c>
    </row>
    <row r="639" spans="1:9" s="9" customFormat="1" ht="14.25" customHeight="1" x14ac:dyDescent="0.2">
      <c r="A639" s="948"/>
      <c r="B639" s="241" t="s">
        <v>798</v>
      </c>
      <c r="C639" s="3" t="s">
        <v>2095</v>
      </c>
      <c r="D639" s="2" t="s">
        <v>285</v>
      </c>
      <c r="E639" s="114">
        <v>0.28000000000000003</v>
      </c>
      <c r="F639" s="23">
        <f>F26</f>
        <v>456694</v>
      </c>
      <c r="G639" s="104">
        <v>1.05</v>
      </c>
      <c r="H639" s="252">
        <f t="shared" si="23"/>
        <v>134268.03600000002</v>
      </c>
    </row>
    <row r="640" spans="1:9" ht="14.25" x14ac:dyDescent="0.2">
      <c r="A640" s="948"/>
      <c r="B640" s="241" t="s">
        <v>799</v>
      </c>
      <c r="C640" s="3" t="s">
        <v>2089</v>
      </c>
      <c r="D640" s="2" t="s">
        <v>285</v>
      </c>
      <c r="E640" s="114">
        <v>2.4E-2</v>
      </c>
      <c r="F640" s="23">
        <f>F34</f>
        <v>482282</v>
      </c>
      <c r="G640" s="104">
        <v>1.05</v>
      </c>
      <c r="H640" s="252">
        <f t="shared" si="23"/>
        <v>12153.5064</v>
      </c>
    </row>
    <row r="641" spans="1:9" x14ac:dyDescent="0.2">
      <c r="A641" s="81" t="s">
        <v>2555</v>
      </c>
      <c r="B641" s="244" t="s">
        <v>644</v>
      </c>
      <c r="C641" s="20" t="s">
        <v>645</v>
      </c>
      <c r="D641" s="19" t="s">
        <v>585</v>
      </c>
      <c r="E641" s="194">
        <v>1</v>
      </c>
      <c r="F641" s="23">
        <f>VLOOKUP(B641,'BASE DE DATOS'!$A$5:$E$997,5,FALSE)</f>
        <v>248302</v>
      </c>
      <c r="G641" s="58">
        <f>1/1.9</f>
        <v>0.52631578947368418</v>
      </c>
      <c r="H641" s="252">
        <f t="shared" si="23"/>
        <v>130685.26315789473</v>
      </c>
    </row>
    <row r="642" spans="1:9" ht="13.5" thickBot="1" x14ac:dyDescent="0.25">
      <c r="A642" s="94" t="s">
        <v>293</v>
      </c>
      <c r="B642" s="531" t="s">
        <v>269</v>
      </c>
      <c r="C642" s="70" t="s">
        <v>284</v>
      </c>
      <c r="D642" s="49" t="s">
        <v>586</v>
      </c>
      <c r="E642" s="195">
        <v>0.1</v>
      </c>
      <c r="F642" s="100">
        <f>H641</f>
        <v>130685.26315789473</v>
      </c>
      <c r="G642" s="154">
        <v>0</v>
      </c>
      <c r="H642" s="255">
        <f t="shared" si="23"/>
        <v>13068.526315789473</v>
      </c>
    </row>
    <row r="643" spans="1:9" s="42" customFormat="1" ht="30" x14ac:dyDescent="0.2">
      <c r="A643" s="458" t="s">
        <v>795</v>
      </c>
      <c r="B643" s="526"/>
      <c r="C643" s="399" t="s">
        <v>70</v>
      </c>
      <c r="D643" s="326" t="s">
        <v>411</v>
      </c>
      <c r="E643" s="400"/>
      <c r="F643" s="401">
        <f>ROUND(SUM(H643:H653),0)</f>
        <v>736325</v>
      </c>
      <c r="G643" s="402"/>
      <c r="H643" s="330"/>
      <c r="I643" s="738"/>
    </row>
    <row r="644" spans="1:9" x14ac:dyDescent="0.2">
      <c r="A644" s="936" t="s">
        <v>382</v>
      </c>
      <c r="B644" s="244" t="s">
        <v>1264</v>
      </c>
      <c r="C644" s="20" t="s">
        <v>641</v>
      </c>
      <c r="D644" s="19" t="s">
        <v>642</v>
      </c>
      <c r="E644" s="194">
        <v>0.3</v>
      </c>
      <c r="F644" s="23">
        <f>VLOOKUP(B644,'BASE DE DATOS'!$A$5:$E$997,5,FALSE)</f>
        <v>10959</v>
      </c>
      <c r="G644" s="58">
        <v>1.05</v>
      </c>
      <c r="H644" s="252">
        <f>IF(G644&gt;0,(G644*F644*E644),(F644*E644))</f>
        <v>3452.085</v>
      </c>
    </row>
    <row r="645" spans="1:9" x14ac:dyDescent="0.2">
      <c r="A645" s="936"/>
      <c r="B645" s="244" t="s">
        <v>1757</v>
      </c>
      <c r="C645" s="20" t="s">
        <v>144</v>
      </c>
      <c r="D645" s="19" t="s">
        <v>405</v>
      </c>
      <c r="E645" s="194">
        <f>0.85*4*2</f>
        <v>6.8</v>
      </c>
      <c r="F645" s="23">
        <f>VLOOKUP(B645,'BASE DE DATOS'!$A$5:$E$997,5,FALSE)</f>
        <v>15817</v>
      </c>
      <c r="G645" s="58">
        <v>1.05</v>
      </c>
      <c r="H645" s="252">
        <f t="shared" ref="H645:H653" si="24">IF(G645&gt;0,(G645*F645*E645),(F645*E645))</f>
        <v>112933.38</v>
      </c>
    </row>
    <row r="646" spans="1:9" x14ac:dyDescent="0.2">
      <c r="A646" s="936"/>
      <c r="B646" s="244" t="s">
        <v>1463</v>
      </c>
      <c r="C646" s="20" t="s">
        <v>593</v>
      </c>
      <c r="D646" s="19" t="s">
        <v>405</v>
      </c>
      <c r="E646" s="194">
        <v>4</v>
      </c>
      <c r="F646" s="23">
        <f>VLOOKUP(B646,'BASE DE DATOS'!$A$5:$E$997,5,FALSE)</f>
        <v>4704</v>
      </c>
      <c r="G646" s="58">
        <f>1/2</f>
        <v>0.5</v>
      </c>
      <c r="H646" s="252">
        <f t="shared" si="24"/>
        <v>9408</v>
      </c>
    </row>
    <row r="647" spans="1:9" x14ac:dyDescent="0.2">
      <c r="A647" s="936"/>
      <c r="B647" s="244" t="s">
        <v>1558</v>
      </c>
      <c r="C647" s="20" t="s">
        <v>2023</v>
      </c>
      <c r="D647" s="19" t="s">
        <v>590</v>
      </c>
      <c r="E647" s="194">
        <v>1</v>
      </c>
      <c r="F647" s="23">
        <f>VLOOKUP(B647,'BASE DE DATOS'!$A$5:$E$997,5,FALSE)</f>
        <v>5650</v>
      </c>
      <c r="G647" s="58">
        <v>0</v>
      </c>
      <c r="H647" s="252">
        <f t="shared" si="24"/>
        <v>5650</v>
      </c>
    </row>
    <row r="648" spans="1:9" x14ac:dyDescent="0.2">
      <c r="A648" s="936"/>
      <c r="B648" s="244" t="s">
        <v>1711</v>
      </c>
      <c r="C648" s="20" t="s">
        <v>632</v>
      </c>
      <c r="D648" s="19" t="s">
        <v>405</v>
      </c>
      <c r="E648" s="194">
        <v>12</v>
      </c>
      <c r="F648" s="23">
        <f>VLOOKUP(B648,'BASE DE DATOS'!$A$5:$E$997,5,FALSE)</f>
        <v>10991</v>
      </c>
      <c r="G648" s="58">
        <f>1/2</f>
        <v>0.5</v>
      </c>
      <c r="H648" s="252">
        <f t="shared" si="24"/>
        <v>65946</v>
      </c>
    </row>
    <row r="649" spans="1:9" ht="14.25" x14ac:dyDescent="0.2">
      <c r="A649" s="948" t="s">
        <v>3252</v>
      </c>
      <c r="B649" s="244" t="s">
        <v>799</v>
      </c>
      <c r="C649" s="20" t="s">
        <v>2089</v>
      </c>
      <c r="D649" s="19" t="s">
        <v>285</v>
      </c>
      <c r="E649" s="194">
        <v>0.04</v>
      </c>
      <c r="F649" s="23">
        <f>F34</f>
        <v>482282</v>
      </c>
      <c r="G649" s="58">
        <v>1.05</v>
      </c>
      <c r="H649" s="252">
        <f t="shared" si="24"/>
        <v>20255.844000000001</v>
      </c>
    </row>
    <row r="650" spans="1:9" x14ac:dyDescent="0.2">
      <c r="A650" s="948"/>
      <c r="B650" s="244" t="s">
        <v>814</v>
      </c>
      <c r="C650" s="20" t="s">
        <v>2024</v>
      </c>
      <c r="D650" s="19" t="s">
        <v>406</v>
      </c>
      <c r="E650" s="194">
        <v>4</v>
      </c>
      <c r="F650" s="23">
        <f>F118</f>
        <v>7440</v>
      </c>
      <c r="G650" s="58">
        <v>0</v>
      </c>
      <c r="H650" s="252">
        <f t="shared" si="24"/>
        <v>29760</v>
      </c>
    </row>
    <row r="651" spans="1:9" ht="14.25" customHeight="1" x14ac:dyDescent="0.2">
      <c r="A651" s="948"/>
      <c r="B651" s="244" t="s">
        <v>798</v>
      </c>
      <c r="C651" s="20" t="s">
        <v>2095</v>
      </c>
      <c r="D651" s="19" t="s">
        <v>285</v>
      </c>
      <c r="E651" s="194">
        <v>0.45</v>
      </c>
      <c r="F651" s="23">
        <f>F26</f>
        <v>456694</v>
      </c>
      <c r="G651" s="58">
        <v>1.05</v>
      </c>
      <c r="H651" s="252">
        <f>IF(G651&gt;0,(G651*F651*E651),(F651*E651))</f>
        <v>215787.91500000001</v>
      </c>
    </row>
    <row r="652" spans="1:9" x14ac:dyDescent="0.2">
      <c r="A652" s="81" t="s">
        <v>2555</v>
      </c>
      <c r="B652" s="244" t="s">
        <v>644</v>
      </c>
      <c r="C652" s="20" t="s">
        <v>645</v>
      </c>
      <c r="D652" s="19" t="s">
        <v>585</v>
      </c>
      <c r="E652" s="194">
        <v>1</v>
      </c>
      <c r="F652" s="23">
        <f>VLOOKUP(B652,'BASE DE DATOS'!$A$5:$E$997,5,FALSE)</f>
        <v>248302</v>
      </c>
      <c r="G652" s="58">
        <f>1/1</f>
        <v>1</v>
      </c>
      <c r="H652" s="252">
        <f t="shared" si="24"/>
        <v>248302</v>
      </c>
    </row>
    <row r="653" spans="1:9" ht="13.5" thickBot="1" x14ac:dyDescent="0.25">
      <c r="A653" s="94" t="s">
        <v>293</v>
      </c>
      <c r="B653" s="531" t="s">
        <v>269</v>
      </c>
      <c r="C653" s="70" t="s">
        <v>284</v>
      </c>
      <c r="D653" s="49" t="s">
        <v>586</v>
      </c>
      <c r="E653" s="195">
        <v>0.1</v>
      </c>
      <c r="F653" s="100">
        <f>H652</f>
        <v>248302</v>
      </c>
      <c r="G653" s="154">
        <v>0</v>
      </c>
      <c r="H653" s="255">
        <f t="shared" si="24"/>
        <v>24830.2</v>
      </c>
    </row>
    <row r="654" spans="1:9" s="42" customFormat="1" ht="30" x14ac:dyDescent="0.2">
      <c r="A654" s="458" t="s">
        <v>821</v>
      </c>
      <c r="B654" s="526"/>
      <c r="C654" s="399" t="s">
        <v>71</v>
      </c>
      <c r="D654" s="326" t="s">
        <v>411</v>
      </c>
      <c r="E654" s="400"/>
      <c r="F654" s="401">
        <f>ROUND(SUM(H654:H664),0)</f>
        <v>937195</v>
      </c>
      <c r="G654" s="402"/>
      <c r="H654" s="330"/>
      <c r="I654" s="738"/>
    </row>
    <row r="655" spans="1:9" x14ac:dyDescent="0.2">
      <c r="A655" s="936" t="s">
        <v>382</v>
      </c>
      <c r="B655" s="244" t="s">
        <v>1264</v>
      </c>
      <c r="C655" s="20" t="s">
        <v>641</v>
      </c>
      <c r="D655" s="19" t="s">
        <v>642</v>
      </c>
      <c r="E655" s="194">
        <v>0.4</v>
      </c>
      <c r="F655" s="23">
        <f>VLOOKUP(B655,'BASE DE DATOS'!$A$5:$E$997,5,FALSE)</f>
        <v>10959</v>
      </c>
      <c r="G655" s="58">
        <v>1.05</v>
      </c>
      <c r="H655" s="252">
        <f>IF(G655&gt;0,(G655*F655*E655),(F655*E655))</f>
        <v>4602.7800000000007</v>
      </c>
    </row>
    <row r="656" spans="1:9" s="9" customFormat="1" x14ac:dyDescent="0.2">
      <c r="A656" s="936"/>
      <c r="B656" s="244" t="s">
        <v>1757</v>
      </c>
      <c r="C656" s="20" t="s">
        <v>144</v>
      </c>
      <c r="D656" s="19" t="s">
        <v>405</v>
      </c>
      <c r="E656" s="194">
        <f>1.05*4*2</f>
        <v>8.4</v>
      </c>
      <c r="F656" s="23">
        <f>VLOOKUP(B656,'BASE DE DATOS'!$A$5:$E$997,5,FALSE)</f>
        <v>15817</v>
      </c>
      <c r="G656" s="58">
        <v>1.05</v>
      </c>
      <c r="H656" s="252">
        <f t="shared" ref="H656:H664" si="25">IF(G656&gt;0,(G656*F656*E656),(F656*E656))</f>
        <v>139505.94000000003</v>
      </c>
    </row>
    <row r="657" spans="1:9" x14ac:dyDescent="0.2">
      <c r="A657" s="936"/>
      <c r="B657" s="244" t="s">
        <v>1463</v>
      </c>
      <c r="C657" s="20" t="s">
        <v>593</v>
      </c>
      <c r="D657" s="19" t="s">
        <v>405</v>
      </c>
      <c r="E657" s="194">
        <v>6</v>
      </c>
      <c r="F657" s="23">
        <f>VLOOKUP(B657,'BASE DE DATOS'!$A$5:$E$997,5,FALSE)</f>
        <v>4704</v>
      </c>
      <c r="G657" s="58">
        <f>1/2</f>
        <v>0.5</v>
      </c>
      <c r="H657" s="252">
        <f t="shared" si="25"/>
        <v>14112</v>
      </c>
    </row>
    <row r="658" spans="1:9" x14ac:dyDescent="0.2">
      <c r="A658" s="936"/>
      <c r="B658" s="244" t="s">
        <v>1558</v>
      </c>
      <c r="C658" s="20" t="s">
        <v>2023</v>
      </c>
      <c r="D658" s="19" t="s">
        <v>590</v>
      </c>
      <c r="E658" s="194">
        <v>1.5</v>
      </c>
      <c r="F658" s="23">
        <f>VLOOKUP(B658,'BASE DE DATOS'!$A$5:$E$997,5,FALSE)</f>
        <v>5650</v>
      </c>
      <c r="G658" s="58">
        <v>0</v>
      </c>
      <c r="H658" s="252">
        <f t="shared" si="25"/>
        <v>8475</v>
      </c>
    </row>
    <row r="659" spans="1:9" x14ac:dyDescent="0.2">
      <c r="A659" s="936"/>
      <c r="B659" s="244" t="s">
        <v>1711</v>
      </c>
      <c r="C659" s="20" t="s">
        <v>632</v>
      </c>
      <c r="D659" s="19" t="s">
        <v>405</v>
      </c>
      <c r="E659" s="194">
        <v>18</v>
      </c>
      <c r="F659" s="23">
        <f>VLOOKUP(B659,'BASE DE DATOS'!$A$5:$E$997,5,FALSE)</f>
        <v>10991</v>
      </c>
      <c r="G659" s="58">
        <f>1/2</f>
        <v>0.5</v>
      </c>
      <c r="H659" s="252">
        <f t="shared" si="25"/>
        <v>98919</v>
      </c>
    </row>
    <row r="660" spans="1:9" ht="14.25" x14ac:dyDescent="0.2">
      <c r="A660" s="948" t="s">
        <v>3252</v>
      </c>
      <c r="B660" s="244" t="s">
        <v>799</v>
      </c>
      <c r="C660" s="20" t="s">
        <v>2089</v>
      </c>
      <c r="D660" s="19" t="s">
        <v>285</v>
      </c>
      <c r="E660" s="194">
        <v>0.06</v>
      </c>
      <c r="F660" s="23">
        <f>F34</f>
        <v>482282</v>
      </c>
      <c r="G660" s="58">
        <v>1.05</v>
      </c>
      <c r="H660" s="252">
        <f t="shared" si="25"/>
        <v>30383.766</v>
      </c>
    </row>
    <row r="661" spans="1:9" x14ac:dyDescent="0.2">
      <c r="A661" s="948"/>
      <c r="B661" s="244" t="s">
        <v>814</v>
      </c>
      <c r="C661" s="20" t="s">
        <v>2024</v>
      </c>
      <c r="D661" s="19" t="s">
        <v>406</v>
      </c>
      <c r="E661" s="194">
        <v>5</v>
      </c>
      <c r="F661" s="23">
        <f>F118</f>
        <v>7440</v>
      </c>
      <c r="G661" s="58">
        <v>0</v>
      </c>
      <c r="H661" s="252">
        <f t="shared" si="25"/>
        <v>37200</v>
      </c>
    </row>
    <row r="662" spans="1:9" ht="14.25" customHeight="1" x14ac:dyDescent="0.2">
      <c r="A662" s="948"/>
      <c r="B662" s="244" t="s">
        <v>798</v>
      </c>
      <c r="C662" s="20" t="s">
        <v>2095</v>
      </c>
      <c r="D662" s="19" t="s">
        <v>285</v>
      </c>
      <c r="E662" s="194">
        <v>0.66</v>
      </c>
      <c r="F662" s="23">
        <f>F26</f>
        <v>456694</v>
      </c>
      <c r="G662" s="58">
        <v>1.05</v>
      </c>
      <c r="H662" s="252">
        <f>IF(G662&gt;0,(G662*F662*E662),(F662*E662))</f>
        <v>316488.94200000004</v>
      </c>
    </row>
    <row r="663" spans="1:9" x14ac:dyDescent="0.2">
      <c r="A663" s="81" t="s">
        <v>2555</v>
      </c>
      <c r="B663" s="244" t="s">
        <v>644</v>
      </c>
      <c r="C663" s="20" t="s">
        <v>645</v>
      </c>
      <c r="D663" s="19" t="s">
        <v>585</v>
      </c>
      <c r="E663" s="194">
        <v>1</v>
      </c>
      <c r="F663" s="23">
        <f>VLOOKUP(B663,'BASE DE DATOS'!$A$5:$E$997,5,FALSE)</f>
        <v>248302</v>
      </c>
      <c r="G663" s="58">
        <f>1/0.95</f>
        <v>1.0526315789473684</v>
      </c>
      <c r="H663" s="252">
        <f t="shared" si="25"/>
        <v>261370.52631578947</v>
      </c>
    </row>
    <row r="664" spans="1:9" ht="13.5" thickBot="1" x14ac:dyDescent="0.25">
      <c r="A664" s="94" t="s">
        <v>293</v>
      </c>
      <c r="B664" s="531" t="s">
        <v>269</v>
      </c>
      <c r="C664" s="70" t="s">
        <v>284</v>
      </c>
      <c r="D664" s="49" t="s">
        <v>586</v>
      </c>
      <c r="E664" s="195">
        <v>0.1</v>
      </c>
      <c r="F664" s="100">
        <f>H663</f>
        <v>261370.52631578947</v>
      </c>
      <c r="G664" s="154">
        <v>0</v>
      </c>
      <c r="H664" s="255">
        <f t="shared" si="25"/>
        <v>26137.052631578947</v>
      </c>
    </row>
    <row r="665" spans="1:9" s="42" customFormat="1" ht="17.25" x14ac:dyDescent="0.2">
      <c r="A665" s="458" t="s">
        <v>822</v>
      </c>
      <c r="B665" s="529"/>
      <c r="C665" s="388" t="s">
        <v>73</v>
      </c>
      <c r="D665" s="389" t="s">
        <v>3225</v>
      </c>
      <c r="E665" s="395"/>
      <c r="F665" s="391">
        <f>ROUND(SUM(H665:H671),0)</f>
        <v>935257</v>
      </c>
      <c r="G665" s="392"/>
      <c r="H665" s="393"/>
      <c r="I665" s="738"/>
    </row>
    <row r="666" spans="1:9" x14ac:dyDescent="0.2">
      <c r="A666" s="82" t="s">
        <v>382</v>
      </c>
      <c r="B666" s="241" t="s">
        <v>1290</v>
      </c>
      <c r="C666" s="3" t="s">
        <v>2697</v>
      </c>
      <c r="D666" s="2" t="s">
        <v>406</v>
      </c>
      <c r="E666" s="114">
        <v>2.5</v>
      </c>
      <c r="F666" s="23">
        <f>VLOOKUP(B666,'BASE DE DATOS'!$A$5:$E$997,5,FALSE)</f>
        <v>13045</v>
      </c>
      <c r="G666" s="104">
        <v>1.03</v>
      </c>
      <c r="H666" s="252">
        <f t="shared" ref="H666:H671" si="26">IF(G666&gt;0,(G666*F666*E666),(F666*E666))</f>
        <v>33590.875</v>
      </c>
    </row>
    <row r="667" spans="1:9" ht="14.25" x14ac:dyDescent="0.2">
      <c r="A667" s="64" t="s">
        <v>3252</v>
      </c>
      <c r="B667" s="241" t="s">
        <v>799</v>
      </c>
      <c r="C667" s="3" t="s">
        <v>2089</v>
      </c>
      <c r="D667" s="2" t="s">
        <v>285</v>
      </c>
      <c r="E667" s="114">
        <v>1</v>
      </c>
      <c r="F667" s="23">
        <f>F34</f>
        <v>482282</v>
      </c>
      <c r="G667" s="104">
        <v>1.05</v>
      </c>
      <c r="H667" s="252">
        <f t="shared" si="26"/>
        <v>506396.10000000003</v>
      </c>
    </row>
    <row r="668" spans="1:9" x14ac:dyDescent="0.2">
      <c r="A668" s="81" t="s">
        <v>2555</v>
      </c>
      <c r="B668" s="241" t="s">
        <v>587</v>
      </c>
      <c r="C668" s="3" t="s">
        <v>588</v>
      </c>
      <c r="D668" s="2" t="s">
        <v>585</v>
      </c>
      <c r="E668" s="114">
        <v>1</v>
      </c>
      <c r="F668" s="23">
        <f>VLOOKUP(B668,'BASE DE DATOS'!$A$5:$E$997,5,FALSE)</f>
        <v>514339</v>
      </c>
      <c r="G668" s="104">
        <f>1/1.5</f>
        <v>0.66666666666666663</v>
      </c>
      <c r="H668" s="252">
        <f t="shared" si="26"/>
        <v>342892.66666666663</v>
      </c>
    </row>
    <row r="669" spans="1:9" x14ac:dyDescent="0.2">
      <c r="A669" s="944" t="s">
        <v>293</v>
      </c>
      <c r="B669" s="241" t="s">
        <v>269</v>
      </c>
      <c r="C669" s="3" t="s">
        <v>284</v>
      </c>
      <c r="D669" s="2" t="s">
        <v>586</v>
      </c>
      <c r="E669" s="114">
        <v>0.1</v>
      </c>
      <c r="F669" s="23">
        <f>H668</f>
        <v>342892.66666666663</v>
      </c>
      <c r="G669" s="104">
        <v>0</v>
      </c>
      <c r="H669" s="252">
        <f t="shared" si="26"/>
        <v>34289.266666666663</v>
      </c>
    </row>
    <row r="670" spans="1:9" s="9" customFormat="1" x14ac:dyDescent="0.2">
      <c r="A670" s="944"/>
      <c r="B670" s="241" t="s">
        <v>668</v>
      </c>
      <c r="C670" s="3" t="s">
        <v>669</v>
      </c>
      <c r="D670" s="2" t="s">
        <v>585</v>
      </c>
      <c r="E670" s="114">
        <v>1</v>
      </c>
      <c r="F670" s="23">
        <f>VLOOKUP(B670,'BASE DE DATOS'!$A$5:$E$997,5,FALSE)</f>
        <v>58310</v>
      </c>
      <c r="G670" s="104">
        <f>1/5</f>
        <v>0.2</v>
      </c>
      <c r="H670" s="252">
        <f t="shared" si="26"/>
        <v>11662</v>
      </c>
    </row>
    <row r="671" spans="1:9" ht="13.5" thickBot="1" x14ac:dyDescent="0.25">
      <c r="A671" s="132" t="s">
        <v>139</v>
      </c>
      <c r="B671" s="530" t="s">
        <v>135</v>
      </c>
      <c r="C671" s="88" t="s">
        <v>136</v>
      </c>
      <c r="D671" s="89" t="s">
        <v>411</v>
      </c>
      <c r="E671" s="193">
        <f>5/10</f>
        <v>0.5</v>
      </c>
      <c r="F671" s="100">
        <f>VLOOKUP(B671,'BASE DE DATOS'!$A$5:$E$997,5,FALSE)</f>
        <v>12852</v>
      </c>
      <c r="G671" s="153">
        <v>0</v>
      </c>
      <c r="H671" s="255">
        <f t="shared" si="26"/>
        <v>6426</v>
      </c>
    </row>
    <row r="672" spans="1:9" s="42" customFormat="1" ht="30" customHeight="1" x14ac:dyDescent="0.2">
      <c r="A672" s="458" t="s">
        <v>823</v>
      </c>
      <c r="B672" s="526"/>
      <c r="C672" s="399" t="s">
        <v>2025</v>
      </c>
      <c r="D672" s="326" t="s">
        <v>3225</v>
      </c>
      <c r="E672" s="400"/>
      <c r="F672" s="401">
        <f>ROUND(SUM(H672:H678),0)</f>
        <v>989484</v>
      </c>
      <c r="G672" s="402"/>
      <c r="H672" s="330"/>
      <c r="I672" s="738"/>
    </row>
    <row r="673" spans="1:9" x14ac:dyDescent="0.2">
      <c r="A673" s="82" t="s">
        <v>382</v>
      </c>
      <c r="B673" s="244" t="s">
        <v>1290</v>
      </c>
      <c r="C673" s="20" t="s">
        <v>2697</v>
      </c>
      <c r="D673" s="19" t="s">
        <v>406</v>
      </c>
      <c r="E673" s="194">
        <v>2.5</v>
      </c>
      <c r="F673" s="23">
        <f>VLOOKUP(B673,'BASE DE DATOS'!$A$5:$E$997,5,FALSE)</f>
        <v>13045</v>
      </c>
      <c r="G673" s="58">
        <v>1.03</v>
      </c>
      <c r="H673" s="252">
        <f t="shared" ref="H673:H678" si="27">IF(G673&gt;0,(G673*F673*E673),(F673*E673))</f>
        <v>33590.875</v>
      </c>
    </row>
    <row r="674" spans="1:9" ht="14.25" x14ac:dyDescent="0.2">
      <c r="A674" s="64" t="s">
        <v>3252</v>
      </c>
      <c r="B674" s="244" t="s">
        <v>800</v>
      </c>
      <c r="C674" s="20" t="s">
        <v>2102</v>
      </c>
      <c r="D674" s="19" t="s">
        <v>285</v>
      </c>
      <c r="E674" s="194">
        <v>1</v>
      </c>
      <c r="F674" s="23">
        <f>F42</f>
        <v>533927</v>
      </c>
      <c r="G674" s="58">
        <v>1.05</v>
      </c>
      <c r="H674" s="252">
        <f t="shared" si="27"/>
        <v>560623.35</v>
      </c>
    </row>
    <row r="675" spans="1:9" x14ac:dyDescent="0.2">
      <c r="A675" s="81" t="s">
        <v>2555</v>
      </c>
      <c r="B675" s="244" t="s">
        <v>587</v>
      </c>
      <c r="C675" s="20" t="s">
        <v>588</v>
      </c>
      <c r="D675" s="19" t="s">
        <v>585</v>
      </c>
      <c r="E675" s="194">
        <v>1</v>
      </c>
      <c r="F675" s="23">
        <f>VLOOKUP(B675,'BASE DE DATOS'!$A$5:$E$997,5,FALSE)</f>
        <v>514339</v>
      </c>
      <c r="G675" s="58">
        <f>1/1.5</f>
        <v>0.66666666666666663</v>
      </c>
      <c r="H675" s="252">
        <f t="shared" si="27"/>
        <v>342892.66666666663</v>
      </c>
    </row>
    <row r="676" spans="1:9" x14ac:dyDescent="0.2">
      <c r="A676" s="944" t="s">
        <v>293</v>
      </c>
      <c r="B676" s="244" t="s">
        <v>269</v>
      </c>
      <c r="C676" s="20" t="s">
        <v>284</v>
      </c>
      <c r="D676" s="19" t="s">
        <v>586</v>
      </c>
      <c r="E676" s="194">
        <v>0.1</v>
      </c>
      <c r="F676" s="56">
        <f>H675</f>
        <v>342892.66666666663</v>
      </c>
      <c r="G676" s="58">
        <v>0</v>
      </c>
      <c r="H676" s="252">
        <f t="shared" si="27"/>
        <v>34289.266666666663</v>
      </c>
    </row>
    <row r="677" spans="1:9" x14ac:dyDescent="0.2">
      <c r="A677" s="944"/>
      <c r="B677" s="244" t="s">
        <v>668</v>
      </c>
      <c r="C677" s="20" t="s">
        <v>669</v>
      </c>
      <c r="D677" s="19" t="s">
        <v>585</v>
      </c>
      <c r="E677" s="194">
        <v>1</v>
      </c>
      <c r="F677" s="23">
        <f>VLOOKUP(B677,'BASE DE DATOS'!$A$5:$E$997,5,FALSE)</f>
        <v>58310</v>
      </c>
      <c r="G677" s="58">
        <f>1/5</f>
        <v>0.2</v>
      </c>
      <c r="H677" s="252">
        <f t="shared" si="27"/>
        <v>11662</v>
      </c>
    </row>
    <row r="678" spans="1:9" ht="13.5" thickBot="1" x14ac:dyDescent="0.25">
      <c r="A678" s="132" t="s">
        <v>139</v>
      </c>
      <c r="B678" s="531" t="s">
        <v>135</v>
      </c>
      <c r="C678" s="70" t="s">
        <v>136</v>
      </c>
      <c r="D678" s="49" t="s">
        <v>411</v>
      </c>
      <c r="E678" s="195">
        <f>5/10</f>
        <v>0.5</v>
      </c>
      <c r="F678" s="110">
        <f>VLOOKUP(B678,'BASE DE DATOS'!$A$5:$E$997,5,FALSE)</f>
        <v>12852</v>
      </c>
      <c r="G678" s="154">
        <v>0</v>
      </c>
      <c r="H678" s="255">
        <f t="shared" si="27"/>
        <v>6426</v>
      </c>
    </row>
    <row r="679" spans="1:9" s="42" customFormat="1" ht="30" x14ac:dyDescent="0.2">
      <c r="A679" s="458" t="s">
        <v>824</v>
      </c>
      <c r="B679" s="529"/>
      <c r="C679" s="388" t="s">
        <v>74</v>
      </c>
      <c r="D679" s="389" t="s">
        <v>3225</v>
      </c>
      <c r="E679" s="395"/>
      <c r="F679" s="391">
        <f>ROUND(SUM(H679:H685),0)</f>
        <v>973130</v>
      </c>
      <c r="G679" s="392"/>
      <c r="H679" s="393"/>
      <c r="I679" s="738"/>
    </row>
    <row r="680" spans="1:9" x14ac:dyDescent="0.2">
      <c r="A680" s="82" t="s">
        <v>382</v>
      </c>
      <c r="B680" s="241" t="s">
        <v>1290</v>
      </c>
      <c r="C680" s="3" t="s">
        <v>2697</v>
      </c>
      <c r="D680" s="2" t="s">
        <v>406</v>
      </c>
      <c r="E680" s="114">
        <v>1</v>
      </c>
      <c r="F680" s="23">
        <f>VLOOKUP(B680,'BASE DE DATOS'!$A$5:$E$997,5,FALSE)</f>
        <v>13045</v>
      </c>
      <c r="G680" s="104">
        <v>1.03</v>
      </c>
      <c r="H680" s="252">
        <f t="shared" ref="H680:H685" si="28">IF(G680&gt;0,(G680*F680*E680),(F680*E680))</f>
        <v>13436.35</v>
      </c>
    </row>
    <row r="681" spans="1:9" ht="14.25" x14ac:dyDescent="0.2">
      <c r="A681" s="64" t="s">
        <v>3252</v>
      </c>
      <c r="B681" s="241" t="s">
        <v>799</v>
      </c>
      <c r="C681" s="3" t="s">
        <v>2089</v>
      </c>
      <c r="D681" s="2" t="s">
        <v>285</v>
      </c>
      <c r="E681" s="114">
        <v>1</v>
      </c>
      <c r="F681" s="23">
        <f>F34</f>
        <v>482282</v>
      </c>
      <c r="G681" s="104">
        <v>1.05</v>
      </c>
      <c r="H681" s="252">
        <f t="shared" si="28"/>
        <v>506396.10000000003</v>
      </c>
    </row>
    <row r="682" spans="1:9" x14ac:dyDescent="0.2">
      <c r="A682" s="81" t="s">
        <v>2555</v>
      </c>
      <c r="B682" s="241" t="s">
        <v>587</v>
      </c>
      <c r="C682" s="3" t="s">
        <v>588</v>
      </c>
      <c r="D682" s="2" t="s">
        <v>585</v>
      </c>
      <c r="E682" s="114">
        <v>1</v>
      </c>
      <c r="F682" s="23">
        <f>VLOOKUP(B682,'BASE DE DATOS'!$A$5:$E$997,5,FALSE)</f>
        <v>514339</v>
      </c>
      <c r="G682" s="104">
        <f>1/1.3</f>
        <v>0.76923076923076916</v>
      </c>
      <c r="H682" s="252">
        <f t="shared" si="28"/>
        <v>395645.38461538457</v>
      </c>
    </row>
    <row r="683" spans="1:9" x14ac:dyDescent="0.2">
      <c r="A683" s="944" t="s">
        <v>293</v>
      </c>
      <c r="B683" s="241" t="s">
        <v>269</v>
      </c>
      <c r="C683" s="3" t="s">
        <v>284</v>
      </c>
      <c r="D683" s="2" t="s">
        <v>586</v>
      </c>
      <c r="E683" s="114">
        <v>0.1</v>
      </c>
      <c r="F683" s="23">
        <f>H682</f>
        <v>395645.38461538457</v>
      </c>
      <c r="G683" s="104">
        <v>0</v>
      </c>
      <c r="H683" s="252">
        <f t="shared" si="28"/>
        <v>39564.538461538461</v>
      </c>
    </row>
    <row r="684" spans="1:9" x14ac:dyDescent="0.2">
      <c r="A684" s="944"/>
      <c r="B684" s="241" t="s">
        <v>668</v>
      </c>
      <c r="C684" s="3" t="s">
        <v>669</v>
      </c>
      <c r="D684" s="2" t="s">
        <v>585</v>
      </c>
      <c r="E684" s="114">
        <v>1</v>
      </c>
      <c r="F684" s="23">
        <f>VLOOKUP(B684,'BASE DE DATOS'!$A$5:$E$997,5,FALSE)</f>
        <v>58310</v>
      </c>
      <c r="G684" s="104">
        <f>1/5</f>
        <v>0.2</v>
      </c>
      <c r="H684" s="252">
        <f t="shared" si="28"/>
        <v>11662</v>
      </c>
    </row>
    <row r="685" spans="1:9" ht="13.5" thickBot="1" x14ac:dyDescent="0.25">
      <c r="A685" s="132" t="s">
        <v>139</v>
      </c>
      <c r="B685" s="530" t="s">
        <v>135</v>
      </c>
      <c r="C685" s="88" t="s">
        <v>136</v>
      </c>
      <c r="D685" s="89" t="s">
        <v>411</v>
      </c>
      <c r="E685" s="193">
        <f>5/10</f>
        <v>0.5</v>
      </c>
      <c r="F685" s="110">
        <f>VLOOKUP(B685,'BASE DE DATOS'!$A$5:$E$997,5,FALSE)</f>
        <v>12852</v>
      </c>
      <c r="G685" s="153">
        <v>0</v>
      </c>
      <c r="H685" s="255">
        <f t="shared" si="28"/>
        <v>6426</v>
      </c>
    </row>
    <row r="686" spans="1:9" s="42" customFormat="1" ht="30" x14ac:dyDescent="0.2">
      <c r="A686" s="458" t="s">
        <v>825</v>
      </c>
      <c r="B686" s="526"/>
      <c r="C686" s="399" t="s">
        <v>46</v>
      </c>
      <c r="D686" s="326" t="s">
        <v>3225</v>
      </c>
      <c r="E686" s="400"/>
      <c r="F686" s="401">
        <f>ROUND(SUM(H686:H692),0)</f>
        <v>1047512</v>
      </c>
      <c r="G686" s="402"/>
      <c r="H686" s="330"/>
      <c r="I686" s="738"/>
    </row>
    <row r="687" spans="1:9" x14ac:dyDescent="0.2">
      <c r="A687" s="82" t="s">
        <v>382</v>
      </c>
      <c r="B687" s="244" t="s">
        <v>1290</v>
      </c>
      <c r="C687" s="20" t="s">
        <v>2697</v>
      </c>
      <c r="D687" s="19" t="s">
        <v>406</v>
      </c>
      <c r="E687" s="194">
        <v>2.5</v>
      </c>
      <c r="F687" s="23">
        <f>VLOOKUP(B687,'BASE DE DATOS'!$A$5:$E$997,5,FALSE)</f>
        <v>13045</v>
      </c>
      <c r="G687" s="58">
        <v>1.03</v>
      </c>
      <c r="H687" s="252">
        <f t="shared" ref="H687:H692" si="29">IF(G687&gt;0,(G687*F687*E687),(F687*E687))</f>
        <v>33590.875</v>
      </c>
    </row>
    <row r="688" spans="1:9" ht="14.25" x14ac:dyDescent="0.2">
      <c r="A688" s="64" t="s">
        <v>3252</v>
      </c>
      <c r="B688" s="244" t="s">
        <v>800</v>
      </c>
      <c r="C688" s="20" t="s">
        <v>2102</v>
      </c>
      <c r="D688" s="19" t="s">
        <v>285</v>
      </c>
      <c r="E688" s="194">
        <v>1</v>
      </c>
      <c r="F688" s="23">
        <f>F42</f>
        <v>533927</v>
      </c>
      <c r="G688" s="58">
        <v>1.05</v>
      </c>
      <c r="H688" s="252">
        <f t="shared" si="29"/>
        <v>560623.35</v>
      </c>
    </row>
    <row r="689" spans="1:9" x14ac:dyDescent="0.2">
      <c r="A689" s="81" t="s">
        <v>2555</v>
      </c>
      <c r="B689" s="244" t="s">
        <v>587</v>
      </c>
      <c r="C689" s="20" t="s">
        <v>588</v>
      </c>
      <c r="D689" s="19" t="s">
        <v>585</v>
      </c>
      <c r="E689" s="194">
        <v>1</v>
      </c>
      <c r="F689" s="23">
        <f>VLOOKUP(B689,'BASE DE DATOS'!$A$5:$E$997,5,FALSE)</f>
        <v>514339</v>
      </c>
      <c r="G689" s="58">
        <f>1/1.3</f>
        <v>0.76923076923076916</v>
      </c>
      <c r="H689" s="252">
        <f t="shared" si="29"/>
        <v>395645.38461538457</v>
      </c>
    </row>
    <row r="690" spans="1:9" x14ac:dyDescent="0.2">
      <c r="A690" s="944" t="s">
        <v>293</v>
      </c>
      <c r="B690" s="244" t="s">
        <v>269</v>
      </c>
      <c r="C690" s="20" t="s">
        <v>284</v>
      </c>
      <c r="D690" s="19" t="s">
        <v>586</v>
      </c>
      <c r="E690" s="194">
        <v>0.1</v>
      </c>
      <c r="F690" s="56">
        <f>H689</f>
        <v>395645.38461538457</v>
      </c>
      <c r="G690" s="58">
        <v>0</v>
      </c>
      <c r="H690" s="252">
        <f t="shared" si="29"/>
        <v>39564.538461538461</v>
      </c>
    </row>
    <row r="691" spans="1:9" x14ac:dyDescent="0.2">
      <c r="A691" s="944"/>
      <c r="B691" s="244" t="s">
        <v>668</v>
      </c>
      <c r="C691" s="20" t="s">
        <v>669</v>
      </c>
      <c r="D691" s="19" t="s">
        <v>585</v>
      </c>
      <c r="E691" s="194">
        <v>1</v>
      </c>
      <c r="F691" s="23">
        <f>VLOOKUP(B691,'BASE DE DATOS'!$A$5:$E$997,5,FALSE)</f>
        <v>58310</v>
      </c>
      <c r="G691" s="58">
        <f>1/5</f>
        <v>0.2</v>
      </c>
      <c r="H691" s="252">
        <f t="shared" si="29"/>
        <v>11662</v>
      </c>
    </row>
    <row r="692" spans="1:9" ht="13.5" thickBot="1" x14ac:dyDescent="0.25">
      <c r="A692" s="132" t="s">
        <v>139</v>
      </c>
      <c r="B692" s="531" t="s">
        <v>135</v>
      </c>
      <c r="C692" s="70" t="s">
        <v>136</v>
      </c>
      <c r="D692" s="49" t="s">
        <v>411</v>
      </c>
      <c r="E692" s="195">
        <f>5/10</f>
        <v>0.5</v>
      </c>
      <c r="F692" s="110">
        <f>VLOOKUP(B692,'BASE DE DATOS'!$A$5:$E$997,5,FALSE)</f>
        <v>12852</v>
      </c>
      <c r="G692" s="154">
        <v>0</v>
      </c>
      <c r="H692" s="255">
        <f t="shared" si="29"/>
        <v>6426</v>
      </c>
    </row>
    <row r="693" spans="1:9" s="42" customFormat="1" ht="30.75" customHeight="1" x14ac:dyDescent="0.2">
      <c r="A693" s="458" t="s">
        <v>826</v>
      </c>
      <c r="B693" s="526"/>
      <c r="C693" s="399" t="s">
        <v>2472</v>
      </c>
      <c r="D693" s="326" t="s">
        <v>3225</v>
      </c>
      <c r="E693" s="400"/>
      <c r="F693" s="401">
        <f>ROUND(SUM(H693:H704),0)</f>
        <v>903083</v>
      </c>
      <c r="G693" s="402"/>
      <c r="H693" s="330"/>
      <c r="I693" s="738"/>
    </row>
    <row r="694" spans="1:9" x14ac:dyDescent="0.2">
      <c r="A694" s="939" t="s">
        <v>295</v>
      </c>
      <c r="B694" s="244" t="s">
        <v>1264</v>
      </c>
      <c r="C694" s="20" t="s">
        <v>641</v>
      </c>
      <c r="D694" s="19" t="s">
        <v>642</v>
      </c>
      <c r="E694" s="194">
        <v>0.4</v>
      </c>
      <c r="F694" s="23">
        <f>VLOOKUP(B694,'BASE DE DATOS'!$A$5:$E$997,5,FALSE)</f>
        <v>10959</v>
      </c>
      <c r="G694" s="58">
        <v>0</v>
      </c>
      <c r="H694" s="252">
        <f>IF(G694&gt;0,(G694*F694*E694),(F694*E694))</f>
        <v>4383.6000000000004</v>
      </c>
    </row>
    <row r="695" spans="1:9" x14ac:dyDescent="0.2">
      <c r="A695" s="939"/>
      <c r="B695" s="244" t="s">
        <v>1290</v>
      </c>
      <c r="C695" s="20" t="s">
        <v>2697</v>
      </c>
      <c r="D695" s="19" t="s">
        <v>406</v>
      </c>
      <c r="E695" s="194">
        <v>2.5</v>
      </c>
      <c r="F695" s="23">
        <f>VLOOKUP(B695,'BASE DE DATOS'!$A$5:$E$997,5,FALSE)</f>
        <v>13045</v>
      </c>
      <c r="G695" s="58">
        <v>1.03</v>
      </c>
      <c r="H695" s="252">
        <f>IF(G695&gt;0,(G695*F695*E695),(F695*E695))</f>
        <v>33590.875</v>
      </c>
    </row>
    <row r="696" spans="1:9" x14ac:dyDescent="0.2">
      <c r="A696" s="939"/>
      <c r="B696" s="244" t="s">
        <v>1367</v>
      </c>
      <c r="C696" s="20" t="s">
        <v>592</v>
      </c>
      <c r="D696" s="19" t="s">
        <v>405</v>
      </c>
      <c r="E696" s="194">
        <v>15</v>
      </c>
      <c r="F696" s="23">
        <f>VLOOKUP(B696,'BASE DE DATOS'!$A$5:$E$997,5,FALSE)</f>
        <v>6534</v>
      </c>
      <c r="G696" s="58">
        <f>1/3</f>
        <v>0.33333333333333331</v>
      </c>
      <c r="H696" s="252">
        <f>IF(G696&gt;0,(G696*F696*E696),(F696*E696))</f>
        <v>32670</v>
      </c>
    </row>
    <row r="697" spans="1:9" x14ac:dyDescent="0.2">
      <c r="A697" s="939"/>
      <c r="B697" s="244" t="s">
        <v>1463</v>
      </c>
      <c r="C697" s="20" t="s">
        <v>593</v>
      </c>
      <c r="D697" s="19" t="s">
        <v>405</v>
      </c>
      <c r="E697" s="194">
        <v>12</v>
      </c>
      <c r="F697" s="23">
        <f>VLOOKUP(B697,'BASE DE DATOS'!$A$5:$E$997,5,FALSE)</f>
        <v>4704</v>
      </c>
      <c r="G697" s="58">
        <f>1/3</f>
        <v>0.33333333333333331</v>
      </c>
      <c r="H697" s="252">
        <f t="shared" ref="H697:H704" si="30">IF(G697&gt;0,(G697*F697*E697),(F697*E697))</f>
        <v>18816</v>
      </c>
    </row>
    <row r="698" spans="1:9" x14ac:dyDescent="0.2">
      <c r="A698" s="939"/>
      <c r="B698" s="244" t="s">
        <v>1558</v>
      </c>
      <c r="C698" s="20" t="s">
        <v>2023</v>
      </c>
      <c r="D698" s="19" t="s">
        <v>590</v>
      </c>
      <c r="E698" s="194">
        <v>3</v>
      </c>
      <c r="F698" s="23">
        <f>VLOOKUP(B698,'BASE DE DATOS'!$A$5:$E$997,5,FALSE)</f>
        <v>5650</v>
      </c>
      <c r="G698" s="58">
        <v>0</v>
      </c>
      <c r="H698" s="252">
        <f t="shared" si="30"/>
        <v>16950</v>
      </c>
    </row>
    <row r="699" spans="1:9" ht="13.15" customHeight="1" x14ac:dyDescent="0.2">
      <c r="A699" s="939"/>
      <c r="B699" s="244" t="s">
        <v>1711</v>
      </c>
      <c r="C699" s="20" t="s">
        <v>632</v>
      </c>
      <c r="D699" s="19" t="s">
        <v>405</v>
      </c>
      <c r="E699" s="194">
        <v>24</v>
      </c>
      <c r="F699" s="23">
        <f>VLOOKUP(B699,'BASE DE DATOS'!$A$5:$E$997,5,FALSE)</f>
        <v>10991</v>
      </c>
      <c r="G699" s="58">
        <f>1/3</f>
        <v>0.33333333333333331</v>
      </c>
      <c r="H699" s="252">
        <f>IF(G699&gt;0,(G699*F699*E699),(F699*E699))</f>
        <v>87928</v>
      </c>
    </row>
    <row r="700" spans="1:9" ht="14.25" x14ac:dyDescent="0.2">
      <c r="A700" s="64" t="s">
        <v>3252</v>
      </c>
      <c r="B700" s="244" t="s">
        <v>799</v>
      </c>
      <c r="C700" s="20" t="s">
        <v>2089</v>
      </c>
      <c r="D700" s="19" t="s">
        <v>285</v>
      </c>
      <c r="E700" s="194">
        <v>1</v>
      </c>
      <c r="F700" s="23">
        <f>F34</f>
        <v>482282</v>
      </c>
      <c r="G700" s="58">
        <v>1.05</v>
      </c>
      <c r="H700" s="252">
        <f t="shared" si="30"/>
        <v>506396.10000000003</v>
      </c>
    </row>
    <row r="701" spans="1:9" x14ac:dyDescent="0.2">
      <c r="A701" s="81" t="s">
        <v>2555</v>
      </c>
      <c r="B701" s="244" t="s">
        <v>605</v>
      </c>
      <c r="C701" s="20" t="s">
        <v>606</v>
      </c>
      <c r="D701" s="19" t="s">
        <v>585</v>
      </c>
      <c r="E701" s="194">
        <v>1</v>
      </c>
      <c r="F701" s="23">
        <f>VLOOKUP(B701,'BASE DE DATOS'!$A$5:$E$997,5,FALSE)</f>
        <v>673962</v>
      </c>
      <c r="G701" s="58">
        <f>1/3.9</f>
        <v>0.25641025641025644</v>
      </c>
      <c r="H701" s="252">
        <f t="shared" si="30"/>
        <v>172810.76923076925</v>
      </c>
    </row>
    <row r="702" spans="1:9" x14ac:dyDescent="0.2">
      <c r="A702" s="944" t="s">
        <v>293</v>
      </c>
      <c r="B702" s="244" t="s">
        <v>269</v>
      </c>
      <c r="C702" s="20" t="s">
        <v>284</v>
      </c>
      <c r="D702" s="19" t="s">
        <v>586</v>
      </c>
      <c r="E702" s="194">
        <v>0.1</v>
      </c>
      <c r="F702" s="56">
        <f>H701</f>
        <v>172810.76923076925</v>
      </c>
      <c r="G702" s="58">
        <v>0</v>
      </c>
      <c r="H702" s="252">
        <f t="shared" si="30"/>
        <v>17281.076923076926</v>
      </c>
    </row>
    <row r="703" spans="1:9" x14ac:dyDescent="0.2">
      <c r="A703" s="944"/>
      <c r="B703" s="244" t="s">
        <v>668</v>
      </c>
      <c r="C703" s="20" t="s">
        <v>669</v>
      </c>
      <c r="D703" s="19" t="s">
        <v>585</v>
      </c>
      <c r="E703" s="194">
        <v>1</v>
      </c>
      <c r="F703" s="23">
        <f>VLOOKUP(B703,'BASE DE DATOS'!$A$5:$E$997,5,FALSE)</f>
        <v>58310</v>
      </c>
      <c r="G703" s="58">
        <f>1/10</f>
        <v>0.1</v>
      </c>
      <c r="H703" s="252">
        <f t="shared" si="30"/>
        <v>5831</v>
      </c>
    </row>
    <row r="704" spans="1:9" ht="13.5" thickBot="1" x14ac:dyDescent="0.25">
      <c r="A704" s="132" t="s">
        <v>139</v>
      </c>
      <c r="B704" s="531" t="s">
        <v>135</v>
      </c>
      <c r="C704" s="70" t="s">
        <v>136</v>
      </c>
      <c r="D704" s="49" t="s">
        <v>411</v>
      </c>
      <c r="E704" s="195">
        <f>5/10</f>
        <v>0.5</v>
      </c>
      <c r="F704" s="110">
        <f>VLOOKUP(B704,'BASE DE DATOS'!$A$5:$E$997,5,FALSE)</f>
        <v>12852</v>
      </c>
      <c r="G704" s="154">
        <v>0</v>
      </c>
      <c r="H704" s="255">
        <f t="shared" si="30"/>
        <v>6426</v>
      </c>
    </row>
    <row r="705" spans="1:9" s="42" customFormat="1" ht="17.25" x14ac:dyDescent="0.2">
      <c r="A705" s="458" t="s">
        <v>827</v>
      </c>
      <c r="B705" s="529"/>
      <c r="C705" s="388" t="s">
        <v>3600</v>
      </c>
      <c r="D705" s="389" t="s">
        <v>3251</v>
      </c>
      <c r="E705" s="395"/>
      <c r="F705" s="391">
        <f>ROUND(SUM(H705:H713),0)</f>
        <v>69983</v>
      </c>
      <c r="G705" s="392"/>
      <c r="H705" s="393"/>
      <c r="I705" s="738"/>
    </row>
    <row r="706" spans="1:9" x14ac:dyDescent="0.2">
      <c r="A706" s="936" t="s">
        <v>382</v>
      </c>
      <c r="B706" s="241" t="s">
        <v>1264</v>
      </c>
      <c r="C706" s="3" t="s">
        <v>641</v>
      </c>
      <c r="D706" s="2" t="s">
        <v>642</v>
      </c>
      <c r="E706" s="114">
        <v>0.05</v>
      </c>
      <c r="F706" s="23">
        <f>VLOOKUP(B706,'BASE DE DATOS'!$A$5:$E$997,5,FALSE)</f>
        <v>10959</v>
      </c>
      <c r="G706" s="104">
        <v>1.05</v>
      </c>
      <c r="H706" s="252">
        <f>IF(G706&gt;0,(G706*F706*E706),(F706*E706))</f>
        <v>575.34750000000008</v>
      </c>
    </row>
    <row r="707" spans="1:9" x14ac:dyDescent="0.2">
      <c r="A707" s="936"/>
      <c r="B707" s="241" t="s">
        <v>1290</v>
      </c>
      <c r="C707" s="3" t="s">
        <v>2697</v>
      </c>
      <c r="D707" s="2" t="s">
        <v>406</v>
      </c>
      <c r="E707" s="114">
        <v>0.2</v>
      </c>
      <c r="F707" s="23">
        <f>VLOOKUP(B707,'BASE DE DATOS'!$A$5:$E$997,5,FALSE)</f>
        <v>13045</v>
      </c>
      <c r="G707" s="104">
        <v>1.03</v>
      </c>
      <c r="H707" s="252">
        <f>IF(G707&gt;0,(G707*F707*E707),(F707*E707))</f>
        <v>2687.2700000000004</v>
      </c>
    </row>
    <row r="708" spans="1:9" x14ac:dyDescent="0.2">
      <c r="A708" s="936"/>
      <c r="B708" s="241" t="s">
        <v>1558</v>
      </c>
      <c r="C708" s="3" t="s">
        <v>2023</v>
      </c>
      <c r="D708" s="2" t="s">
        <v>590</v>
      </c>
      <c r="E708" s="114">
        <v>0.03</v>
      </c>
      <c r="F708" s="23">
        <f>VLOOKUP(B708,'BASE DE DATOS'!$A$5:$E$997,5,FALSE)</f>
        <v>5650</v>
      </c>
      <c r="G708" s="104">
        <v>0</v>
      </c>
      <c r="H708" s="252">
        <f t="shared" ref="H708:H713" si="31">IF(G708&gt;0,(G708*F708*E708),(F708*E708))</f>
        <v>169.5</v>
      </c>
    </row>
    <row r="709" spans="1:9" x14ac:dyDescent="0.2">
      <c r="A709" s="936"/>
      <c r="B709" s="241" t="s">
        <v>1711</v>
      </c>
      <c r="C709" s="3" t="s">
        <v>632</v>
      </c>
      <c r="D709" s="2" t="s">
        <v>405</v>
      </c>
      <c r="E709" s="114">
        <v>1</v>
      </c>
      <c r="F709" s="23">
        <f>VLOOKUP(B709,'BASE DE DATOS'!$A$5:$E$997,5,FALSE)</f>
        <v>10991</v>
      </c>
      <c r="G709" s="104">
        <f>1/5</f>
        <v>0.2</v>
      </c>
      <c r="H709" s="252">
        <f>IF(G709&gt;0,(G709*F709*E709),(F709*E709))</f>
        <v>2198.2000000000003</v>
      </c>
    </row>
    <row r="710" spans="1:9" x14ac:dyDescent="0.2">
      <c r="A710" s="936"/>
      <c r="B710" s="241" t="s">
        <v>1690</v>
      </c>
      <c r="C710" s="103" t="s">
        <v>2749</v>
      </c>
      <c r="D710" s="2" t="s">
        <v>405</v>
      </c>
      <c r="E710" s="114">
        <v>2</v>
      </c>
      <c r="F710" s="23">
        <f>VLOOKUP(B710,'BASE DE DATOS'!$A$5:$E$997,5,FALSE)</f>
        <v>1540</v>
      </c>
      <c r="G710" s="104">
        <f>1/5</f>
        <v>0.2</v>
      </c>
      <c r="H710" s="252">
        <f>IF(G710&gt;0,(G710*F710*E710),(F710*E710))</f>
        <v>616</v>
      </c>
    </row>
    <row r="711" spans="1:9" ht="14.25" x14ac:dyDescent="0.2">
      <c r="A711" s="64" t="s">
        <v>3252</v>
      </c>
      <c r="B711" s="241" t="s">
        <v>799</v>
      </c>
      <c r="C711" s="3" t="s">
        <v>2089</v>
      </c>
      <c r="D711" s="2" t="s">
        <v>285</v>
      </c>
      <c r="E711" s="114">
        <v>7.0000000000000007E-2</v>
      </c>
      <c r="F711" s="23">
        <f>F34</f>
        <v>482282</v>
      </c>
      <c r="G711" s="104">
        <v>1.05</v>
      </c>
      <c r="H711" s="252">
        <f t="shared" si="31"/>
        <v>35447.727000000006</v>
      </c>
    </row>
    <row r="712" spans="1:9" x14ac:dyDescent="0.2">
      <c r="A712" s="81" t="s">
        <v>2555</v>
      </c>
      <c r="B712" s="241" t="s">
        <v>587</v>
      </c>
      <c r="C712" s="3" t="s">
        <v>588</v>
      </c>
      <c r="D712" s="2" t="s">
        <v>585</v>
      </c>
      <c r="E712" s="114">
        <v>1</v>
      </c>
      <c r="F712" s="23">
        <f>VLOOKUP(B712,'BASE DE DATOS'!$A$5:$E$997,5,FALSE)</f>
        <v>514339</v>
      </c>
      <c r="G712" s="104">
        <f>1/20</f>
        <v>0.05</v>
      </c>
      <c r="H712" s="252">
        <f t="shared" si="31"/>
        <v>25716.95</v>
      </c>
    </row>
    <row r="713" spans="1:9" ht="13.5" thickBot="1" x14ac:dyDescent="0.25">
      <c r="A713" s="130" t="s">
        <v>293</v>
      </c>
      <c r="B713" s="567" t="s">
        <v>269</v>
      </c>
      <c r="C713" s="105" t="s">
        <v>284</v>
      </c>
      <c r="D713" s="106" t="s">
        <v>586</v>
      </c>
      <c r="E713" s="204">
        <v>0.1</v>
      </c>
      <c r="F713" s="107">
        <f>H712</f>
        <v>25716.95</v>
      </c>
      <c r="G713" s="155">
        <v>0</v>
      </c>
      <c r="H713" s="255">
        <f t="shared" si="31"/>
        <v>2571.6950000000002</v>
      </c>
    </row>
    <row r="714" spans="1:9" s="42" customFormat="1" ht="17.25" x14ac:dyDescent="0.2">
      <c r="A714" s="458" t="s">
        <v>828</v>
      </c>
      <c r="B714" s="529"/>
      <c r="C714" s="388" t="s">
        <v>147</v>
      </c>
      <c r="D714" s="389" t="s">
        <v>3251</v>
      </c>
      <c r="E714" s="395"/>
      <c r="F714" s="391">
        <f>ROUND(SUM(H714:H722),0)</f>
        <v>94084</v>
      </c>
      <c r="G714" s="392"/>
      <c r="H714" s="393"/>
      <c r="I714" s="738"/>
    </row>
    <row r="715" spans="1:9" x14ac:dyDescent="0.2">
      <c r="A715" s="936" t="s">
        <v>382</v>
      </c>
      <c r="B715" s="241" t="s">
        <v>1264</v>
      </c>
      <c r="C715" s="3" t="s">
        <v>641</v>
      </c>
      <c r="D715" s="2" t="s">
        <v>642</v>
      </c>
      <c r="E715" s="114">
        <v>0.05</v>
      </c>
      <c r="F715" s="23">
        <f>VLOOKUP(B715,'BASE DE DATOS'!$A$5:$E$997,5,FALSE)</f>
        <v>10959</v>
      </c>
      <c r="G715" s="104">
        <v>1.05</v>
      </c>
      <c r="H715" s="252">
        <f>IF(G715&gt;0,(G715*F715*E715),(F715*E715))</f>
        <v>575.34750000000008</v>
      </c>
    </row>
    <row r="716" spans="1:9" x14ac:dyDescent="0.2">
      <c r="A716" s="936"/>
      <c r="B716" s="241" t="s">
        <v>1290</v>
      </c>
      <c r="C716" s="3" t="s">
        <v>2697</v>
      </c>
      <c r="D716" s="2" t="s">
        <v>406</v>
      </c>
      <c r="E716" s="114">
        <v>0.2</v>
      </c>
      <c r="F716" s="23">
        <f>VLOOKUP(B716,'BASE DE DATOS'!$A$5:$E$997,5,FALSE)</f>
        <v>13045</v>
      </c>
      <c r="G716" s="104">
        <v>1.03</v>
      </c>
      <c r="H716" s="252">
        <f>IF(G716&gt;0,(G716*F716*E716),(F716*E716))</f>
        <v>2687.2700000000004</v>
      </c>
    </row>
    <row r="717" spans="1:9" x14ac:dyDescent="0.2">
      <c r="A717" s="936"/>
      <c r="B717" s="241" t="s">
        <v>1558</v>
      </c>
      <c r="C717" s="3" t="s">
        <v>2023</v>
      </c>
      <c r="D717" s="2" t="s">
        <v>590</v>
      </c>
      <c r="E717" s="114">
        <v>7.0000000000000007E-2</v>
      </c>
      <c r="F717" s="23">
        <f>VLOOKUP(B717,'BASE DE DATOS'!$A$5:$E$997,5,FALSE)</f>
        <v>5650</v>
      </c>
      <c r="G717" s="104">
        <v>0</v>
      </c>
      <c r="H717" s="252">
        <f t="shared" ref="H717:H722" si="32">IF(G717&gt;0,(G717*F717*E717),(F717*E717))</f>
        <v>395.50000000000006</v>
      </c>
    </row>
    <row r="718" spans="1:9" x14ac:dyDescent="0.2">
      <c r="A718" s="936"/>
      <c r="B718" s="241" t="s">
        <v>1711</v>
      </c>
      <c r="C718" s="3" t="s">
        <v>632</v>
      </c>
      <c r="D718" s="2" t="s">
        <v>405</v>
      </c>
      <c r="E718" s="114">
        <v>2</v>
      </c>
      <c r="F718" s="23">
        <f>VLOOKUP(B718,'BASE DE DATOS'!$A$5:$E$997,5,FALSE)</f>
        <v>10991</v>
      </c>
      <c r="G718" s="104">
        <f>1/3</f>
        <v>0.33333333333333331</v>
      </c>
      <c r="H718" s="252">
        <f>IF(G718&gt;0,(G718*F718*E718),(F718*E718))</f>
        <v>7327.333333333333</v>
      </c>
    </row>
    <row r="719" spans="1:9" x14ac:dyDescent="0.2">
      <c r="A719" s="936"/>
      <c r="B719" s="241" t="s">
        <v>1690</v>
      </c>
      <c r="C719" s="103" t="s">
        <v>2749</v>
      </c>
      <c r="D719" s="2" t="s">
        <v>405</v>
      </c>
      <c r="E719" s="114">
        <v>2</v>
      </c>
      <c r="F719" s="23">
        <f>VLOOKUP(B719,'BASE DE DATOS'!$A$5:$E$997,5,FALSE)</f>
        <v>1540</v>
      </c>
      <c r="G719" s="104">
        <f>1/3</f>
        <v>0.33333333333333331</v>
      </c>
      <c r="H719" s="252">
        <f t="shared" si="32"/>
        <v>1026.6666666666665</v>
      </c>
    </row>
    <row r="720" spans="1:9" ht="14.25" x14ac:dyDescent="0.2">
      <c r="A720" s="64" t="s">
        <v>3252</v>
      </c>
      <c r="B720" s="241" t="s">
        <v>799</v>
      </c>
      <c r="C720" s="3" t="s">
        <v>2089</v>
      </c>
      <c r="D720" s="2" t="s">
        <v>285</v>
      </c>
      <c r="E720" s="114">
        <v>0.1</v>
      </c>
      <c r="F720" s="23">
        <f>F34</f>
        <v>482282</v>
      </c>
      <c r="G720" s="104">
        <v>1.05</v>
      </c>
      <c r="H720" s="252">
        <f t="shared" si="32"/>
        <v>50639.610000000008</v>
      </c>
    </row>
    <row r="721" spans="1:9" x14ac:dyDescent="0.2">
      <c r="A721" s="81" t="s">
        <v>2555</v>
      </c>
      <c r="B721" s="241" t="s">
        <v>587</v>
      </c>
      <c r="C721" s="3" t="s">
        <v>588</v>
      </c>
      <c r="D721" s="2" t="s">
        <v>585</v>
      </c>
      <c r="E721" s="114">
        <v>1</v>
      </c>
      <c r="F721" s="23">
        <f>VLOOKUP(B721,'BASE DE DATOS'!$A$5:$E$997,5,FALSE)</f>
        <v>514339</v>
      </c>
      <c r="G721" s="104">
        <f>1/18</f>
        <v>5.5555555555555552E-2</v>
      </c>
      <c r="H721" s="252">
        <f t="shared" si="32"/>
        <v>28574.388888888887</v>
      </c>
    </row>
    <row r="722" spans="1:9" ht="13.5" thickBot="1" x14ac:dyDescent="0.25">
      <c r="A722" s="130" t="s">
        <v>293</v>
      </c>
      <c r="B722" s="530" t="s">
        <v>269</v>
      </c>
      <c r="C722" s="108" t="s">
        <v>284</v>
      </c>
      <c r="D722" s="109" t="s">
        <v>586</v>
      </c>
      <c r="E722" s="200">
        <v>0.1</v>
      </c>
      <c r="F722" s="110">
        <f>H721</f>
        <v>28574.388888888887</v>
      </c>
      <c r="G722" s="156">
        <v>0</v>
      </c>
      <c r="H722" s="255">
        <f t="shared" si="32"/>
        <v>2857.4388888888889</v>
      </c>
    </row>
    <row r="723" spans="1:9" s="42" customFormat="1" ht="17.25" x14ac:dyDescent="0.2">
      <c r="A723" s="458" t="s">
        <v>829</v>
      </c>
      <c r="B723" s="529"/>
      <c r="C723" s="388" t="s">
        <v>3601</v>
      </c>
      <c r="D723" s="389" t="s">
        <v>3251</v>
      </c>
      <c r="E723" s="395"/>
      <c r="F723" s="391">
        <f>ROUND(SUM(H723:H731),0)</f>
        <v>70091</v>
      </c>
      <c r="G723" s="392"/>
      <c r="H723" s="393"/>
      <c r="I723" s="738"/>
    </row>
    <row r="724" spans="1:9" x14ac:dyDescent="0.2">
      <c r="A724" s="936" t="s">
        <v>382</v>
      </c>
      <c r="B724" s="241" t="s">
        <v>1264</v>
      </c>
      <c r="C724" s="3" t="s">
        <v>641</v>
      </c>
      <c r="D724" s="2" t="s">
        <v>642</v>
      </c>
      <c r="E724" s="114">
        <v>0.05</v>
      </c>
      <c r="F724" s="23">
        <f>VLOOKUP(B724,'BASE DE DATOS'!$A$5:$E$997,5,FALSE)</f>
        <v>10959</v>
      </c>
      <c r="G724" s="104">
        <v>1.05</v>
      </c>
      <c r="H724" s="252">
        <f>IF(G724&gt;0,(G724*F724*E724),(F724*E724))</f>
        <v>575.34750000000008</v>
      </c>
    </row>
    <row r="725" spans="1:9" x14ac:dyDescent="0.2">
      <c r="A725" s="936"/>
      <c r="B725" s="241" t="s">
        <v>1290</v>
      </c>
      <c r="C725" s="3" t="s">
        <v>2697</v>
      </c>
      <c r="D725" s="2" t="s">
        <v>406</v>
      </c>
      <c r="E725" s="114">
        <v>0.2</v>
      </c>
      <c r="F725" s="23">
        <f>VLOOKUP(B725,'BASE DE DATOS'!$A$5:$E$997,5,FALSE)</f>
        <v>13045</v>
      </c>
      <c r="G725" s="104">
        <v>1.03</v>
      </c>
      <c r="H725" s="252">
        <f>IF(G725&gt;0,(G725*F725*E725),(F725*E725))</f>
        <v>2687.2700000000004</v>
      </c>
    </row>
    <row r="726" spans="1:9" x14ac:dyDescent="0.2">
      <c r="A726" s="936"/>
      <c r="B726" s="241" t="s">
        <v>1558</v>
      </c>
      <c r="C726" s="3" t="s">
        <v>2023</v>
      </c>
      <c r="D726" s="2" t="s">
        <v>590</v>
      </c>
      <c r="E726" s="114">
        <v>0.05</v>
      </c>
      <c r="F726" s="23">
        <f>VLOOKUP(B726,'BASE DE DATOS'!$A$5:$E$997,5,FALSE)</f>
        <v>5650</v>
      </c>
      <c r="G726" s="104">
        <v>0</v>
      </c>
      <c r="H726" s="252">
        <f>IF(G726&gt;0,(G726*F726*E726),(F726*E726))</f>
        <v>282.5</v>
      </c>
    </row>
    <row r="727" spans="1:9" s="9" customFormat="1" x14ac:dyDescent="0.2">
      <c r="A727" s="936"/>
      <c r="B727" s="241" t="s">
        <v>1711</v>
      </c>
      <c r="C727" s="3" t="s">
        <v>632</v>
      </c>
      <c r="D727" s="2" t="s">
        <v>405</v>
      </c>
      <c r="E727" s="114">
        <v>1</v>
      </c>
      <c r="F727" s="23">
        <f>VLOOKUP(B727,'BASE DE DATOS'!$A$5:$E$997,5,FALSE)</f>
        <v>10991</v>
      </c>
      <c r="G727" s="104">
        <f>1/3</f>
        <v>0.33333333333333331</v>
      </c>
      <c r="H727" s="252">
        <f>IF(G727&gt;0,(G727*F727*E727),(F727*E727))</f>
        <v>3663.6666666666665</v>
      </c>
    </row>
    <row r="728" spans="1:9" s="9" customFormat="1" x14ac:dyDescent="0.2">
      <c r="A728" s="936"/>
      <c r="B728" s="241" t="s">
        <v>1690</v>
      </c>
      <c r="C728" s="103" t="s">
        <v>2749</v>
      </c>
      <c r="D728" s="2" t="s">
        <v>405</v>
      </c>
      <c r="E728" s="114">
        <v>2</v>
      </c>
      <c r="F728" s="23">
        <f>VLOOKUP(B728,'BASE DE DATOS'!$A$5:$E$997,5,FALSE)</f>
        <v>1540</v>
      </c>
      <c r="G728" s="104">
        <f>1/3</f>
        <v>0.33333333333333331</v>
      </c>
      <c r="H728" s="252">
        <f t="shared" ref="H728:H731" si="33">IF(G728&gt;0,(G728*F728*E728),(F728*E728))</f>
        <v>1026.6666666666665</v>
      </c>
    </row>
    <row r="729" spans="1:9" ht="14.25" x14ac:dyDescent="0.2">
      <c r="A729" s="64" t="s">
        <v>3252</v>
      </c>
      <c r="B729" s="241" t="s">
        <v>798</v>
      </c>
      <c r="C729" s="3" t="s">
        <v>2095</v>
      </c>
      <c r="D729" s="2" t="s">
        <v>285</v>
      </c>
      <c r="E729" s="114">
        <v>7.0000000000000007E-2</v>
      </c>
      <c r="F729" s="23">
        <f>F26</f>
        <v>456694</v>
      </c>
      <c r="G729" s="104">
        <v>1.05</v>
      </c>
      <c r="H729" s="252">
        <f t="shared" si="33"/>
        <v>33567.009000000005</v>
      </c>
    </row>
    <row r="730" spans="1:9" x14ac:dyDescent="0.2">
      <c r="A730" s="81" t="s">
        <v>2555</v>
      </c>
      <c r="B730" s="241" t="s">
        <v>587</v>
      </c>
      <c r="C730" s="3" t="s">
        <v>588</v>
      </c>
      <c r="D730" s="2" t="s">
        <v>585</v>
      </c>
      <c r="E730" s="114">
        <v>1</v>
      </c>
      <c r="F730" s="23">
        <f>VLOOKUP(B730,'BASE DE DATOS'!$A$5:$E$997,5,FALSE)</f>
        <v>514339</v>
      </c>
      <c r="G730" s="104">
        <f>1/20</f>
        <v>0.05</v>
      </c>
      <c r="H730" s="252">
        <f t="shared" si="33"/>
        <v>25716.95</v>
      </c>
    </row>
    <row r="731" spans="1:9" ht="13.5" thickBot="1" x14ac:dyDescent="0.25">
      <c r="A731" s="130" t="s">
        <v>293</v>
      </c>
      <c r="B731" s="530" t="s">
        <v>269</v>
      </c>
      <c r="C731" s="108" t="s">
        <v>284</v>
      </c>
      <c r="D731" s="109" t="s">
        <v>586</v>
      </c>
      <c r="E731" s="200">
        <v>0.1</v>
      </c>
      <c r="F731" s="110">
        <f>H730</f>
        <v>25716.95</v>
      </c>
      <c r="G731" s="156">
        <v>0</v>
      </c>
      <c r="H731" s="255">
        <f t="shared" si="33"/>
        <v>2571.6950000000002</v>
      </c>
    </row>
    <row r="732" spans="1:9" s="42" customFormat="1" ht="32.25" x14ac:dyDescent="0.2">
      <c r="A732" s="458" t="s">
        <v>830</v>
      </c>
      <c r="B732" s="529"/>
      <c r="C732" s="388" t="s">
        <v>3273</v>
      </c>
      <c r="D732" s="389" t="s">
        <v>3225</v>
      </c>
      <c r="E732" s="395"/>
      <c r="F732" s="391">
        <f>ROUND(SUM(H732:H744),0)</f>
        <v>1299051</v>
      </c>
      <c r="G732" s="392"/>
      <c r="H732" s="393"/>
      <c r="I732" s="738"/>
    </row>
    <row r="733" spans="1:9" x14ac:dyDescent="0.2">
      <c r="A733" s="939" t="s">
        <v>295</v>
      </c>
      <c r="B733" s="241" t="s">
        <v>1264</v>
      </c>
      <c r="C733" s="3" t="s">
        <v>641</v>
      </c>
      <c r="D733" s="2" t="s">
        <v>642</v>
      </c>
      <c r="E733" s="114">
        <v>0.6</v>
      </c>
      <c r="F733" s="23">
        <f>VLOOKUP(B733,'BASE DE DATOS'!$A$5:$E$997,5,FALSE)</f>
        <v>10959</v>
      </c>
      <c r="G733" s="104">
        <v>0</v>
      </c>
      <c r="H733" s="252">
        <f>IF(G733&gt;0,(G733*F733*E733),(F733*E733))</f>
        <v>6575.4</v>
      </c>
    </row>
    <row r="734" spans="1:9" x14ac:dyDescent="0.2">
      <c r="A734" s="939"/>
      <c r="B734" s="241" t="s">
        <v>1290</v>
      </c>
      <c r="C734" s="3" t="s">
        <v>2697</v>
      </c>
      <c r="D734" s="2" t="s">
        <v>406</v>
      </c>
      <c r="E734" s="114">
        <v>3</v>
      </c>
      <c r="F734" s="23">
        <f>VLOOKUP(B734,'BASE DE DATOS'!$A$5:$E$997,5,FALSE)</f>
        <v>13045</v>
      </c>
      <c r="G734" s="104">
        <v>1.03</v>
      </c>
      <c r="H734" s="252">
        <f>IF(G734&gt;0,(G734*F734*E734),(F734*E734))</f>
        <v>40309.050000000003</v>
      </c>
    </row>
    <row r="735" spans="1:9" x14ac:dyDescent="0.2">
      <c r="A735" s="939"/>
      <c r="B735" s="241" t="s">
        <v>1367</v>
      </c>
      <c r="C735" s="3" t="s">
        <v>592</v>
      </c>
      <c r="D735" s="2" t="s">
        <v>405</v>
      </c>
      <c r="E735" s="114">
        <v>28</v>
      </c>
      <c r="F735" s="23">
        <f>VLOOKUP(B735,'BASE DE DATOS'!$A$5:$E$997,5,FALSE)</f>
        <v>6534</v>
      </c>
      <c r="G735" s="104">
        <f>1/3</f>
        <v>0.33333333333333331</v>
      </c>
      <c r="H735" s="252">
        <f>IF(G735&gt;0,(G735*F735*E735),(F735*E735))</f>
        <v>60984</v>
      </c>
    </row>
    <row r="736" spans="1:9" x14ac:dyDescent="0.2">
      <c r="A736" s="939"/>
      <c r="B736" s="241" t="s">
        <v>1558</v>
      </c>
      <c r="C736" s="3" t="s">
        <v>2023</v>
      </c>
      <c r="D736" s="2" t="s">
        <v>590</v>
      </c>
      <c r="E736" s="114">
        <v>1.5</v>
      </c>
      <c r="F736" s="23">
        <f>VLOOKUP(B736,'BASE DE DATOS'!$A$5:$E$997,5,FALSE)</f>
        <v>5650</v>
      </c>
      <c r="G736" s="104">
        <v>0</v>
      </c>
      <c r="H736" s="252">
        <f>IF(G736&gt;0,(G736*F736*E736),(F736*E736))</f>
        <v>8475</v>
      </c>
    </row>
    <row r="737" spans="1:9" ht="13.15" customHeight="1" x14ac:dyDescent="0.2">
      <c r="A737" s="939"/>
      <c r="B737" s="241" t="s">
        <v>1711</v>
      </c>
      <c r="C737" s="3" t="s">
        <v>632</v>
      </c>
      <c r="D737" s="2" t="s">
        <v>405</v>
      </c>
      <c r="E737" s="114">
        <v>50</v>
      </c>
      <c r="F737" s="23">
        <f>VLOOKUP(B737,'BASE DE DATOS'!$A$5:$E$997,5,FALSE)</f>
        <v>10991</v>
      </c>
      <c r="G737" s="104">
        <f>1/3</f>
        <v>0.33333333333333331</v>
      </c>
      <c r="H737" s="252">
        <f t="shared" ref="H737:H744" si="34">IF(G737&gt;0,(G737*F737*E737),(F737*E737))</f>
        <v>183183.33333333331</v>
      </c>
    </row>
    <row r="738" spans="1:9" x14ac:dyDescent="0.2">
      <c r="A738" s="939"/>
      <c r="B738" s="241" t="s">
        <v>1690</v>
      </c>
      <c r="C738" s="103" t="s">
        <v>2749</v>
      </c>
      <c r="D738" s="2" t="s">
        <v>405</v>
      </c>
      <c r="E738" s="114">
        <v>10</v>
      </c>
      <c r="F738" s="23">
        <f>VLOOKUP(B738,'BASE DE DATOS'!$A$5:$E$997,5,FALSE)</f>
        <v>1540</v>
      </c>
      <c r="G738" s="104">
        <f>1/3</f>
        <v>0.33333333333333331</v>
      </c>
      <c r="H738" s="252">
        <f t="shared" si="34"/>
        <v>5133.3333333333321</v>
      </c>
    </row>
    <row r="739" spans="1:9" ht="14.25" x14ac:dyDescent="0.2">
      <c r="A739" s="64" t="s">
        <v>3252</v>
      </c>
      <c r="B739" s="241" t="s">
        <v>799</v>
      </c>
      <c r="C739" s="3" t="s">
        <v>2089</v>
      </c>
      <c r="D739" s="2" t="s">
        <v>285</v>
      </c>
      <c r="E739" s="114">
        <v>1</v>
      </c>
      <c r="F739" s="23">
        <f>F34</f>
        <v>482282</v>
      </c>
      <c r="G739" s="104">
        <v>1.05</v>
      </c>
      <c r="H739" s="252">
        <f t="shared" si="34"/>
        <v>506396.10000000003</v>
      </c>
    </row>
    <row r="740" spans="1:9" x14ac:dyDescent="0.2">
      <c r="A740" s="81" t="s">
        <v>2555</v>
      </c>
      <c r="B740" s="241" t="s">
        <v>605</v>
      </c>
      <c r="C740" s="3" t="s">
        <v>606</v>
      </c>
      <c r="D740" s="2" t="s">
        <v>585</v>
      </c>
      <c r="E740" s="114">
        <v>1</v>
      </c>
      <c r="F740" s="23">
        <f>VLOOKUP(B740,'BASE DE DATOS'!$A$5:$E$997,5,FALSE)</f>
        <v>673962</v>
      </c>
      <c r="G740" s="104">
        <f>1/1.7</f>
        <v>0.58823529411764708</v>
      </c>
      <c r="H740" s="252">
        <f t="shared" si="34"/>
        <v>396448.23529411765</v>
      </c>
    </row>
    <row r="741" spans="1:9" x14ac:dyDescent="0.2">
      <c r="A741" s="944" t="s">
        <v>293</v>
      </c>
      <c r="B741" s="241" t="s">
        <v>598</v>
      </c>
      <c r="C741" s="3" t="s">
        <v>3362</v>
      </c>
      <c r="D741" s="2" t="s">
        <v>586</v>
      </c>
      <c r="E741" s="114">
        <v>0.1</v>
      </c>
      <c r="F741" s="23">
        <f>+H740</f>
        <v>396448.23529411765</v>
      </c>
      <c r="G741" s="104">
        <v>0</v>
      </c>
      <c r="H741" s="252">
        <f>IF(G741&gt;0,(G741*F741*E741),(F741*E741))</f>
        <v>39644.823529411769</v>
      </c>
    </row>
    <row r="742" spans="1:9" x14ac:dyDescent="0.2">
      <c r="A742" s="944"/>
      <c r="B742" s="241" t="s">
        <v>269</v>
      </c>
      <c r="C742" s="3" t="s">
        <v>284</v>
      </c>
      <c r="D742" s="2" t="s">
        <v>586</v>
      </c>
      <c r="E742" s="114">
        <v>0.1</v>
      </c>
      <c r="F742" s="23">
        <f>H740</f>
        <v>396448.23529411765</v>
      </c>
      <c r="G742" s="104">
        <v>0</v>
      </c>
      <c r="H742" s="252">
        <f t="shared" si="34"/>
        <v>39644.823529411769</v>
      </c>
    </row>
    <row r="743" spans="1:9" x14ac:dyDescent="0.2">
      <c r="A743" s="944"/>
      <c r="B743" s="241" t="s">
        <v>668</v>
      </c>
      <c r="C743" s="3" t="s">
        <v>669</v>
      </c>
      <c r="D743" s="2" t="s">
        <v>585</v>
      </c>
      <c r="E743" s="114">
        <v>1</v>
      </c>
      <c r="F743" s="23">
        <f>VLOOKUP(B743,'BASE DE DATOS'!$A$5:$E$997,5,FALSE)</f>
        <v>58310</v>
      </c>
      <c r="G743" s="104">
        <f>1/10</f>
        <v>0.1</v>
      </c>
      <c r="H743" s="252">
        <f t="shared" si="34"/>
        <v>5831</v>
      </c>
    </row>
    <row r="744" spans="1:9" ht="13.5" thickBot="1" x14ac:dyDescent="0.25">
      <c r="A744" s="132" t="s">
        <v>139</v>
      </c>
      <c r="B744" s="530" t="s">
        <v>135</v>
      </c>
      <c r="C744" s="108" t="s">
        <v>136</v>
      </c>
      <c r="D744" s="109" t="s">
        <v>411</v>
      </c>
      <c r="E744" s="200">
        <f>5/10</f>
        <v>0.5</v>
      </c>
      <c r="F744" s="110">
        <f>VLOOKUP(B744,'BASE DE DATOS'!$A$5:$E$997,5,FALSE)</f>
        <v>12852</v>
      </c>
      <c r="G744" s="156">
        <v>0</v>
      </c>
      <c r="H744" s="255">
        <f t="shared" si="34"/>
        <v>6426</v>
      </c>
    </row>
    <row r="745" spans="1:9" s="42" customFormat="1" ht="32.25" x14ac:dyDescent="0.2">
      <c r="A745" s="458" t="s">
        <v>831</v>
      </c>
      <c r="B745" s="529"/>
      <c r="C745" s="388" t="s">
        <v>3535</v>
      </c>
      <c r="D745" s="389" t="s">
        <v>3225</v>
      </c>
      <c r="E745" s="390"/>
      <c r="F745" s="391">
        <f>ROUND(SUM(H745:H757),0)</f>
        <v>1227190</v>
      </c>
      <c r="G745" s="392"/>
      <c r="H745" s="393"/>
      <c r="I745" s="738"/>
    </row>
    <row r="746" spans="1:9" x14ac:dyDescent="0.2">
      <c r="A746" s="939" t="s">
        <v>295</v>
      </c>
      <c r="B746" s="241" t="s">
        <v>1264</v>
      </c>
      <c r="C746" s="3" t="s">
        <v>641</v>
      </c>
      <c r="D746" s="2" t="s">
        <v>642</v>
      </c>
      <c r="E746" s="114">
        <v>0.5</v>
      </c>
      <c r="F746" s="23">
        <f>VLOOKUP(B746,'BASE DE DATOS'!$A$5:$E$997,5,FALSE)</f>
        <v>10959</v>
      </c>
      <c r="G746" s="104">
        <v>0</v>
      </c>
      <c r="H746" s="252">
        <f>IF(G746&gt;0,(G746*F746*E746),(F746*E746))</f>
        <v>5479.5</v>
      </c>
    </row>
    <row r="747" spans="1:9" x14ac:dyDescent="0.2">
      <c r="A747" s="939"/>
      <c r="B747" s="241" t="s">
        <v>1290</v>
      </c>
      <c r="C747" s="3" t="s">
        <v>2697</v>
      </c>
      <c r="D747" s="2" t="s">
        <v>406</v>
      </c>
      <c r="E747" s="114">
        <v>2.5</v>
      </c>
      <c r="F747" s="23">
        <f>VLOOKUP(B747,'BASE DE DATOS'!$A$5:$E$997,5,FALSE)</f>
        <v>13045</v>
      </c>
      <c r="G747" s="104">
        <v>1.03</v>
      </c>
      <c r="H747" s="252">
        <f>IF(G747&gt;0,(G747*F747*E747),(F747*E747))</f>
        <v>33590.875</v>
      </c>
    </row>
    <row r="748" spans="1:9" x14ac:dyDescent="0.2">
      <c r="A748" s="939"/>
      <c r="B748" s="241" t="s">
        <v>1367</v>
      </c>
      <c r="C748" s="3" t="s">
        <v>592</v>
      </c>
      <c r="D748" s="2" t="s">
        <v>405</v>
      </c>
      <c r="E748" s="114">
        <v>23</v>
      </c>
      <c r="F748" s="23">
        <f>VLOOKUP(B748,'BASE DE DATOS'!$A$5:$E$997,5,FALSE)</f>
        <v>6534</v>
      </c>
      <c r="G748" s="104">
        <f>1/3</f>
        <v>0.33333333333333331</v>
      </c>
      <c r="H748" s="252">
        <f>IF(G748&gt;0,(G748*F748*E748),(F748*E748))</f>
        <v>50094</v>
      </c>
    </row>
    <row r="749" spans="1:9" x14ac:dyDescent="0.2">
      <c r="A749" s="939"/>
      <c r="B749" s="241" t="s">
        <v>1558</v>
      </c>
      <c r="C749" s="3" t="s">
        <v>2023</v>
      </c>
      <c r="D749" s="2" t="s">
        <v>590</v>
      </c>
      <c r="E749" s="114">
        <v>2</v>
      </c>
      <c r="F749" s="23">
        <f>VLOOKUP(B749,'BASE DE DATOS'!$A$5:$E$997,5,FALSE)</f>
        <v>5650</v>
      </c>
      <c r="G749" s="104">
        <v>0</v>
      </c>
      <c r="H749" s="252">
        <f>IF(G749&gt;0,(G749*F749*E749),(F749*E749))</f>
        <v>11300</v>
      </c>
    </row>
    <row r="750" spans="1:9" ht="13.15" customHeight="1" x14ac:dyDescent="0.2">
      <c r="A750" s="939"/>
      <c r="B750" s="241" t="s">
        <v>1711</v>
      </c>
      <c r="C750" s="3" t="s">
        <v>632</v>
      </c>
      <c r="D750" s="2" t="s">
        <v>405</v>
      </c>
      <c r="E750" s="114">
        <v>35</v>
      </c>
      <c r="F750" s="23">
        <f>VLOOKUP(B750,'BASE DE DATOS'!$A$5:$E$997,5,FALSE)</f>
        <v>10991</v>
      </c>
      <c r="G750" s="104">
        <f>1/3</f>
        <v>0.33333333333333331</v>
      </c>
      <c r="H750" s="252">
        <f t="shared" ref="H750:H757" si="35">IF(G750&gt;0,(G750*F750*E750),(F750*E750))</f>
        <v>128228.33333333333</v>
      </c>
    </row>
    <row r="751" spans="1:9" x14ac:dyDescent="0.2">
      <c r="A751" s="939"/>
      <c r="B751" s="241" t="s">
        <v>1690</v>
      </c>
      <c r="C751" s="103" t="s">
        <v>2749</v>
      </c>
      <c r="D751" s="2" t="s">
        <v>405</v>
      </c>
      <c r="E751" s="114">
        <v>8</v>
      </c>
      <c r="F751" s="23">
        <f>VLOOKUP(B751,'BASE DE DATOS'!$A$5:$E$997,5,FALSE)</f>
        <v>1540</v>
      </c>
      <c r="G751" s="104">
        <f>1/3</f>
        <v>0.33333333333333331</v>
      </c>
      <c r="H751" s="252">
        <f t="shared" si="35"/>
        <v>4106.6666666666661</v>
      </c>
    </row>
    <row r="752" spans="1:9" s="9" customFormat="1" ht="14.25" x14ac:dyDescent="0.2">
      <c r="A752" s="64" t="s">
        <v>3252</v>
      </c>
      <c r="B752" s="241" t="s">
        <v>799</v>
      </c>
      <c r="C752" s="3" t="s">
        <v>2089</v>
      </c>
      <c r="D752" s="2" t="s">
        <v>285</v>
      </c>
      <c r="E752" s="114">
        <v>1</v>
      </c>
      <c r="F752" s="23">
        <f>F34</f>
        <v>482282</v>
      </c>
      <c r="G752" s="104">
        <v>1.05</v>
      </c>
      <c r="H752" s="252">
        <f t="shared" si="35"/>
        <v>506396.10000000003</v>
      </c>
    </row>
    <row r="753" spans="1:9" x14ac:dyDescent="0.2">
      <c r="A753" s="81" t="s">
        <v>2555</v>
      </c>
      <c r="B753" s="241" t="s">
        <v>605</v>
      </c>
      <c r="C753" s="3" t="s">
        <v>606</v>
      </c>
      <c r="D753" s="2" t="s">
        <v>585</v>
      </c>
      <c r="E753" s="114">
        <v>1</v>
      </c>
      <c r="F753" s="23">
        <f>VLOOKUP(B753,'BASE DE DATOS'!$A$5:$E$997,5,FALSE)</f>
        <v>673962</v>
      </c>
      <c r="G753" s="104">
        <f>1/1.7</f>
        <v>0.58823529411764708</v>
      </c>
      <c r="H753" s="252">
        <f t="shared" si="35"/>
        <v>396448.23529411765</v>
      </c>
    </row>
    <row r="754" spans="1:9" x14ac:dyDescent="0.2">
      <c r="A754" s="944" t="s">
        <v>293</v>
      </c>
      <c r="B754" s="241" t="s">
        <v>598</v>
      </c>
      <c r="C754" s="3" t="s">
        <v>3362</v>
      </c>
      <c r="D754" s="2" t="s">
        <v>586</v>
      </c>
      <c r="E754" s="114">
        <v>0.1</v>
      </c>
      <c r="F754" s="23">
        <f>H753</f>
        <v>396448.23529411765</v>
      </c>
      <c r="G754" s="104">
        <v>0</v>
      </c>
      <c r="H754" s="252">
        <f>IF(G754&gt;0,(G754*F754*E754),(F754*E754))</f>
        <v>39644.823529411769</v>
      </c>
    </row>
    <row r="755" spans="1:9" x14ac:dyDescent="0.2">
      <c r="A755" s="944"/>
      <c r="B755" s="241" t="s">
        <v>269</v>
      </c>
      <c r="C755" s="3" t="s">
        <v>284</v>
      </c>
      <c r="D755" s="2" t="s">
        <v>586</v>
      </c>
      <c r="E755" s="114">
        <v>0.1</v>
      </c>
      <c r="F755" s="23">
        <f>H753</f>
        <v>396448.23529411765</v>
      </c>
      <c r="G755" s="104">
        <v>0</v>
      </c>
      <c r="H755" s="252">
        <f t="shared" si="35"/>
        <v>39644.823529411769</v>
      </c>
    </row>
    <row r="756" spans="1:9" x14ac:dyDescent="0.2">
      <c r="A756" s="944"/>
      <c r="B756" s="241" t="s">
        <v>668</v>
      </c>
      <c r="C756" s="3" t="s">
        <v>669</v>
      </c>
      <c r="D756" s="2" t="s">
        <v>585</v>
      </c>
      <c r="E756" s="114">
        <v>1</v>
      </c>
      <c r="F756" s="23">
        <f>VLOOKUP(B756,'BASE DE DATOS'!$A$5:$E$997,5,FALSE)</f>
        <v>58310</v>
      </c>
      <c r="G756" s="104">
        <f>1/10</f>
        <v>0.1</v>
      </c>
      <c r="H756" s="252">
        <f t="shared" si="35"/>
        <v>5831</v>
      </c>
    </row>
    <row r="757" spans="1:9" ht="13.5" thickBot="1" x14ac:dyDescent="0.25">
      <c r="A757" s="132" t="s">
        <v>139</v>
      </c>
      <c r="B757" s="530" t="s">
        <v>135</v>
      </c>
      <c r="C757" s="108" t="s">
        <v>136</v>
      </c>
      <c r="D757" s="109" t="s">
        <v>411</v>
      </c>
      <c r="E757" s="200">
        <f>5/10</f>
        <v>0.5</v>
      </c>
      <c r="F757" s="110">
        <f>VLOOKUP(B757,'BASE DE DATOS'!$A$5:$E$997,5,FALSE)</f>
        <v>12852</v>
      </c>
      <c r="G757" s="156">
        <v>0</v>
      </c>
      <c r="H757" s="255">
        <f t="shared" si="35"/>
        <v>6426</v>
      </c>
    </row>
    <row r="758" spans="1:9" s="42" customFormat="1" ht="30" x14ac:dyDescent="0.2">
      <c r="A758" s="458" t="s">
        <v>832</v>
      </c>
      <c r="B758" s="529"/>
      <c r="C758" s="388" t="s">
        <v>2474</v>
      </c>
      <c r="D758" s="389" t="s">
        <v>405</v>
      </c>
      <c r="E758" s="390"/>
      <c r="F758" s="391">
        <f>ROUND(SUM(H758:H770),0)</f>
        <v>92518</v>
      </c>
      <c r="G758" s="392"/>
      <c r="H758" s="393"/>
      <c r="I758" s="738"/>
    </row>
    <row r="759" spans="1:9" x14ac:dyDescent="0.2">
      <c r="A759" s="936" t="s">
        <v>382</v>
      </c>
      <c r="B759" s="241" t="s">
        <v>1264</v>
      </c>
      <c r="C759" s="3" t="s">
        <v>641</v>
      </c>
      <c r="D759" s="2" t="s">
        <v>642</v>
      </c>
      <c r="E759" s="114">
        <v>0.05</v>
      </c>
      <c r="F759" s="23">
        <f>VLOOKUP(B759,'BASE DE DATOS'!$A$5:$E$997,5,FALSE)</f>
        <v>10959</v>
      </c>
      <c r="G759" s="104">
        <v>0</v>
      </c>
      <c r="H759" s="252">
        <f>IF(G759&gt;0,(G759*F759*E759),(F759*E759))</f>
        <v>547.95000000000005</v>
      </c>
    </row>
    <row r="760" spans="1:9" x14ac:dyDescent="0.2">
      <c r="A760" s="936"/>
      <c r="B760" s="241" t="s">
        <v>1290</v>
      </c>
      <c r="C760" s="3" t="s">
        <v>2697</v>
      </c>
      <c r="D760" s="2" t="s">
        <v>406</v>
      </c>
      <c r="E760" s="114">
        <v>0.1</v>
      </c>
      <c r="F760" s="23">
        <f>VLOOKUP(B760,'BASE DE DATOS'!$A$5:$E$997,5,FALSE)</f>
        <v>13045</v>
      </c>
      <c r="G760" s="104">
        <v>1.03</v>
      </c>
      <c r="H760" s="252">
        <f>IF(G760&gt;0,(G760*F760*E760),(F760*E760))</f>
        <v>1343.6350000000002</v>
      </c>
    </row>
    <row r="761" spans="1:9" x14ac:dyDescent="0.2">
      <c r="A761" s="936"/>
      <c r="B761" s="241" t="s">
        <v>1558</v>
      </c>
      <c r="C761" s="3" t="s">
        <v>2023</v>
      </c>
      <c r="D761" s="2" t="s">
        <v>590</v>
      </c>
      <c r="E761" s="114">
        <v>0.25</v>
      </c>
      <c r="F761" s="23">
        <f>VLOOKUP(B761,'BASE DE DATOS'!$A$5:$E$997,5,FALSE)</f>
        <v>5650</v>
      </c>
      <c r="G761" s="104">
        <v>0</v>
      </c>
      <c r="H761" s="252">
        <f>IF(G761&gt;0,(G761*F761*E761),(F761*E761))</f>
        <v>1412.5</v>
      </c>
    </row>
    <row r="762" spans="1:9" x14ac:dyDescent="0.2">
      <c r="A762" s="936"/>
      <c r="B762" s="241" t="s">
        <v>1711</v>
      </c>
      <c r="C762" s="3" t="s">
        <v>632</v>
      </c>
      <c r="D762" s="2" t="s">
        <v>405</v>
      </c>
      <c r="E762" s="114">
        <v>1</v>
      </c>
      <c r="F762" s="23">
        <f>VLOOKUP(B762,'BASE DE DATOS'!$A$5:$E$997,5,FALSE)</f>
        <v>10991</v>
      </c>
      <c r="G762" s="104">
        <f>1/3</f>
        <v>0.33333333333333331</v>
      </c>
      <c r="H762" s="252">
        <f t="shared" ref="H762:H770" si="36">IF(G762&gt;0,(G762*F762*E762),(F762*E762))</f>
        <v>3663.6666666666665</v>
      </c>
    </row>
    <row r="763" spans="1:9" s="9" customFormat="1" x14ac:dyDescent="0.2">
      <c r="A763" s="936"/>
      <c r="B763" s="241" t="s">
        <v>1690</v>
      </c>
      <c r="C763" s="103" t="s">
        <v>2749</v>
      </c>
      <c r="D763" s="2" t="s">
        <v>405</v>
      </c>
      <c r="E763" s="114">
        <v>2</v>
      </c>
      <c r="F763" s="23">
        <f>VLOOKUP(B763,'BASE DE DATOS'!$A$5:$E$997,5,FALSE)</f>
        <v>1540</v>
      </c>
      <c r="G763" s="104">
        <f>1/3</f>
        <v>0.33333333333333331</v>
      </c>
      <c r="H763" s="252">
        <f t="shared" si="36"/>
        <v>1026.6666666666665</v>
      </c>
    </row>
    <row r="764" spans="1:9" x14ac:dyDescent="0.2">
      <c r="A764" s="948" t="s">
        <v>3252</v>
      </c>
      <c r="B764" s="241" t="s">
        <v>813</v>
      </c>
      <c r="C764" s="11" t="s">
        <v>2108</v>
      </c>
      <c r="D764" s="2" t="s">
        <v>406</v>
      </c>
      <c r="E764" s="114">
        <v>4</v>
      </c>
      <c r="F764" s="23">
        <f>F113</f>
        <v>6882</v>
      </c>
      <c r="G764" s="104">
        <v>0</v>
      </c>
      <c r="H764" s="252">
        <f t="shared" si="36"/>
        <v>27528</v>
      </c>
    </row>
    <row r="765" spans="1:9" x14ac:dyDescent="0.2">
      <c r="A765" s="948"/>
      <c r="B765" s="241" t="s">
        <v>814</v>
      </c>
      <c r="C765" s="11" t="s">
        <v>2018</v>
      </c>
      <c r="D765" s="2" t="s">
        <v>406</v>
      </c>
      <c r="E765" s="114">
        <v>2.2999999999999998</v>
      </c>
      <c r="F765" s="23">
        <f>F118</f>
        <v>7440</v>
      </c>
      <c r="G765" s="104">
        <v>0</v>
      </c>
      <c r="H765" s="252">
        <f t="shared" si="36"/>
        <v>17112</v>
      </c>
    </row>
    <row r="766" spans="1:9" ht="14.25" customHeight="1" x14ac:dyDescent="0.2">
      <c r="A766" s="948"/>
      <c r="B766" s="241" t="s">
        <v>799</v>
      </c>
      <c r="C766" s="3" t="s">
        <v>2089</v>
      </c>
      <c r="D766" s="2" t="s">
        <v>285</v>
      </c>
      <c r="E766" s="114">
        <f>0.1*0.15</f>
        <v>1.4999999999999999E-2</v>
      </c>
      <c r="F766" s="23">
        <f>F34</f>
        <v>482282</v>
      </c>
      <c r="G766" s="104">
        <v>1.05</v>
      </c>
      <c r="H766" s="252">
        <f>IF(G766&gt;0,(G766*F766*E766),(F766*E766))</f>
        <v>7595.9414999999999</v>
      </c>
    </row>
    <row r="767" spans="1:9" x14ac:dyDescent="0.2">
      <c r="A767" s="81" t="s">
        <v>2555</v>
      </c>
      <c r="B767" s="241" t="s">
        <v>607</v>
      </c>
      <c r="C767" s="3" t="s">
        <v>608</v>
      </c>
      <c r="D767" s="2" t="s">
        <v>585</v>
      </c>
      <c r="E767" s="114">
        <v>1</v>
      </c>
      <c r="F767" s="23">
        <f>VLOOKUP(B767,'BASE DE DATOS'!$A$5:$E$997,5,FALSE)</f>
        <v>336981</v>
      </c>
      <c r="G767" s="104">
        <f>1/12.5</f>
        <v>0.08</v>
      </c>
      <c r="H767" s="252">
        <f t="shared" si="36"/>
        <v>26958.48</v>
      </c>
    </row>
    <row r="768" spans="1:9" x14ac:dyDescent="0.2">
      <c r="A768" s="944" t="s">
        <v>293</v>
      </c>
      <c r="B768" s="241" t="s">
        <v>598</v>
      </c>
      <c r="C768" s="3" t="s">
        <v>3362</v>
      </c>
      <c r="D768" s="2" t="s">
        <v>586</v>
      </c>
      <c r="E768" s="114">
        <v>0.05</v>
      </c>
      <c r="F768" s="23">
        <f>H767</f>
        <v>26958.48</v>
      </c>
      <c r="G768" s="104">
        <v>0</v>
      </c>
      <c r="H768" s="252">
        <f>IF(G768&gt;0,(G768*F768*E768),(F768*E768))</f>
        <v>1347.924</v>
      </c>
    </row>
    <row r="769" spans="1:9" x14ac:dyDescent="0.2">
      <c r="A769" s="944"/>
      <c r="B769" s="241" t="s">
        <v>269</v>
      </c>
      <c r="C769" s="3" t="s">
        <v>284</v>
      </c>
      <c r="D769" s="2" t="s">
        <v>586</v>
      </c>
      <c r="E769" s="114">
        <v>0.1</v>
      </c>
      <c r="F769" s="23">
        <f>H767</f>
        <v>26958.48</v>
      </c>
      <c r="G769" s="104">
        <v>0</v>
      </c>
      <c r="H769" s="252">
        <f t="shared" si="36"/>
        <v>2695.848</v>
      </c>
    </row>
    <row r="770" spans="1:9" ht="13.5" thickBot="1" x14ac:dyDescent="0.25">
      <c r="A770" s="132" t="s">
        <v>139</v>
      </c>
      <c r="B770" s="530" t="s">
        <v>135</v>
      </c>
      <c r="C770" s="108" t="s">
        <v>136</v>
      </c>
      <c r="D770" s="109" t="s">
        <v>411</v>
      </c>
      <c r="E770" s="200">
        <f>5/50</f>
        <v>0.1</v>
      </c>
      <c r="F770" s="110">
        <f>VLOOKUP(B770,'BASE DE DATOS'!$A$5:$E$997,5,FALSE)</f>
        <v>12852</v>
      </c>
      <c r="G770" s="156">
        <v>0</v>
      </c>
      <c r="H770" s="255">
        <f t="shared" si="36"/>
        <v>1285.2</v>
      </c>
    </row>
    <row r="771" spans="1:9" s="42" customFormat="1" ht="30" x14ac:dyDescent="0.2">
      <c r="A771" s="458" t="s">
        <v>833</v>
      </c>
      <c r="B771" s="529"/>
      <c r="C771" s="388" t="s">
        <v>2026</v>
      </c>
      <c r="D771" s="389" t="s">
        <v>405</v>
      </c>
      <c r="E771" s="390"/>
      <c r="F771" s="391">
        <f>ROUND(SUM(H771:H783),0)</f>
        <v>95050</v>
      </c>
      <c r="G771" s="392"/>
      <c r="H771" s="393"/>
      <c r="I771" s="738"/>
    </row>
    <row r="772" spans="1:9" x14ac:dyDescent="0.2">
      <c r="A772" s="936" t="s">
        <v>382</v>
      </c>
      <c r="B772" s="241" t="s">
        <v>1264</v>
      </c>
      <c r="C772" s="3" t="s">
        <v>641</v>
      </c>
      <c r="D772" s="2" t="s">
        <v>642</v>
      </c>
      <c r="E772" s="114">
        <v>0.05</v>
      </c>
      <c r="F772" s="23">
        <f>VLOOKUP(B772,'BASE DE DATOS'!$A$5:$E$997,5,FALSE)</f>
        <v>10959</v>
      </c>
      <c r="G772" s="104">
        <v>0</v>
      </c>
      <c r="H772" s="252">
        <f>IF(G772&gt;0,(G772*F772*E772),(F772*E772))</f>
        <v>547.95000000000005</v>
      </c>
    </row>
    <row r="773" spans="1:9" x14ac:dyDescent="0.2">
      <c r="A773" s="936"/>
      <c r="B773" s="241" t="s">
        <v>1290</v>
      </c>
      <c r="C773" s="3" t="s">
        <v>2697</v>
      </c>
      <c r="D773" s="2" t="s">
        <v>406</v>
      </c>
      <c r="E773" s="114">
        <v>0.1</v>
      </c>
      <c r="F773" s="23">
        <f>VLOOKUP(B773,'BASE DE DATOS'!$A$5:$E$997,5,FALSE)</f>
        <v>13045</v>
      </c>
      <c r="G773" s="104">
        <v>1.03</v>
      </c>
      <c r="H773" s="252">
        <f>IF(G773&gt;0,(G773*F773*E773),(F773*E773))</f>
        <v>1343.6350000000002</v>
      </c>
    </row>
    <row r="774" spans="1:9" x14ac:dyDescent="0.2">
      <c r="A774" s="936"/>
      <c r="B774" s="241" t="s">
        <v>1558</v>
      </c>
      <c r="C774" s="3" t="s">
        <v>2023</v>
      </c>
      <c r="D774" s="2" t="s">
        <v>590</v>
      </c>
      <c r="E774" s="114">
        <v>0.25</v>
      </c>
      <c r="F774" s="23">
        <f>VLOOKUP(B774,'BASE DE DATOS'!$A$5:$E$997,5,FALSE)</f>
        <v>5650</v>
      </c>
      <c r="G774" s="104">
        <v>0</v>
      </c>
      <c r="H774" s="252">
        <f>IF(G774&gt;0,(G774*F774*E774),(F774*E774))</f>
        <v>1412.5</v>
      </c>
    </row>
    <row r="775" spans="1:9" x14ac:dyDescent="0.2">
      <c r="A775" s="936"/>
      <c r="B775" s="241" t="s">
        <v>1711</v>
      </c>
      <c r="C775" s="3" t="s">
        <v>632</v>
      </c>
      <c r="D775" s="2" t="s">
        <v>405</v>
      </c>
      <c r="E775" s="114">
        <v>1</v>
      </c>
      <c r="F775" s="23">
        <f>VLOOKUP(B775,'BASE DE DATOS'!$A$5:$E$997,5,FALSE)</f>
        <v>10991</v>
      </c>
      <c r="G775" s="104">
        <f>1/3</f>
        <v>0.33333333333333331</v>
      </c>
      <c r="H775" s="252">
        <f t="shared" ref="H775:H783" si="37">IF(G775&gt;0,(G775*F775*E775),(F775*E775))</f>
        <v>3663.6666666666665</v>
      </c>
    </row>
    <row r="776" spans="1:9" x14ac:dyDescent="0.2">
      <c r="A776" s="936"/>
      <c r="B776" s="241" t="s">
        <v>1690</v>
      </c>
      <c r="C776" s="103" t="s">
        <v>2749</v>
      </c>
      <c r="D776" s="2" t="s">
        <v>405</v>
      </c>
      <c r="E776" s="114">
        <v>2</v>
      </c>
      <c r="F776" s="23">
        <f>VLOOKUP(B776,'BASE DE DATOS'!$A$5:$E$997,5,FALSE)</f>
        <v>1540</v>
      </c>
      <c r="G776" s="104">
        <f>1/3</f>
        <v>0.33333333333333331</v>
      </c>
      <c r="H776" s="252">
        <f t="shared" si="37"/>
        <v>1026.6666666666665</v>
      </c>
    </row>
    <row r="777" spans="1:9" x14ac:dyDescent="0.2">
      <c r="A777" s="948" t="s">
        <v>3252</v>
      </c>
      <c r="B777" s="241" t="s">
        <v>813</v>
      </c>
      <c r="C777" s="11" t="s">
        <v>2108</v>
      </c>
      <c r="D777" s="2" t="s">
        <v>406</v>
      </c>
      <c r="E777" s="114">
        <v>4</v>
      </c>
      <c r="F777" s="23">
        <f>F113</f>
        <v>6882</v>
      </c>
      <c r="G777" s="104">
        <v>0</v>
      </c>
      <c r="H777" s="252">
        <f t="shared" si="37"/>
        <v>27528</v>
      </c>
    </row>
    <row r="778" spans="1:9" x14ac:dyDescent="0.2">
      <c r="A778" s="948"/>
      <c r="B778" s="241" t="s">
        <v>814</v>
      </c>
      <c r="C778" s="11" t="s">
        <v>2018</v>
      </c>
      <c r="D778" s="2" t="s">
        <v>406</v>
      </c>
      <c r="E778" s="114">
        <v>2.2999999999999998</v>
      </c>
      <c r="F778" s="23">
        <f>F118</f>
        <v>7440</v>
      </c>
      <c r="G778" s="104">
        <v>0</v>
      </c>
      <c r="H778" s="252">
        <f t="shared" si="37"/>
        <v>17112</v>
      </c>
    </row>
    <row r="779" spans="1:9" ht="14.25" customHeight="1" x14ac:dyDescent="0.2">
      <c r="A779" s="948"/>
      <c r="B779" s="241" t="s">
        <v>799</v>
      </c>
      <c r="C779" s="3" t="s">
        <v>2089</v>
      </c>
      <c r="D779" s="2" t="s">
        <v>285</v>
      </c>
      <c r="E779" s="114">
        <f>0.1*0.2</f>
        <v>2.0000000000000004E-2</v>
      </c>
      <c r="F779" s="23">
        <f>F34</f>
        <v>482282</v>
      </c>
      <c r="G779" s="104">
        <v>1.05</v>
      </c>
      <c r="H779" s="252">
        <f>IF(G779&gt;0,(G779*F779*E779),(F779*E779))</f>
        <v>10127.922000000002</v>
      </c>
    </row>
    <row r="780" spans="1:9" x14ac:dyDescent="0.2">
      <c r="A780" s="81" t="s">
        <v>2555</v>
      </c>
      <c r="B780" s="241" t="s">
        <v>607</v>
      </c>
      <c r="C780" s="3" t="s">
        <v>608</v>
      </c>
      <c r="D780" s="2" t="s">
        <v>585</v>
      </c>
      <c r="E780" s="114">
        <v>1</v>
      </c>
      <c r="F780" s="23">
        <f>VLOOKUP(B780,'BASE DE DATOS'!$A$5:$E$997,5,FALSE)</f>
        <v>336981</v>
      </c>
      <c r="G780" s="104">
        <f>1/12.5</f>
        <v>0.08</v>
      </c>
      <c r="H780" s="252">
        <f t="shared" si="37"/>
        <v>26958.48</v>
      </c>
    </row>
    <row r="781" spans="1:9" x14ac:dyDescent="0.2">
      <c r="A781" s="944" t="s">
        <v>293</v>
      </c>
      <c r="B781" s="241" t="s">
        <v>598</v>
      </c>
      <c r="C781" s="3" t="s">
        <v>3362</v>
      </c>
      <c r="D781" s="2" t="s">
        <v>586</v>
      </c>
      <c r="E781" s="114">
        <v>0.05</v>
      </c>
      <c r="F781" s="23">
        <f>H780</f>
        <v>26958.48</v>
      </c>
      <c r="G781" s="104">
        <v>0</v>
      </c>
      <c r="H781" s="252">
        <f>IF(G781&gt;0,(G781*F781*E781),(F781*E781))</f>
        <v>1347.924</v>
      </c>
    </row>
    <row r="782" spans="1:9" x14ac:dyDescent="0.2">
      <c r="A782" s="944"/>
      <c r="B782" s="241" t="s">
        <v>269</v>
      </c>
      <c r="C782" s="3" t="s">
        <v>284</v>
      </c>
      <c r="D782" s="2" t="s">
        <v>586</v>
      </c>
      <c r="E782" s="114">
        <v>0.1</v>
      </c>
      <c r="F782" s="23">
        <f>H780</f>
        <v>26958.48</v>
      </c>
      <c r="G782" s="104">
        <v>0</v>
      </c>
      <c r="H782" s="252">
        <f t="shared" si="37"/>
        <v>2695.848</v>
      </c>
    </row>
    <row r="783" spans="1:9" ht="13.5" thickBot="1" x14ac:dyDescent="0.25">
      <c r="A783" s="132" t="s">
        <v>139</v>
      </c>
      <c r="B783" s="530" t="s">
        <v>135</v>
      </c>
      <c r="C783" s="108" t="s">
        <v>136</v>
      </c>
      <c r="D783" s="109" t="s">
        <v>411</v>
      </c>
      <c r="E783" s="200">
        <f>5/50</f>
        <v>0.1</v>
      </c>
      <c r="F783" s="110">
        <f>VLOOKUP(B783,'BASE DE DATOS'!$A$5:$E$997,5,FALSE)</f>
        <v>12852</v>
      </c>
      <c r="G783" s="156">
        <v>0</v>
      </c>
      <c r="H783" s="255">
        <f t="shared" si="37"/>
        <v>1285.2</v>
      </c>
    </row>
    <row r="784" spans="1:9" s="42" customFormat="1" ht="30" x14ac:dyDescent="0.2">
      <c r="A784" s="458" t="s">
        <v>834</v>
      </c>
      <c r="B784" s="529"/>
      <c r="C784" s="388" t="s">
        <v>2475</v>
      </c>
      <c r="D784" s="389" t="s">
        <v>405</v>
      </c>
      <c r="E784" s="390"/>
      <c r="F784" s="391">
        <f>ROUND(SUM(H784:H796),0)</f>
        <v>99329</v>
      </c>
      <c r="G784" s="392"/>
      <c r="H784" s="393"/>
      <c r="I784" s="738"/>
    </row>
    <row r="785" spans="1:9" x14ac:dyDescent="0.2">
      <c r="A785" s="936" t="s">
        <v>382</v>
      </c>
      <c r="B785" s="241" t="s">
        <v>1264</v>
      </c>
      <c r="C785" s="3" t="s">
        <v>641</v>
      </c>
      <c r="D785" s="2" t="s">
        <v>642</v>
      </c>
      <c r="E785" s="114">
        <v>0.05</v>
      </c>
      <c r="F785" s="23">
        <f>VLOOKUP(B785,'BASE DE DATOS'!$A$5:$E$997,5,FALSE)</f>
        <v>10959</v>
      </c>
      <c r="G785" s="104">
        <v>0</v>
      </c>
      <c r="H785" s="252">
        <f>IF(G785&gt;0,(G785*F785*E785),(F785*E785))</f>
        <v>547.95000000000005</v>
      </c>
    </row>
    <row r="786" spans="1:9" x14ac:dyDescent="0.2">
      <c r="A786" s="936"/>
      <c r="B786" s="241" t="s">
        <v>1290</v>
      </c>
      <c r="C786" s="3" t="s">
        <v>2697</v>
      </c>
      <c r="D786" s="2" t="s">
        <v>406</v>
      </c>
      <c r="E786" s="114">
        <v>0.1</v>
      </c>
      <c r="F786" s="23">
        <f>VLOOKUP(B786,'BASE DE DATOS'!$A$5:$E$997,5,FALSE)</f>
        <v>13045</v>
      </c>
      <c r="G786" s="104">
        <v>1.03</v>
      </c>
      <c r="H786" s="252">
        <f>IF(G786&gt;0,(G786*F786*E786),(F786*E786))</f>
        <v>1343.6350000000002</v>
      </c>
    </row>
    <row r="787" spans="1:9" x14ac:dyDescent="0.2">
      <c r="A787" s="936"/>
      <c r="B787" s="241" t="s">
        <v>1558</v>
      </c>
      <c r="C787" s="3" t="s">
        <v>2023</v>
      </c>
      <c r="D787" s="2" t="s">
        <v>590</v>
      </c>
      <c r="E787" s="114">
        <v>0.25</v>
      </c>
      <c r="F787" s="23">
        <f>VLOOKUP(B787,'BASE DE DATOS'!$A$5:$E$997,5,FALSE)</f>
        <v>5650</v>
      </c>
      <c r="G787" s="104">
        <v>0</v>
      </c>
      <c r="H787" s="252">
        <f>IF(G787&gt;0,(G787*F787*E787),(F787*E787))</f>
        <v>1412.5</v>
      </c>
    </row>
    <row r="788" spans="1:9" s="9" customFormat="1" x14ac:dyDescent="0.2">
      <c r="A788" s="936"/>
      <c r="B788" s="241" t="s">
        <v>1711</v>
      </c>
      <c r="C788" s="3" t="s">
        <v>632</v>
      </c>
      <c r="D788" s="2" t="s">
        <v>405</v>
      </c>
      <c r="E788" s="114">
        <v>1</v>
      </c>
      <c r="F788" s="23">
        <f>VLOOKUP(B788,'BASE DE DATOS'!$A$5:$E$997,5,FALSE)</f>
        <v>10991</v>
      </c>
      <c r="G788" s="104">
        <f>1/3</f>
        <v>0.33333333333333331</v>
      </c>
      <c r="H788" s="252">
        <f t="shared" ref="H788:H796" si="38">IF(G788&gt;0,(G788*F788*E788),(F788*E788))</f>
        <v>3663.6666666666665</v>
      </c>
    </row>
    <row r="789" spans="1:9" x14ac:dyDescent="0.2">
      <c r="A789" s="936"/>
      <c r="B789" s="241" t="s">
        <v>1690</v>
      </c>
      <c r="C789" s="103" t="s">
        <v>2749</v>
      </c>
      <c r="D789" s="2" t="s">
        <v>405</v>
      </c>
      <c r="E789" s="114">
        <v>2</v>
      </c>
      <c r="F789" s="23">
        <f>VLOOKUP(B789,'BASE DE DATOS'!$A$5:$E$997,5,FALSE)</f>
        <v>1540</v>
      </c>
      <c r="G789" s="104">
        <f>1/3</f>
        <v>0.33333333333333331</v>
      </c>
      <c r="H789" s="252">
        <f t="shared" si="38"/>
        <v>1026.6666666666665</v>
      </c>
    </row>
    <row r="790" spans="1:9" x14ac:dyDescent="0.2">
      <c r="A790" s="948" t="s">
        <v>3252</v>
      </c>
      <c r="B790" s="241" t="s">
        <v>814</v>
      </c>
      <c r="C790" s="11" t="s">
        <v>2018</v>
      </c>
      <c r="D790" s="2" t="s">
        <v>406</v>
      </c>
      <c r="E790" s="114">
        <v>4</v>
      </c>
      <c r="F790" s="23">
        <f>F118</f>
        <v>7440</v>
      </c>
      <c r="G790" s="104">
        <v>0</v>
      </c>
      <c r="H790" s="252">
        <f t="shared" si="38"/>
        <v>29760</v>
      </c>
    </row>
    <row r="791" spans="1:9" x14ac:dyDescent="0.2">
      <c r="A791" s="948"/>
      <c r="B791" s="241" t="s">
        <v>813</v>
      </c>
      <c r="C791" s="11" t="s">
        <v>2108</v>
      </c>
      <c r="D791" s="2" t="s">
        <v>406</v>
      </c>
      <c r="E791" s="114">
        <v>2.6</v>
      </c>
      <c r="F791" s="23">
        <f>F113</f>
        <v>6882</v>
      </c>
      <c r="G791" s="104">
        <v>0</v>
      </c>
      <c r="H791" s="252">
        <f t="shared" si="38"/>
        <v>17893.2</v>
      </c>
    </row>
    <row r="792" spans="1:9" ht="14.25" customHeight="1" x14ac:dyDescent="0.2">
      <c r="A792" s="948"/>
      <c r="B792" s="241" t="s">
        <v>799</v>
      </c>
      <c r="C792" s="3" t="s">
        <v>2089</v>
      </c>
      <c r="D792" s="2" t="s">
        <v>285</v>
      </c>
      <c r="E792" s="114">
        <v>2.2499999999999999E-2</v>
      </c>
      <c r="F792" s="23">
        <f>F34</f>
        <v>482282</v>
      </c>
      <c r="G792" s="104">
        <v>1.05</v>
      </c>
      <c r="H792" s="252">
        <f>IF(G792&gt;0,(G792*F792*E792),(F792*E792))</f>
        <v>11393.912250000001</v>
      </c>
    </row>
    <row r="793" spans="1:9" x14ac:dyDescent="0.2">
      <c r="A793" s="81" t="s">
        <v>2555</v>
      </c>
      <c r="B793" s="241" t="s">
        <v>607</v>
      </c>
      <c r="C793" s="3" t="s">
        <v>608</v>
      </c>
      <c r="D793" s="2" t="s">
        <v>585</v>
      </c>
      <c r="E793" s="114">
        <v>1</v>
      </c>
      <c r="F793" s="23">
        <f>VLOOKUP(B793,'BASE DE DATOS'!$A$5:$E$997,5,FALSE)</f>
        <v>336981</v>
      </c>
      <c r="G793" s="104">
        <f>1/12.5</f>
        <v>0.08</v>
      </c>
      <c r="H793" s="252">
        <f t="shared" si="38"/>
        <v>26958.48</v>
      </c>
    </row>
    <row r="794" spans="1:9" x14ac:dyDescent="0.2">
      <c r="A794" s="944" t="s">
        <v>293</v>
      </c>
      <c r="B794" s="241" t="s">
        <v>598</v>
      </c>
      <c r="C794" s="3" t="s">
        <v>3362</v>
      </c>
      <c r="D794" s="2" t="s">
        <v>586</v>
      </c>
      <c r="E794" s="114">
        <v>0.05</v>
      </c>
      <c r="F794" s="23">
        <f>H793</f>
        <v>26958.48</v>
      </c>
      <c r="G794" s="104">
        <v>0</v>
      </c>
      <c r="H794" s="252">
        <f>IF(G794&gt;0,(G794*F794*E794),(F794*E794))</f>
        <v>1347.924</v>
      </c>
    </row>
    <row r="795" spans="1:9" x14ac:dyDescent="0.2">
      <c r="A795" s="944"/>
      <c r="B795" s="241" t="s">
        <v>269</v>
      </c>
      <c r="C795" s="3" t="s">
        <v>284</v>
      </c>
      <c r="D795" s="2" t="s">
        <v>586</v>
      </c>
      <c r="E795" s="114">
        <v>0.1</v>
      </c>
      <c r="F795" s="23">
        <f>H793</f>
        <v>26958.48</v>
      </c>
      <c r="G795" s="104">
        <v>0</v>
      </c>
      <c r="H795" s="252">
        <f t="shared" si="38"/>
        <v>2695.848</v>
      </c>
    </row>
    <row r="796" spans="1:9" ht="13.5" thickBot="1" x14ac:dyDescent="0.25">
      <c r="A796" s="132" t="s">
        <v>139</v>
      </c>
      <c r="B796" s="530" t="s">
        <v>135</v>
      </c>
      <c r="C796" s="108" t="s">
        <v>136</v>
      </c>
      <c r="D796" s="109" t="s">
        <v>411</v>
      </c>
      <c r="E796" s="200">
        <f>5/50</f>
        <v>0.1</v>
      </c>
      <c r="F796" s="110">
        <f>VLOOKUP(B796,'BASE DE DATOS'!$A$5:$E$997,5,FALSE)</f>
        <v>12852</v>
      </c>
      <c r="G796" s="156">
        <v>0</v>
      </c>
      <c r="H796" s="255">
        <f t="shared" si="38"/>
        <v>1285.2</v>
      </c>
    </row>
    <row r="797" spans="1:9" s="42" customFormat="1" ht="30" x14ac:dyDescent="0.2">
      <c r="A797" s="458" t="s">
        <v>835</v>
      </c>
      <c r="B797" s="529"/>
      <c r="C797" s="388" t="s">
        <v>2476</v>
      </c>
      <c r="D797" s="389" t="s">
        <v>405</v>
      </c>
      <c r="E797" s="390"/>
      <c r="F797" s="391">
        <f>ROUND(SUM(H797:H809),0)</f>
        <v>115907</v>
      </c>
      <c r="G797" s="392"/>
      <c r="H797" s="393"/>
      <c r="I797" s="738"/>
    </row>
    <row r="798" spans="1:9" x14ac:dyDescent="0.2">
      <c r="A798" s="936" t="s">
        <v>382</v>
      </c>
      <c r="B798" s="241" t="s">
        <v>1264</v>
      </c>
      <c r="C798" s="3" t="s">
        <v>641</v>
      </c>
      <c r="D798" s="2" t="s">
        <v>642</v>
      </c>
      <c r="E798" s="114">
        <v>0.05</v>
      </c>
      <c r="F798" s="23">
        <f>VLOOKUP(B798,'BASE DE DATOS'!$A$5:$E$997,5,FALSE)</f>
        <v>10959</v>
      </c>
      <c r="G798" s="104">
        <v>0</v>
      </c>
      <c r="H798" s="252">
        <f>IF(G798&gt;0,(G798*F798*E798),(F798*E798))</f>
        <v>547.95000000000005</v>
      </c>
    </row>
    <row r="799" spans="1:9" x14ac:dyDescent="0.2">
      <c r="A799" s="936"/>
      <c r="B799" s="241" t="s">
        <v>1290</v>
      </c>
      <c r="C799" s="3" t="s">
        <v>2697</v>
      </c>
      <c r="D799" s="2" t="s">
        <v>406</v>
      </c>
      <c r="E799" s="114">
        <v>0.1</v>
      </c>
      <c r="F799" s="23">
        <f>VLOOKUP(B799,'BASE DE DATOS'!$A$5:$E$997,5,FALSE)</f>
        <v>13045</v>
      </c>
      <c r="G799" s="104">
        <v>1.03</v>
      </c>
      <c r="H799" s="252">
        <f>IF(G799&gt;0,(G799*F799*E799),(F799*E799))</f>
        <v>1343.6350000000002</v>
      </c>
    </row>
    <row r="800" spans="1:9" x14ac:dyDescent="0.2">
      <c r="A800" s="936"/>
      <c r="B800" s="241" t="s">
        <v>1558</v>
      </c>
      <c r="C800" s="3" t="s">
        <v>2023</v>
      </c>
      <c r="D800" s="2" t="s">
        <v>590</v>
      </c>
      <c r="E800" s="114">
        <v>0.25</v>
      </c>
      <c r="F800" s="23">
        <f>VLOOKUP(B800,'BASE DE DATOS'!$A$5:$E$997,5,FALSE)</f>
        <v>5650</v>
      </c>
      <c r="G800" s="104">
        <v>0</v>
      </c>
      <c r="H800" s="252">
        <f>IF(G800&gt;0,(G800*F800*E800),(F800*E800))</f>
        <v>1412.5</v>
      </c>
    </row>
    <row r="801" spans="1:9" x14ac:dyDescent="0.2">
      <c r="A801" s="936"/>
      <c r="B801" s="241" t="s">
        <v>1711</v>
      </c>
      <c r="C801" s="3" t="s">
        <v>632</v>
      </c>
      <c r="D801" s="2" t="s">
        <v>405</v>
      </c>
      <c r="E801" s="114">
        <v>4</v>
      </c>
      <c r="F801" s="23">
        <f>VLOOKUP(B801,'BASE DE DATOS'!$A$5:$E$997,5,FALSE)</f>
        <v>10991</v>
      </c>
      <c r="G801" s="104">
        <f>1/3</f>
        <v>0.33333333333333331</v>
      </c>
      <c r="H801" s="252">
        <f t="shared" ref="H801:H809" si="39">IF(G801&gt;0,(G801*F801*E801),(F801*E801))</f>
        <v>14654.666666666666</v>
      </c>
    </row>
    <row r="802" spans="1:9" x14ac:dyDescent="0.2">
      <c r="A802" s="936"/>
      <c r="B802" s="241" t="s">
        <v>1690</v>
      </c>
      <c r="C802" s="103" t="s">
        <v>2749</v>
      </c>
      <c r="D802" s="2" t="s">
        <v>405</v>
      </c>
      <c r="E802" s="114">
        <v>2</v>
      </c>
      <c r="F802" s="23">
        <f>VLOOKUP(B802,'BASE DE DATOS'!$A$5:$E$997,5,FALSE)</f>
        <v>1540</v>
      </c>
      <c r="G802" s="104">
        <f>1/3</f>
        <v>0.33333333333333331</v>
      </c>
      <c r="H802" s="252">
        <f t="shared" si="39"/>
        <v>1026.6666666666665</v>
      </c>
    </row>
    <row r="803" spans="1:9" x14ac:dyDescent="0.2">
      <c r="A803" s="948" t="s">
        <v>3252</v>
      </c>
      <c r="B803" s="241" t="s">
        <v>814</v>
      </c>
      <c r="C803" s="11" t="s">
        <v>2018</v>
      </c>
      <c r="D803" s="2" t="s">
        <v>406</v>
      </c>
      <c r="E803" s="114">
        <v>4</v>
      </c>
      <c r="F803" s="23">
        <f>F118</f>
        <v>7440</v>
      </c>
      <c r="G803" s="104">
        <v>0</v>
      </c>
      <c r="H803" s="252">
        <f t="shared" si="39"/>
        <v>29760</v>
      </c>
    </row>
    <row r="804" spans="1:9" x14ac:dyDescent="0.2">
      <c r="A804" s="948"/>
      <c r="B804" s="241" t="s">
        <v>813</v>
      </c>
      <c r="C804" s="11" t="s">
        <v>2108</v>
      </c>
      <c r="D804" s="2" t="s">
        <v>406</v>
      </c>
      <c r="E804" s="114">
        <v>2.86</v>
      </c>
      <c r="F804" s="23">
        <f>F113</f>
        <v>6882</v>
      </c>
      <c r="G804" s="104">
        <v>0</v>
      </c>
      <c r="H804" s="252">
        <f t="shared" si="39"/>
        <v>19682.52</v>
      </c>
    </row>
    <row r="805" spans="1:9" ht="14.25" customHeight="1" x14ac:dyDescent="0.2">
      <c r="A805" s="948"/>
      <c r="B805" s="241" t="s">
        <v>799</v>
      </c>
      <c r="C805" s="3" t="s">
        <v>2089</v>
      </c>
      <c r="D805" s="2" t="s">
        <v>285</v>
      </c>
      <c r="E805" s="114">
        <v>0.03</v>
      </c>
      <c r="F805" s="23">
        <f>F34</f>
        <v>482282</v>
      </c>
      <c r="G805" s="104">
        <v>1.05</v>
      </c>
      <c r="H805" s="252">
        <f>IF(G805&gt;0,(G805*F805*E805),(F805*E805))</f>
        <v>15191.883</v>
      </c>
    </row>
    <row r="806" spans="1:9" x14ac:dyDescent="0.2">
      <c r="A806" s="81" t="s">
        <v>2555</v>
      </c>
      <c r="B806" s="241" t="s">
        <v>607</v>
      </c>
      <c r="C806" s="3" t="s">
        <v>608</v>
      </c>
      <c r="D806" s="2" t="s">
        <v>585</v>
      </c>
      <c r="E806" s="114">
        <v>1</v>
      </c>
      <c r="F806" s="23">
        <f>VLOOKUP(B806,'BASE DE DATOS'!$A$5:$E$997,5,FALSE)</f>
        <v>336981</v>
      </c>
      <c r="G806" s="104">
        <f>1/12.5</f>
        <v>0.08</v>
      </c>
      <c r="H806" s="252">
        <f t="shared" si="39"/>
        <v>26958.48</v>
      </c>
    </row>
    <row r="807" spans="1:9" x14ac:dyDescent="0.2">
      <c r="A807" s="944" t="s">
        <v>293</v>
      </c>
      <c r="B807" s="241" t="s">
        <v>598</v>
      </c>
      <c r="C807" s="3" t="s">
        <v>3362</v>
      </c>
      <c r="D807" s="2" t="s">
        <v>586</v>
      </c>
      <c r="E807" s="114">
        <v>0.05</v>
      </c>
      <c r="F807" s="23">
        <f>H806</f>
        <v>26958.48</v>
      </c>
      <c r="G807" s="104">
        <v>0</v>
      </c>
      <c r="H807" s="252">
        <f>IF(G807&gt;0,(G807*F807*E807),(F807*E807))</f>
        <v>1347.924</v>
      </c>
    </row>
    <row r="808" spans="1:9" x14ac:dyDescent="0.2">
      <c r="A808" s="944"/>
      <c r="B808" s="241" t="s">
        <v>269</v>
      </c>
      <c r="C808" s="3" t="s">
        <v>284</v>
      </c>
      <c r="D808" s="2" t="s">
        <v>586</v>
      </c>
      <c r="E808" s="114">
        <v>0.1</v>
      </c>
      <c r="F808" s="23">
        <f>H806</f>
        <v>26958.48</v>
      </c>
      <c r="G808" s="104">
        <v>0</v>
      </c>
      <c r="H808" s="252">
        <f t="shared" si="39"/>
        <v>2695.848</v>
      </c>
    </row>
    <row r="809" spans="1:9" ht="13.5" thickBot="1" x14ac:dyDescent="0.25">
      <c r="A809" s="132" t="s">
        <v>139</v>
      </c>
      <c r="B809" s="530" t="s">
        <v>135</v>
      </c>
      <c r="C809" s="108" t="s">
        <v>136</v>
      </c>
      <c r="D809" s="109" t="s">
        <v>411</v>
      </c>
      <c r="E809" s="200">
        <f>5/50</f>
        <v>0.1</v>
      </c>
      <c r="F809" s="110">
        <f>VLOOKUP(B809,'BASE DE DATOS'!$A$5:$E$997,5,FALSE)</f>
        <v>12852</v>
      </c>
      <c r="G809" s="156">
        <v>0</v>
      </c>
      <c r="H809" s="255">
        <f t="shared" si="39"/>
        <v>1285.2</v>
      </c>
    </row>
    <row r="810" spans="1:9" s="463" customFormat="1" ht="30" x14ac:dyDescent="0.2">
      <c r="A810" s="458" t="s">
        <v>836</v>
      </c>
      <c r="B810" s="565"/>
      <c r="C810" s="388" t="s">
        <v>2027</v>
      </c>
      <c r="D810" s="389" t="s">
        <v>3225</v>
      </c>
      <c r="E810" s="390"/>
      <c r="F810" s="391">
        <f>ROUND(SUM(H810:H824),0)</f>
        <v>1702291</v>
      </c>
      <c r="G810" s="392"/>
      <c r="H810" s="393"/>
      <c r="I810" s="9"/>
    </row>
    <row r="811" spans="1:9" x14ac:dyDescent="0.2">
      <c r="A811" s="939" t="s">
        <v>295</v>
      </c>
      <c r="B811" s="241" t="s">
        <v>1264</v>
      </c>
      <c r="C811" s="3" t="s">
        <v>641</v>
      </c>
      <c r="D811" s="2" t="s">
        <v>642</v>
      </c>
      <c r="E811" s="114">
        <v>0.6</v>
      </c>
      <c r="F811" s="23">
        <f>VLOOKUP(B811,'BASE DE DATOS'!$A$5:$E$997,5,FALSE)</f>
        <v>10959</v>
      </c>
      <c r="G811" s="104">
        <v>0</v>
      </c>
      <c r="H811" s="252">
        <f t="shared" ref="H811:H816" si="40">IF(G811&gt;0,(G811*F811*E811),(F811*E811))</f>
        <v>6575.4</v>
      </c>
    </row>
    <row r="812" spans="1:9" x14ac:dyDescent="0.2">
      <c r="A812" s="939"/>
      <c r="B812" s="241" t="s">
        <v>1290</v>
      </c>
      <c r="C812" s="3" t="s">
        <v>2697</v>
      </c>
      <c r="D812" s="2" t="s">
        <v>406</v>
      </c>
      <c r="E812" s="114">
        <v>2.5</v>
      </c>
      <c r="F812" s="23">
        <f>VLOOKUP(B812,'BASE DE DATOS'!$A$5:$E$997,5,FALSE)</f>
        <v>13045</v>
      </c>
      <c r="G812" s="104">
        <v>1.03</v>
      </c>
      <c r="H812" s="252">
        <f t="shared" si="40"/>
        <v>33590.875</v>
      </c>
    </row>
    <row r="813" spans="1:9" x14ac:dyDescent="0.2">
      <c r="A813" s="939"/>
      <c r="B813" s="241" t="s">
        <v>1367</v>
      </c>
      <c r="C813" s="3" t="s">
        <v>592</v>
      </c>
      <c r="D813" s="2" t="s">
        <v>405</v>
      </c>
      <c r="E813" s="114">
        <v>12</v>
      </c>
      <c r="F813" s="23">
        <f>VLOOKUP(B813,'BASE DE DATOS'!$A$5:$E$997,5,FALSE)</f>
        <v>6534</v>
      </c>
      <c r="G813" s="104">
        <f>1/3</f>
        <v>0.33333333333333331</v>
      </c>
      <c r="H813" s="252">
        <f t="shared" si="40"/>
        <v>26136</v>
      </c>
    </row>
    <row r="814" spans="1:9" x14ac:dyDescent="0.2">
      <c r="A814" s="939"/>
      <c r="B814" s="241" t="s">
        <v>1418</v>
      </c>
      <c r="C814" s="3" t="s">
        <v>591</v>
      </c>
      <c r="D814" s="2" t="s">
        <v>411</v>
      </c>
      <c r="E814" s="114">
        <v>8</v>
      </c>
      <c r="F814" s="23">
        <f>VLOOKUP(B814,'BASE DE DATOS'!$A$5:$E$997,5,FALSE)</f>
        <v>5250</v>
      </c>
      <c r="G814" s="104">
        <f>1/3</f>
        <v>0.33333333333333331</v>
      </c>
      <c r="H814" s="252">
        <f t="shared" si="40"/>
        <v>14000</v>
      </c>
    </row>
    <row r="815" spans="1:9" x14ac:dyDescent="0.2">
      <c r="A815" s="939"/>
      <c r="B815" s="241" t="s">
        <v>1463</v>
      </c>
      <c r="C815" s="3" t="s">
        <v>593</v>
      </c>
      <c r="D815" s="2" t="s">
        <v>405</v>
      </c>
      <c r="E815" s="114">
        <v>25</v>
      </c>
      <c r="F815" s="23">
        <f>VLOOKUP(B815,'BASE DE DATOS'!$A$5:$E$997,5,FALSE)</f>
        <v>4704</v>
      </c>
      <c r="G815" s="104">
        <f>1/3</f>
        <v>0.33333333333333331</v>
      </c>
      <c r="H815" s="252">
        <f t="shared" si="40"/>
        <v>39200</v>
      </c>
    </row>
    <row r="816" spans="1:9" x14ac:dyDescent="0.2">
      <c r="A816" s="939"/>
      <c r="B816" s="241" t="s">
        <v>1558</v>
      </c>
      <c r="C816" s="3" t="s">
        <v>2023</v>
      </c>
      <c r="D816" s="2" t="s">
        <v>590</v>
      </c>
      <c r="E816" s="114">
        <v>4</v>
      </c>
      <c r="F816" s="23">
        <f>VLOOKUP(B816,'BASE DE DATOS'!$A$5:$E$997,5,FALSE)</f>
        <v>5650</v>
      </c>
      <c r="G816" s="104">
        <v>0</v>
      </c>
      <c r="H816" s="252">
        <f t="shared" si="40"/>
        <v>22600</v>
      </c>
    </row>
    <row r="817" spans="1:9" ht="13.15" customHeight="1" x14ac:dyDescent="0.2">
      <c r="A817" s="939"/>
      <c r="B817" s="241" t="s">
        <v>1711</v>
      </c>
      <c r="C817" s="3" t="s">
        <v>632</v>
      </c>
      <c r="D817" s="2" t="s">
        <v>405</v>
      </c>
      <c r="E817" s="114">
        <v>36</v>
      </c>
      <c r="F817" s="23">
        <f>VLOOKUP(B817,'BASE DE DATOS'!$A$5:$E$997,5,FALSE)</f>
        <v>10991</v>
      </c>
      <c r="G817" s="104">
        <f>1/3</f>
        <v>0.33333333333333331</v>
      </c>
      <c r="H817" s="252">
        <f t="shared" ref="H817:H824" si="41">IF(G817&gt;0,(G817*F817*E817),(F817*E817))</f>
        <v>131892</v>
      </c>
    </row>
    <row r="818" spans="1:9" ht="14.25" x14ac:dyDescent="0.2">
      <c r="A818" s="939"/>
      <c r="B818" s="241" t="s">
        <v>1576</v>
      </c>
      <c r="C818" s="3" t="s">
        <v>77</v>
      </c>
      <c r="D818" s="2" t="s">
        <v>288</v>
      </c>
      <c r="E818" s="114">
        <v>9</v>
      </c>
      <c r="F818" s="23">
        <f>VLOOKUP(B818,'BASE DE DATOS'!$A$5:$E$997,5,FALSE)</f>
        <v>87921</v>
      </c>
      <c r="G818" s="104">
        <f>1/3</f>
        <v>0.33333333333333331</v>
      </c>
      <c r="H818" s="252">
        <f t="shared" si="41"/>
        <v>263763</v>
      </c>
    </row>
    <row r="819" spans="1:9" ht="14.25" x14ac:dyDescent="0.2">
      <c r="A819" s="64" t="s">
        <v>3252</v>
      </c>
      <c r="B819" s="241" t="s">
        <v>799</v>
      </c>
      <c r="C819" s="3" t="s">
        <v>2089</v>
      </c>
      <c r="D819" s="2" t="s">
        <v>285</v>
      </c>
      <c r="E819" s="114">
        <v>1</v>
      </c>
      <c r="F819" s="23">
        <f>F34</f>
        <v>482282</v>
      </c>
      <c r="G819" s="104">
        <v>1.05</v>
      </c>
      <c r="H819" s="252">
        <f t="shared" si="41"/>
        <v>506396.10000000003</v>
      </c>
    </row>
    <row r="820" spans="1:9" x14ac:dyDescent="0.2">
      <c r="A820" s="81" t="s">
        <v>2555</v>
      </c>
      <c r="B820" s="241" t="s">
        <v>605</v>
      </c>
      <c r="C820" s="3" t="s">
        <v>606</v>
      </c>
      <c r="D820" s="2" t="s">
        <v>585</v>
      </c>
      <c r="E820" s="114">
        <v>1</v>
      </c>
      <c r="F820" s="23">
        <f>VLOOKUP(B820,'BASE DE DATOS'!$A$5:$E$997,5,FALSE)</f>
        <v>673962</v>
      </c>
      <c r="G820" s="104">
        <f>1/1.2</f>
        <v>0.83333333333333337</v>
      </c>
      <c r="H820" s="252">
        <f t="shared" si="41"/>
        <v>561635</v>
      </c>
    </row>
    <row r="821" spans="1:9" x14ac:dyDescent="0.2">
      <c r="A821" s="944" t="s">
        <v>293</v>
      </c>
      <c r="B821" s="241" t="s">
        <v>598</v>
      </c>
      <c r="C821" s="3" t="s">
        <v>3362</v>
      </c>
      <c r="D821" s="2" t="s">
        <v>586</v>
      </c>
      <c r="E821" s="114">
        <v>0.05</v>
      </c>
      <c r="F821" s="23">
        <f>H820</f>
        <v>561635</v>
      </c>
      <c r="G821" s="104">
        <v>0</v>
      </c>
      <c r="H821" s="252">
        <f>IF(G821&gt;0,(G821*F821*E821),(F821*E821))</f>
        <v>28081.75</v>
      </c>
    </row>
    <row r="822" spans="1:9" x14ac:dyDescent="0.2">
      <c r="A822" s="944"/>
      <c r="B822" s="241" t="s">
        <v>269</v>
      </c>
      <c r="C822" s="3" t="s">
        <v>284</v>
      </c>
      <c r="D822" s="2" t="s">
        <v>586</v>
      </c>
      <c r="E822" s="114">
        <v>0.1</v>
      </c>
      <c r="F822" s="23">
        <f>H820</f>
        <v>561635</v>
      </c>
      <c r="G822" s="104">
        <v>0</v>
      </c>
      <c r="H822" s="252">
        <f t="shared" si="41"/>
        <v>56163.5</v>
      </c>
    </row>
    <row r="823" spans="1:9" x14ac:dyDescent="0.2">
      <c r="A823" s="944"/>
      <c r="B823" s="241" t="s">
        <v>668</v>
      </c>
      <c r="C823" s="3" t="s">
        <v>669</v>
      </c>
      <c r="D823" s="2" t="s">
        <v>585</v>
      </c>
      <c r="E823" s="114">
        <v>1</v>
      </c>
      <c r="F823" s="23">
        <f>VLOOKUP(B823,'BASE DE DATOS'!$A$5:$E$997,5,FALSE)</f>
        <v>58310</v>
      </c>
      <c r="G823" s="104">
        <f>1/10</f>
        <v>0.1</v>
      </c>
      <c r="H823" s="252">
        <f t="shared" si="41"/>
        <v>5831</v>
      </c>
    </row>
    <row r="824" spans="1:9" ht="13.5" thickBot="1" x14ac:dyDescent="0.25">
      <c r="A824" s="132" t="s">
        <v>139</v>
      </c>
      <c r="B824" s="530" t="s">
        <v>135</v>
      </c>
      <c r="C824" s="108" t="s">
        <v>136</v>
      </c>
      <c r="D824" s="109" t="s">
        <v>411</v>
      </c>
      <c r="E824" s="200">
        <f>5/10</f>
        <v>0.5</v>
      </c>
      <c r="F824" s="110">
        <f>VLOOKUP(B824,'BASE DE DATOS'!$A$5:$E$997,5,FALSE)</f>
        <v>12852</v>
      </c>
      <c r="G824" s="156">
        <v>0</v>
      </c>
      <c r="H824" s="255">
        <f t="shared" si="41"/>
        <v>6426</v>
      </c>
    </row>
    <row r="825" spans="1:9" s="42" customFormat="1" ht="30" x14ac:dyDescent="0.2">
      <c r="A825" s="458" t="s">
        <v>837</v>
      </c>
      <c r="B825" s="565"/>
      <c r="C825" s="388" t="s">
        <v>2028</v>
      </c>
      <c r="D825" s="389" t="s">
        <v>3225</v>
      </c>
      <c r="E825" s="390"/>
      <c r="F825" s="391">
        <f>ROUND(SUM(H825:H839),0)</f>
        <v>1741128</v>
      </c>
      <c r="G825" s="392"/>
      <c r="H825" s="393"/>
      <c r="I825" s="738"/>
    </row>
    <row r="826" spans="1:9" x14ac:dyDescent="0.2">
      <c r="A826" s="939" t="s">
        <v>295</v>
      </c>
      <c r="B826" s="241" t="s">
        <v>1264</v>
      </c>
      <c r="C826" s="3" t="s">
        <v>641</v>
      </c>
      <c r="D826" s="2" t="s">
        <v>642</v>
      </c>
      <c r="E826" s="114">
        <v>0.6</v>
      </c>
      <c r="F826" s="23">
        <f>VLOOKUP(B826,'BASE DE DATOS'!$A$5:$E$997,5,FALSE)</f>
        <v>10959</v>
      </c>
      <c r="G826" s="104">
        <v>0</v>
      </c>
      <c r="H826" s="252">
        <f>IF(G826&gt;0,(G826*F826*E826),(F826*E826))</f>
        <v>6575.4</v>
      </c>
    </row>
    <row r="827" spans="1:9" x14ac:dyDescent="0.2">
      <c r="A827" s="939"/>
      <c r="B827" s="241" t="s">
        <v>1290</v>
      </c>
      <c r="C827" s="3" t="s">
        <v>2697</v>
      </c>
      <c r="D827" s="2" t="s">
        <v>406</v>
      </c>
      <c r="E827" s="114">
        <v>2.5</v>
      </c>
      <c r="F827" s="23">
        <f>VLOOKUP(B827,'BASE DE DATOS'!$A$5:$E$997,5,FALSE)</f>
        <v>13045</v>
      </c>
      <c r="G827" s="104">
        <v>1.03</v>
      </c>
      <c r="H827" s="252">
        <f>IF(G827&gt;0,(G827*F827*E827),(F827*E827))</f>
        <v>33590.875</v>
      </c>
    </row>
    <row r="828" spans="1:9" x14ac:dyDescent="0.2">
      <c r="A828" s="939"/>
      <c r="B828" s="241" t="s">
        <v>1367</v>
      </c>
      <c r="C828" s="3" t="s">
        <v>592</v>
      </c>
      <c r="D828" s="2" t="s">
        <v>405</v>
      </c>
      <c r="E828" s="114">
        <v>6</v>
      </c>
      <c r="F828" s="23">
        <f>VLOOKUP(B828,'BASE DE DATOS'!$A$5:$E$997,5,FALSE)</f>
        <v>6534</v>
      </c>
      <c r="G828" s="104">
        <f>1/3</f>
        <v>0.33333333333333331</v>
      </c>
      <c r="H828" s="252">
        <f t="shared" ref="H828:H839" si="42">IF(G828&gt;0,(G828*F828*E828),(F828*E828))</f>
        <v>13068</v>
      </c>
    </row>
    <row r="829" spans="1:9" x14ac:dyDescent="0.2">
      <c r="A829" s="939"/>
      <c r="B829" s="241" t="s">
        <v>1418</v>
      </c>
      <c r="C829" s="3" t="s">
        <v>591</v>
      </c>
      <c r="D829" s="2" t="s">
        <v>411</v>
      </c>
      <c r="E829" s="114">
        <v>4</v>
      </c>
      <c r="F829" s="23">
        <f>VLOOKUP(B829,'BASE DE DATOS'!$A$5:$E$997,5,FALSE)</f>
        <v>5250</v>
      </c>
      <c r="G829" s="104">
        <f>1/3</f>
        <v>0.33333333333333331</v>
      </c>
      <c r="H829" s="252">
        <f>IF(G829&gt;0,(G829*F829*E829),(F829*E829))</f>
        <v>7000</v>
      </c>
    </row>
    <row r="830" spans="1:9" x14ac:dyDescent="0.2">
      <c r="A830" s="939"/>
      <c r="B830" s="241" t="s">
        <v>1463</v>
      </c>
      <c r="C830" s="3" t="s">
        <v>593</v>
      </c>
      <c r="D830" s="2" t="s">
        <v>405</v>
      </c>
      <c r="E830" s="114">
        <v>12</v>
      </c>
      <c r="F830" s="23">
        <f>VLOOKUP(B830,'BASE DE DATOS'!$A$5:$E$997,5,FALSE)</f>
        <v>4704</v>
      </c>
      <c r="G830" s="104">
        <f>1/3</f>
        <v>0.33333333333333331</v>
      </c>
      <c r="H830" s="252">
        <f t="shared" si="42"/>
        <v>18816</v>
      </c>
    </row>
    <row r="831" spans="1:9" x14ac:dyDescent="0.2">
      <c r="A831" s="939"/>
      <c r="B831" s="241" t="s">
        <v>1558</v>
      </c>
      <c r="C831" s="3" t="s">
        <v>2023</v>
      </c>
      <c r="D831" s="2" t="s">
        <v>590</v>
      </c>
      <c r="E831" s="114">
        <v>2</v>
      </c>
      <c r="F831" s="23">
        <f>VLOOKUP(B831,'BASE DE DATOS'!$A$5:$E$997,5,FALSE)</f>
        <v>5650</v>
      </c>
      <c r="G831" s="104">
        <v>0</v>
      </c>
      <c r="H831" s="252">
        <f t="shared" si="42"/>
        <v>11300</v>
      </c>
    </row>
    <row r="832" spans="1:9" ht="13.15" customHeight="1" x14ac:dyDescent="0.2">
      <c r="A832" s="939"/>
      <c r="B832" s="241" t="s">
        <v>1711</v>
      </c>
      <c r="C832" s="3" t="s">
        <v>632</v>
      </c>
      <c r="D832" s="2" t="s">
        <v>405</v>
      </c>
      <c r="E832" s="114">
        <v>25</v>
      </c>
      <c r="F832" s="23">
        <f>VLOOKUP(B832,'BASE DE DATOS'!$A$5:$E$997,5,FALSE)</f>
        <v>10991</v>
      </c>
      <c r="G832" s="104">
        <f>1/3</f>
        <v>0.33333333333333331</v>
      </c>
      <c r="H832" s="252">
        <f>IF(G832&gt;0,(G832*F832*E832),(F832*E832))</f>
        <v>91591.666666666657</v>
      </c>
    </row>
    <row r="833" spans="1:9" ht="14.25" x14ac:dyDescent="0.2">
      <c r="A833" s="939"/>
      <c r="B833" s="241" t="s">
        <v>1576</v>
      </c>
      <c r="C833" s="3" t="s">
        <v>77</v>
      </c>
      <c r="D833" s="2" t="s">
        <v>288</v>
      </c>
      <c r="E833" s="114">
        <v>6.12</v>
      </c>
      <c r="F833" s="23">
        <f>VLOOKUP(B833,'BASE DE DATOS'!$A$5:$E$997,5,FALSE)</f>
        <v>87921</v>
      </c>
      <c r="G833" s="104">
        <f>1/3</f>
        <v>0.33333333333333331</v>
      </c>
      <c r="H833" s="252">
        <f>IF(G833&gt;0,(G833*F833*E833),(F833*E833))</f>
        <v>179358.84</v>
      </c>
    </row>
    <row r="834" spans="1:9" ht="14.25" x14ac:dyDescent="0.2">
      <c r="A834" s="64" t="s">
        <v>3252</v>
      </c>
      <c r="B834" s="241" t="s">
        <v>799</v>
      </c>
      <c r="C834" s="3" t="s">
        <v>2089</v>
      </c>
      <c r="D834" s="2" t="s">
        <v>285</v>
      </c>
      <c r="E834" s="114">
        <v>1</v>
      </c>
      <c r="F834" s="23">
        <f>F34</f>
        <v>482282</v>
      </c>
      <c r="G834" s="104">
        <v>1.05</v>
      </c>
      <c r="H834" s="252">
        <f t="shared" si="42"/>
        <v>506396.10000000003</v>
      </c>
    </row>
    <row r="835" spans="1:9" x14ac:dyDescent="0.2">
      <c r="A835" s="81" t="s">
        <v>2555</v>
      </c>
      <c r="B835" s="241" t="s">
        <v>605</v>
      </c>
      <c r="C835" s="3" t="s">
        <v>606</v>
      </c>
      <c r="D835" s="2" t="s">
        <v>585</v>
      </c>
      <c r="E835" s="114">
        <v>1</v>
      </c>
      <c r="F835" s="23">
        <f>VLOOKUP(B835,'BASE DE DATOS'!$A$5:$E$997,5,FALSE)</f>
        <v>673962</v>
      </c>
      <c r="G835" s="104">
        <f>1/0.9</f>
        <v>1.1111111111111112</v>
      </c>
      <c r="H835" s="252">
        <f t="shared" si="42"/>
        <v>748846.66666666674</v>
      </c>
    </row>
    <row r="836" spans="1:9" x14ac:dyDescent="0.2">
      <c r="A836" s="944" t="s">
        <v>293</v>
      </c>
      <c r="B836" s="241" t="s">
        <v>598</v>
      </c>
      <c r="C836" s="3" t="s">
        <v>3362</v>
      </c>
      <c r="D836" s="2" t="s">
        <v>586</v>
      </c>
      <c r="E836" s="114">
        <v>0.05</v>
      </c>
      <c r="F836" s="23">
        <f>H835</f>
        <v>748846.66666666674</v>
      </c>
      <c r="G836" s="104">
        <v>0</v>
      </c>
      <c r="H836" s="252">
        <f>IF(G836&gt;0,(G836*F836*E836),(F836*E836))</f>
        <v>37442.333333333336</v>
      </c>
    </row>
    <row r="837" spans="1:9" x14ac:dyDescent="0.2">
      <c r="A837" s="944"/>
      <c r="B837" s="241" t="s">
        <v>269</v>
      </c>
      <c r="C837" s="3" t="s">
        <v>284</v>
      </c>
      <c r="D837" s="2" t="s">
        <v>586</v>
      </c>
      <c r="E837" s="114">
        <v>0.1</v>
      </c>
      <c r="F837" s="23">
        <f>H835</f>
        <v>748846.66666666674</v>
      </c>
      <c r="G837" s="104">
        <v>0</v>
      </c>
      <c r="H837" s="252">
        <f t="shared" si="42"/>
        <v>74884.666666666672</v>
      </c>
    </row>
    <row r="838" spans="1:9" x14ac:dyDescent="0.2">
      <c r="A838" s="944"/>
      <c r="B838" s="241" t="s">
        <v>668</v>
      </c>
      <c r="C838" s="3" t="s">
        <v>669</v>
      </c>
      <c r="D838" s="2" t="s">
        <v>585</v>
      </c>
      <c r="E838" s="114">
        <v>1</v>
      </c>
      <c r="F838" s="23">
        <f>VLOOKUP(B838,'BASE DE DATOS'!$A$5:$E$997,5,FALSE)</f>
        <v>58310</v>
      </c>
      <c r="G838" s="104">
        <f>1/10</f>
        <v>0.1</v>
      </c>
      <c r="H838" s="252">
        <f t="shared" si="42"/>
        <v>5831</v>
      </c>
    </row>
    <row r="839" spans="1:9" ht="13.5" thickBot="1" x14ac:dyDescent="0.25">
      <c r="A839" s="132" t="s">
        <v>139</v>
      </c>
      <c r="B839" s="530" t="s">
        <v>135</v>
      </c>
      <c r="C839" s="108" t="s">
        <v>136</v>
      </c>
      <c r="D839" s="109" t="s">
        <v>411</v>
      </c>
      <c r="E839" s="200">
        <f>5/10</f>
        <v>0.5</v>
      </c>
      <c r="F839" s="110">
        <f>VLOOKUP(B839,'BASE DE DATOS'!$A$5:$E$997,5,FALSE)</f>
        <v>12852</v>
      </c>
      <c r="G839" s="156">
        <v>0</v>
      </c>
      <c r="H839" s="255">
        <f t="shared" si="42"/>
        <v>6426</v>
      </c>
    </row>
    <row r="840" spans="1:9" s="42" customFormat="1" ht="30" x14ac:dyDescent="0.2">
      <c r="A840" s="458" t="s">
        <v>838</v>
      </c>
      <c r="B840" s="529"/>
      <c r="C840" s="388" t="s">
        <v>3602</v>
      </c>
      <c r="D840" s="389" t="s">
        <v>3251</v>
      </c>
      <c r="E840" s="395"/>
      <c r="F840" s="391">
        <f>ROUND(SUM(H840:H849),0)</f>
        <v>215846</v>
      </c>
      <c r="G840" s="392"/>
      <c r="H840" s="393"/>
      <c r="I840" s="738"/>
    </row>
    <row r="841" spans="1:9" x14ac:dyDescent="0.2">
      <c r="A841" s="939" t="s">
        <v>295</v>
      </c>
      <c r="B841" s="241" t="s">
        <v>1264</v>
      </c>
      <c r="C841" s="3" t="s">
        <v>641</v>
      </c>
      <c r="D841" s="2" t="s">
        <v>642</v>
      </c>
      <c r="E841" s="114">
        <v>0.05</v>
      </c>
      <c r="F841" s="23">
        <f>VLOOKUP(B841,'BASE DE DATOS'!$A$5:$E$997,5,FALSE)</f>
        <v>10959</v>
      </c>
      <c r="G841" s="104">
        <v>0</v>
      </c>
      <c r="H841" s="252">
        <f>IF(G841&gt;0,(G841*F841*E841),(F841*E841))</f>
        <v>547.95000000000005</v>
      </c>
    </row>
    <row r="842" spans="1:9" x14ac:dyDescent="0.2">
      <c r="A842" s="939"/>
      <c r="B842" s="241" t="s">
        <v>1290</v>
      </c>
      <c r="C842" s="3" t="s">
        <v>2697</v>
      </c>
      <c r="D842" s="2" t="s">
        <v>406</v>
      </c>
      <c r="E842" s="114">
        <v>0.2</v>
      </c>
      <c r="F842" s="23">
        <f>VLOOKUP(B842,'BASE DE DATOS'!$A$5:$E$997,5,FALSE)</f>
        <v>13045</v>
      </c>
      <c r="G842" s="104">
        <v>1.03</v>
      </c>
      <c r="H842" s="252">
        <f>IF(G842&gt;0,(G842*F842*E842),(F842*E842))</f>
        <v>2687.2700000000004</v>
      </c>
    </row>
    <row r="843" spans="1:9" ht="14.25" x14ac:dyDescent="0.2">
      <c r="A843" s="939"/>
      <c r="B843" s="241" t="s">
        <v>1476</v>
      </c>
      <c r="C843" s="44" t="s">
        <v>3794</v>
      </c>
      <c r="D843" s="2" t="s">
        <v>288</v>
      </c>
      <c r="E843" s="114">
        <v>1</v>
      </c>
      <c r="F843" s="23">
        <f>VLOOKUP(B843,'BASE DE DATOS'!$A$5:$E$997,5,FALSE)</f>
        <v>13864</v>
      </c>
      <c r="G843" s="104">
        <v>1.05</v>
      </c>
      <c r="H843" s="252">
        <f t="shared" ref="H843:H849" si="43">IF(G843&gt;0,(G843*F843*E843),(F843*E843))</f>
        <v>14557.2</v>
      </c>
    </row>
    <row r="844" spans="1:9" ht="13.9" customHeight="1" x14ac:dyDescent="0.2">
      <c r="A844" s="939"/>
      <c r="B844" s="241" t="s">
        <v>1558</v>
      </c>
      <c r="C844" s="3" t="s">
        <v>2023</v>
      </c>
      <c r="D844" s="2" t="s">
        <v>590</v>
      </c>
      <c r="E844" s="114">
        <v>0.2</v>
      </c>
      <c r="F844" s="23">
        <f>VLOOKUP(B844,'BASE DE DATOS'!$A$5:$E$997,5,FALSE)</f>
        <v>5650</v>
      </c>
      <c r="G844" s="104">
        <v>0</v>
      </c>
      <c r="H844" s="252">
        <f>IF(G844&gt;0,(G844*F844*E844),(F844*E844))</f>
        <v>1130</v>
      </c>
    </row>
    <row r="845" spans="1:9" ht="13.15" customHeight="1" x14ac:dyDescent="0.2">
      <c r="A845" s="939"/>
      <c r="B845" s="241" t="s">
        <v>1711</v>
      </c>
      <c r="C845" s="3" t="s">
        <v>632</v>
      </c>
      <c r="D845" s="2" t="s">
        <v>405</v>
      </c>
      <c r="E845" s="114">
        <v>5</v>
      </c>
      <c r="F845" s="23">
        <f>VLOOKUP(B845,'BASE DE DATOS'!$A$5:$E$997,5,FALSE)</f>
        <v>10991</v>
      </c>
      <c r="G845" s="104">
        <f>1/3</f>
        <v>0.33333333333333331</v>
      </c>
      <c r="H845" s="252">
        <f>IF(G845&gt;0,(G845*F845*E845),(F845*E845))</f>
        <v>18318.333333333332</v>
      </c>
    </row>
    <row r="846" spans="1:9" x14ac:dyDescent="0.2">
      <c r="A846" s="939"/>
      <c r="B846" s="241" t="s">
        <v>1690</v>
      </c>
      <c r="C846" s="103" t="s">
        <v>2749</v>
      </c>
      <c r="D846" s="2" t="s">
        <v>405</v>
      </c>
      <c r="E846" s="114">
        <v>3</v>
      </c>
      <c r="F846" s="23">
        <f>VLOOKUP(B846,'BASE DE DATOS'!$A$5:$E$997,5,FALSE)</f>
        <v>1540</v>
      </c>
      <c r="G846" s="104">
        <f>1/3</f>
        <v>0.33333333333333331</v>
      </c>
      <c r="H846" s="252">
        <f t="shared" si="43"/>
        <v>1539.9999999999998</v>
      </c>
    </row>
    <row r="847" spans="1:9" ht="14.25" x14ac:dyDescent="0.2">
      <c r="A847" s="64" t="s">
        <v>3252</v>
      </c>
      <c r="B847" s="241" t="s">
        <v>799</v>
      </c>
      <c r="C847" s="3" t="s">
        <v>2089</v>
      </c>
      <c r="D847" s="2" t="s">
        <v>285</v>
      </c>
      <c r="E847" s="114">
        <v>0.21</v>
      </c>
      <c r="F847" s="23">
        <f>F34</f>
        <v>482282</v>
      </c>
      <c r="G847" s="104">
        <v>1.05</v>
      </c>
      <c r="H847" s="252">
        <f t="shared" si="43"/>
        <v>106343.181</v>
      </c>
    </row>
    <row r="848" spans="1:9" x14ac:dyDescent="0.2">
      <c r="A848" s="81" t="s">
        <v>2555</v>
      </c>
      <c r="B848" s="241" t="s">
        <v>587</v>
      </c>
      <c r="C848" s="3" t="s">
        <v>588</v>
      </c>
      <c r="D848" s="2" t="s">
        <v>585</v>
      </c>
      <c r="E848" s="114">
        <v>1</v>
      </c>
      <c r="F848" s="23">
        <f>VLOOKUP(B848,'BASE DE DATOS'!$A$5:$E$997,5,FALSE)</f>
        <v>514339</v>
      </c>
      <c r="G848" s="104">
        <f>1/8</f>
        <v>0.125</v>
      </c>
      <c r="H848" s="252">
        <f t="shared" si="43"/>
        <v>64292.375</v>
      </c>
    </row>
    <row r="849" spans="1:9" ht="13.5" thickBot="1" x14ac:dyDescent="0.25">
      <c r="A849" s="94" t="s">
        <v>293</v>
      </c>
      <c r="B849" s="530" t="s">
        <v>269</v>
      </c>
      <c r="C849" s="108" t="s">
        <v>284</v>
      </c>
      <c r="D849" s="109" t="s">
        <v>586</v>
      </c>
      <c r="E849" s="200">
        <v>0.1</v>
      </c>
      <c r="F849" s="110">
        <f>H848</f>
        <v>64292.375</v>
      </c>
      <c r="G849" s="156">
        <v>0</v>
      </c>
      <c r="H849" s="255">
        <f t="shared" si="43"/>
        <v>6429.2375000000002</v>
      </c>
    </row>
    <row r="850" spans="1:9" s="42" customFormat="1" ht="30" x14ac:dyDescent="0.2">
      <c r="A850" s="458" t="s">
        <v>839</v>
      </c>
      <c r="B850" s="529"/>
      <c r="C850" s="388" t="s">
        <v>3603</v>
      </c>
      <c r="D850" s="389" t="s">
        <v>3251</v>
      </c>
      <c r="E850" s="395"/>
      <c r="F850" s="391">
        <f>ROUND(SUM(H850:H862),0)</f>
        <v>342104</v>
      </c>
      <c r="G850" s="392"/>
      <c r="H850" s="393"/>
      <c r="I850" s="738"/>
    </row>
    <row r="851" spans="1:9" x14ac:dyDescent="0.2">
      <c r="A851" s="939" t="s">
        <v>295</v>
      </c>
      <c r="B851" s="241" t="s">
        <v>1264</v>
      </c>
      <c r="C851" s="3" t="s">
        <v>641</v>
      </c>
      <c r="D851" s="2" t="s">
        <v>642</v>
      </c>
      <c r="E851" s="114">
        <v>0.05</v>
      </c>
      <c r="F851" s="23">
        <f>VLOOKUP(B851,'BASE DE DATOS'!$A$5:$E$997,5,FALSE)</f>
        <v>10959</v>
      </c>
      <c r="G851" s="104">
        <v>0</v>
      </c>
      <c r="H851" s="252">
        <f>IF(G851&gt;0,(G851*F851*E851),(F851*E851))</f>
        <v>547.95000000000005</v>
      </c>
    </row>
    <row r="852" spans="1:9" x14ac:dyDescent="0.2">
      <c r="A852" s="939"/>
      <c r="B852" s="241" t="s">
        <v>1290</v>
      </c>
      <c r="C852" s="3" t="s">
        <v>2697</v>
      </c>
      <c r="D852" s="2" t="s">
        <v>406</v>
      </c>
      <c r="E852" s="114">
        <v>0.2</v>
      </c>
      <c r="F852" s="23">
        <f>VLOOKUP(B852,'BASE DE DATOS'!$A$5:$E$997,5,FALSE)</f>
        <v>13045</v>
      </c>
      <c r="G852" s="104">
        <v>1.03</v>
      </c>
      <c r="H852" s="252">
        <f>IF(G852&gt;0,(G852*F852*E852),(F852*E852))</f>
        <v>2687.2700000000004</v>
      </c>
    </row>
    <row r="853" spans="1:9" ht="14.25" x14ac:dyDescent="0.2">
      <c r="A853" s="939"/>
      <c r="B853" s="241" t="s">
        <v>1476</v>
      </c>
      <c r="C853" s="44" t="s">
        <v>3794</v>
      </c>
      <c r="D853" s="2" t="s">
        <v>288</v>
      </c>
      <c r="E853" s="114">
        <v>1</v>
      </c>
      <c r="F853" s="23">
        <f>VLOOKUP(B853,'BASE DE DATOS'!$A$5:$E$997,5,FALSE)</f>
        <v>13864</v>
      </c>
      <c r="G853" s="104">
        <v>1.05</v>
      </c>
      <c r="H853" s="252">
        <f>IF(G853&gt;0,(G853*F853*E853),(F853*E853))</f>
        <v>14557.2</v>
      </c>
    </row>
    <row r="854" spans="1:9" x14ac:dyDescent="0.2">
      <c r="A854" s="939"/>
      <c r="B854" s="241" t="s">
        <v>1558</v>
      </c>
      <c r="C854" s="3" t="s">
        <v>2023</v>
      </c>
      <c r="D854" s="2" t="s">
        <v>590</v>
      </c>
      <c r="E854" s="114">
        <v>0.2</v>
      </c>
      <c r="F854" s="23">
        <f>VLOOKUP(B854,'BASE DE DATOS'!$A$5:$E$997,5,FALSE)</f>
        <v>5650</v>
      </c>
      <c r="G854" s="104">
        <v>0</v>
      </c>
      <c r="H854" s="252">
        <f t="shared" ref="H854:H862" si="44">IF(G854&gt;0,(G854*F854*E854),(F854*E854))</f>
        <v>1130</v>
      </c>
    </row>
    <row r="855" spans="1:9" ht="13.15" customHeight="1" x14ac:dyDescent="0.2">
      <c r="A855" s="939"/>
      <c r="B855" s="241" t="s">
        <v>1711</v>
      </c>
      <c r="C855" s="3" t="s">
        <v>632</v>
      </c>
      <c r="D855" s="2" t="s">
        <v>405</v>
      </c>
      <c r="E855" s="114">
        <v>10</v>
      </c>
      <c r="F855" s="23">
        <f>VLOOKUP(B855,'BASE DE DATOS'!$A$5:$E$997,5,FALSE)</f>
        <v>10991</v>
      </c>
      <c r="G855" s="104">
        <f>1/3</f>
        <v>0.33333333333333331</v>
      </c>
      <c r="H855" s="252">
        <f>IF(G855&gt;0,(G855*F855*E855),(F855*E855))</f>
        <v>36636.666666666664</v>
      </c>
    </row>
    <row r="856" spans="1:9" x14ac:dyDescent="0.2">
      <c r="A856" s="939"/>
      <c r="B856" s="241" t="s">
        <v>1690</v>
      </c>
      <c r="C856" s="103" t="s">
        <v>2749</v>
      </c>
      <c r="D856" s="2" t="s">
        <v>405</v>
      </c>
      <c r="E856" s="114">
        <v>3</v>
      </c>
      <c r="F856" s="23">
        <f>VLOOKUP(B856,'BASE DE DATOS'!$A$5:$E$997,5,FALSE)</f>
        <v>1540</v>
      </c>
      <c r="G856" s="104">
        <f>1/3</f>
        <v>0.33333333333333331</v>
      </c>
      <c r="H856" s="252">
        <f t="shared" si="44"/>
        <v>1539.9999999999998</v>
      </c>
    </row>
    <row r="857" spans="1:9" ht="14.25" x14ac:dyDescent="0.2">
      <c r="A857" s="953" t="s">
        <v>3252</v>
      </c>
      <c r="B857" s="241" t="s">
        <v>799</v>
      </c>
      <c r="C857" s="3" t="s">
        <v>2089</v>
      </c>
      <c r="D857" s="2" t="s">
        <v>285</v>
      </c>
      <c r="E857" s="114">
        <v>0.24</v>
      </c>
      <c r="F857" s="23">
        <f>F34</f>
        <v>482282</v>
      </c>
      <c r="G857" s="104">
        <v>1.05</v>
      </c>
      <c r="H857" s="252">
        <f t="shared" si="44"/>
        <v>121535.064</v>
      </c>
    </row>
    <row r="858" spans="1:9" ht="14.25" x14ac:dyDescent="0.2">
      <c r="A858" s="953"/>
      <c r="B858" s="241" t="s">
        <v>726</v>
      </c>
      <c r="C858" s="20" t="s">
        <v>2029</v>
      </c>
      <c r="D858" s="2" t="s">
        <v>288</v>
      </c>
      <c r="E858" s="114">
        <v>1</v>
      </c>
      <c r="F858" s="23">
        <f>F260</f>
        <v>60474</v>
      </c>
      <c r="G858" s="104">
        <f>1/3</f>
        <v>0.33333333333333331</v>
      </c>
      <c r="H858" s="252">
        <f t="shared" si="44"/>
        <v>20158</v>
      </c>
    </row>
    <row r="859" spans="1:9" x14ac:dyDescent="0.2">
      <c r="A859" s="81" t="s">
        <v>2555</v>
      </c>
      <c r="B859" s="241" t="s">
        <v>587</v>
      </c>
      <c r="C859" s="3" t="s">
        <v>588</v>
      </c>
      <c r="D859" s="2" t="s">
        <v>585</v>
      </c>
      <c r="E859" s="114">
        <v>1</v>
      </c>
      <c r="F859" s="23">
        <f>VLOOKUP(B859,'BASE DE DATOS'!$A$5:$E$997,5,FALSE)</f>
        <v>514339</v>
      </c>
      <c r="G859" s="104">
        <f>1/4</f>
        <v>0.25</v>
      </c>
      <c r="H859" s="252">
        <f t="shared" si="44"/>
        <v>128584.75</v>
      </c>
    </row>
    <row r="860" spans="1:9" x14ac:dyDescent="0.2">
      <c r="A860" s="944" t="s">
        <v>293</v>
      </c>
      <c r="B860" s="241" t="s">
        <v>269</v>
      </c>
      <c r="C860" s="3" t="s">
        <v>284</v>
      </c>
      <c r="D860" s="2" t="s">
        <v>586</v>
      </c>
      <c r="E860" s="114">
        <v>0.1</v>
      </c>
      <c r="F860" s="23">
        <f>H859</f>
        <v>128584.75</v>
      </c>
      <c r="G860" s="104">
        <v>0</v>
      </c>
      <c r="H860" s="252">
        <f t="shared" si="44"/>
        <v>12858.475</v>
      </c>
    </row>
    <row r="861" spans="1:9" x14ac:dyDescent="0.2">
      <c r="A861" s="944"/>
      <c r="B861" s="241" t="s">
        <v>668</v>
      </c>
      <c r="C861" s="3" t="s">
        <v>669</v>
      </c>
      <c r="D861" s="2" t="s">
        <v>585</v>
      </c>
      <c r="E861" s="114">
        <v>1</v>
      </c>
      <c r="F861" s="23">
        <f>VLOOKUP(B861,'BASE DE DATOS'!$A$5:$E$997,5,FALSE)</f>
        <v>58310</v>
      </c>
      <c r="G861" s="104">
        <f>1/100</f>
        <v>0.01</v>
      </c>
      <c r="H861" s="252">
        <f t="shared" si="44"/>
        <v>583.1</v>
      </c>
    </row>
    <row r="862" spans="1:9" ht="13.5" thickBot="1" x14ac:dyDescent="0.25">
      <c r="A862" s="132" t="s">
        <v>139</v>
      </c>
      <c r="B862" s="530" t="s">
        <v>135</v>
      </c>
      <c r="C862" s="108" t="s">
        <v>136</v>
      </c>
      <c r="D862" s="109" t="s">
        <v>411</v>
      </c>
      <c r="E862" s="200">
        <f>5/50</f>
        <v>0.1</v>
      </c>
      <c r="F862" s="110">
        <f>VLOOKUP(B862,'BASE DE DATOS'!$A$5:$E$997,5,FALSE)</f>
        <v>12852</v>
      </c>
      <c r="G862" s="156">
        <v>0</v>
      </c>
      <c r="H862" s="255">
        <f t="shared" si="44"/>
        <v>1285.2</v>
      </c>
    </row>
    <row r="863" spans="1:9" s="42" customFormat="1" ht="30" x14ac:dyDescent="0.2">
      <c r="A863" s="458" t="s">
        <v>840</v>
      </c>
      <c r="B863" s="529"/>
      <c r="C863" s="388" t="s">
        <v>2471</v>
      </c>
      <c r="D863" s="389" t="s">
        <v>3251</v>
      </c>
      <c r="E863" s="390"/>
      <c r="F863" s="391">
        <f>ROUND(SUM(H863:H871),0)</f>
        <v>132478</v>
      </c>
      <c r="G863" s="392"/>
      <c r="H863" s="393"/>
      <c r="I863" s="742"/>
    </row>
    <row r="864" spans="1:9" x14ac:dyDescent="0.2">
      <c r="A864" s="936" t="s">
        <v>382</v>
      </c>
      <c r="B864" s="241" t="s">
        <v>1264</v>
      </c>
      <c r="C864" s="3" t="s">
        <v>641</v>
      </c>
      <c r="D864" s="2" t="s">
        <v>642</v>
      </c>
      <c r="E864" s="114">
        <v>0.05</v>
      </c>
      <c r="F864" s="23">
        <f>VLOOKUP(B864,'BASE DE DATOS'!$A$5:$E$997,5,FALSE)</f>
        <v>10959</v>
      </c>
      <c r="G864" s="104">
        <v>0</v>
      </c>
      <c r="H864" s="252">
        <f t="shared" ref="H864:H871" si="45">IF(G864&gt;0,(G864*F864*E864),(F864*E864))</f>
        <v>547.95000000000005</v>
      </c>
    </row>
    <row r="865" spans="1:9" x14ac:dyDescent="0.2">
      <c r="A865" s="936"/>
      <c r="B865" s="241" t="s">
        <v>1290</v>
      </c>
      <c r="C865" s="3" t="s">
        <v>2697</v>
      </c>
      <c r="D865" s="2" t="s">
        <v>406</v>
      </c>
      <c r="E865" s="114">
        <v>0.2</v>
      </c>
      <c r="F865" s="23">
        <f>VLOOKUP(B865,'BASE DE DATOS'!$A$5:$E$997,5,FALSE)</f>
        <v>13045</v>
      </c>
      <c r="G865" s="104">
        <v>1.03</v>
      </c>
      <c r="H865" s="252">
        <f t="shared" si="45"/>
        <v>2687.2700000000004</v>
      </c>
    </row>
    <row r="866" spans="1:9" ht="14.25" x14ac:dyDescent="0.2">
      <c r="A866" s="953" t="s">
        <v>3252</v>
      </c>
      <c r="B866" s="241" t="s">
        <v>799</v>
      </c>
      <c r="C866" s="3" t="s">
        <v>2089</v>
      </c>
      <c r="D866" s="2" t="s">
        <v>285</v>
      </c>
      <c r="E866" s="114">
        <v>0.1</v>
      </c>
      <c r="F866" s="23">
        <f>F34</f>
        <v>482282</v>
      </c>
      <c r="G866" s="104">
        <v>1.05</v>
      </c>
      <c r="H866" s="252">
        <f t="shared" si="45"/>
        <v>50639.610000000008</v>
      </c>
    </row>
    <row r="867" spans="1:9" ht="14.25" x14ac:dyDescent="0.2">
      <c r="A867" s="953"/>
      <c r="B867" s="241" t="s">
        <v>726</v>
      </c>
      <c r="C867" s="3" t="s">
        <v>2029</v>
      </c>
      <c r="D867" s="2" t="s">
        <v>288</v>
      </c>
      <c r="E867" s="114">
        <v>1</v>
      </c>
      <c r="F867" s="23">
        <f>F260</f>
        <v>60474</v>
      </c>
      <c r="G867" s="104">
        <f>1/3</f>
        <v>0.33333333333333331</v>
      </c>
      <c r="H867" s="252">
        <f t="shared" si="45"/>
        <v>20158</v>
      </c>
    </row>
    <row r="868" spans="1:9" x14ac:dyDescent="0.2">
      <c r="A868" s="81" t="s">
        <v>2555</v>
      </c>
      <c r="B868" s="241" t="s">
        <v>587</v>
      </c>
      <c r="C868" s="3" t="s">
        <v>588</v>
      </c>
      <c r="D868" s="2" t="s">
        <v>585</v>
      </c>
      <c r="E868" s="114">
        <v>1</v>
      </c>
      <c r="F868" s="23">
        <f>VLOOKUP(B868,'BASE DE DATOS'!$A$5:$E$997,5,FALSE)</f>
        <v>514339</v>
      </c>
      <c r="G868" s="104">
        <f>1/10</f>
        <v>0.1</v>
      </c>
      <c r="H868" s="252">
        <f t="shared" si="45"/>
        <v>51433.9</v>
      </c>
    </row>
    <row r="869" spans="1:9" x14ac:dyDescent="0.2">
      <c r="A869" s="944" t="s">
        <v>293</v>
      </c>
      <c r="B869" s="241" t="s">
        <v>269</v>
      </c>
      <c r="C869" s="3" t="s">
        <v>284</v>
      </c>
      <c r="D869" s="2" t="s">
        <v>586</v>
      </c>
      <c r="E869" s="114">
        <v>0.1</v>
      </c>
      <c r="F869" s="23">
        <f>H868</f>
        <v>51433.9</v>
      </c>
      <c r="G869" s="104">
        <v>0</v>
      </c>
      <c r="H869" s="252">
        <f t="shared" si="45"/>
        <v>5143.3900000000003</v>
      </c>
    </row>
    <row r="870" spans="1:9" s="25" customFormat="1" x14ac:dyDescent="0.2">
      <c r="A870" s="944"/>
      <c r="B870" s="241" t="s">
        <v>668</v>
      </c>
      <c r="C870" s="3" t="s">
        <v>669</v>
      </c>
      <c r="D870" s="2" t="s">
        <v>585</v>
      </c>
      <c r="E870" s="114">
        <v>1</v>
      </c>
      <c r="F870" s="23">
        <f>VLOOKUP(B870,'BASE DE DATOS'!$A$5:$E$997,5,FALSE)</f>
        <v>58310</v>
      </c>
      <c r="G870" s="104">
        <f>1/100</f>
        <v>0.01</v>
      </c>
      <c r="H870" s="252">
        <f t="shared" si="45"/>
        <v>583.1</v>
      </c>
    </row>
    <row r="871" spans="1:9" ht="13.5" thickBot="1" x14ac:dyDescent="0.25">
      <c r="A871" s="132" t="s">
        <v>139</v>
      </c>
      <c r="B871" s="530" t="s">
        <v>135</v>
      </c>
      <c r="C871" s="108" t="s">
        <v>136</v>
      </c>
      <c r="D871" s="109" t="s">
        <v>411</v>
      </c>
      <c r="E871" s="200">
        <f>5/50</f>
        <v>0.1</v>
      </c>
      <c r="F871" s="110">
        <f>VLOOKUP(B871,'BASE DE DATOS'!$A$5:$E$997,5,FALSE)</f>
        <v>12852</v>
      </c>
      <c r="G871" s="156">
        <v>0</v>
      </c>
      <c r="H871" s="255">
        <f t="shared" si="45"/>
        <v>1285.2</v>
      </c>
    </row>
    <row r="872" spans="1:9" s="42" customFormat="1" ht="30" x14ac:dyDescent="0.2">
      <c r="A872" s="458" t="s">
        <v>841</v>
      </c>
      <c r="B872" s="529"/>
      <c r="C872" s="388" t="s">
        <v>2470</v>
      </c>
      <c r="D872" s="389" t="s">
        <v>3251</v>
      </c>
      <c r="E872" s="395"/>
      <c r="F872" s="391">
        <f>ROUND(SUM(H872:H880),0)</f>
        <v>157798</v>
      </c>
      <c r="G872" s="392"/>
      <c r="H872" s="393"/>
      <c r="I872" s="738"/>
    </row>
    <row r="873" spans="1:9" x14ac:dyDescent="0.2">
      <c r="A873" s="936" t="s">
        <v>382</v>
      </c>
      <c r="B873" s="241" t="s">
        <v>1264</v>
      </c>
      <c r="C873" s="3" t="s">
        <v>641</v>
      </c>
      <c r="D873" s="2" t="s">
        <v>642</v>
      </c>
      <c r="E873" s="114">
        <v>0.05</v>
      </c>
      <c r="F873" s="23">
        <f>VLOOKUP(B873,'BASE DE DATOS'!$A$5:$E$997,5,FALSE)</f>
        <v>10959</v>
      </c>
      <c r="G873" s="104">
        <v>0</v>
      </c>
      <c r="H873" s="252">
        <f t="shared" ref="H873:H880" si="46">IF(G873&gt;0,(G873*F873*E873),(F873*E873))</f>
        <v>547.95000000000005</v>
      </c>
    </row>
    <row r="874" spans="1:9" x14ac:dyDescent="0.2">
      <c r="A874" s="936"/>
      <c r="B874" s="241" t="s">
        <v>1290</v>
      </c>
      <c r="C874" s="3" t="s">
        <v>2697</v>
      </c>
      <c r="D874" s="2" t="s">
        <v>406</v>
      </c>
      <c r="E874" s="114">
        <v>0.2</v>
      </c>
      <c r="F874" s="23">
        <f>VLOOKUP(B874,'BASE DE DATOS'!$A$5:$E$997,5,FALSE)</f>
        <v>13045</v>
      </c>
      <c r="G874" s="104">
        <v>1.03</v>
      </c>
      <c r="H874" s="252">
        <f t="shared" si="46"/>
        <v>2687.2700000000004</v>
      </c>
    </row>
    <row r="875" spans="1:9" ht="14.25" x14ac:dyDescent="0.2">
      <c r="A875" s="953" t="s">
        <v>3252</v>
      </c>
      <c r="B875" s="241" t="s">
        <v>799</v>
      </c>
      <c r="C875" s="3" t="s">
        <v>2089</v>
      </c>
      <c r="D875" s="2" t="s">
        <v>285</v>
      </c>
      <c r="E875" s="114">
        <v>0.15</v>
      </c>
      <c r="F875" s="23">
        <f>F34</f>
        <v>482282</v>
      </c>
      <c r="G875" s="104">
        <v>1.05</v>
      </c>
      <c r="H875" s="252">
        <f t="shared" si="46"/>
        <v>75959.415000000008</v>
      </c>
    </row>
    <row r="876" spans="1:9" ht="14.25" x14ac:dyDescent="0.2">
      <c r="A876" s="953"/>
      <c r="B876" s="241" t="s">
        <v>726</v>
      </c>
      <c r="C876" s="3" t="s">
        <v>2029</v>
      </c>
      <c r="D876" s="2" t="s">
        <v>288</v>
      </c>
      <c r="E876" s="114">
        <v>1</v>
      </c>
      <c r="F876" s="23">
        <f>F260</f>
        <v>60474</v>
      </c>
      <c r="G876" s="104">
        <f>1/3</f>
        <v>0.33333333333333331</v>
      </c>
      <c r="H876" s="252">
        <f t="shared" si="46"/>
        <v>20158</v>
      </c>
    </row>
    <row r="877" spans="1:9" x14ac:dyDescent="0.2">
      <c r="A877" s="81" t="s">
        <v>2555</v>
      </c>
      <c r="B877" s="241" t="s">
        <v>587</v>
      </c>
      <c r="C877" s="3" t="s">
        <v>588</v>
      </c>
      <c r="D877" s="2" t="s">
        <v>585</v>
      </c>
      <c r="E877" s="114">
        <v>1</v>
      </c>
      <c r="F877" s="23">
        <f>VLOOKUP(B877,'BASE DE DATOS'!$A$5:$E$997,5,FALSE)</f>
        <v>514339</v>
      </c>
      <c r="G877" s="104">
        <f>1/10</f>
        <v>0.1</v>
      </c>
      <c r="H877" s="252">
        <f t="shared" si="46"/>
        <v>51433.9</v>
      </c>
    </row>
    <row r="878" spans="1:9" x14ac:dyDescent="0.2">
      <c r="A878" s="944" t="s">
        <v>293</v>
      </c>
      <c r="B878" s="241" t="s">
        <v>269</v>
      </c>
      <c r="C878" s="3" t="s">
        <v>284</v>
      </c>
      <c r="D878" s="2" t="s">
        <v>586</v>
      </c>
      <c r="E878" s="114">
        <v>0.1</v>
      </c>
      <c r="F878" s="23">
        <f>H877</f>
        <v>51433.9</v>
      </c>
      <c r="G878" s="104">
        <v>0</v>
      </c>
      <c r="H878" s="252">
        <f t="shared" si="46"/>
        <v>5143.3900000000003</v>
      </c>
    </row>
    <row r="879" spans="1:9" x14ac:dyDescent="0.2">
      <c r="A879" s="944"/>
      <c r="B879" s="241" t="s">
        <v>668</v>
      </c>
      <c r="C879" s="3" t="s">
        <v>669</v>
      </c>
      <c r="D879" s="2" t="s">
        <v>585</v>
      </c>
      <c r="E879" s="114">
        <v>1</v>
      </c>
      <c r="F879" s="23">
        <f>VLOOKUP(B879,'BASE DE DATOS'!$A$5:$E$997,5,FALSE)</f>
        <v>58310</v>
      </c>
      <c r="G879" s="104">
        <f>1/100</f>
        <v>0.01</v>
      </c>
      <c r="H879" s="252">
        <f t="shared" si="46"/>
        <v>583.1</v>
      </c>
    </row>
    <row r="880" spans="1:9" ht="13.5" thickBot="1" x14ac:dyDescent="0.25">
      <c r="A880" s="132" t="s">
        <v>139</v>
      </c>
      <c r="B880" s="530" t="s">
        <v>135</v>
      </c>
      <c r="C880" s="108" t="s">
        <v>136</v>
      </c>
      <c r="D880" s="109" t="s">
        <v>411</v>
      </c>
      <c r="E880" s="200">
        <f>5/50</f>
        <v>0.1</v>
      </c>
      <c r="F880" s="110">
        <f>VLOOKUP(B880,'BASE DE DATOS'!$A$5:$E$997,5,FALSE)</f>
        <v>12852</v>
      </c>
      <c r="G880" s="156">
        <v>0</v>
      </c>
      <c r="H880" s="255">
        <f t="shared" si="46"/>
        <v>1285.2</v>
      </c>
    </row>
    <row r="881" spans="1:9" s="42" customFormat="1" ht="30" x14ac:dyDescent="0.2">
      <c r="A881" s="458" t="s">
        <v>842</v>
      </c>
      <c r="B881" s="558"/>
      <c r="C881" s="408" t="s">
        <v>2030</v>
      </c>
      <c r="D881" s="409" t="s">
        <v>3251</v>
      </c>
      <c r="E881" s="410"/>
      <c r="F881" s="391">
        <f>ROUND(SUM(H881:H889),0)</f>
        <v>201240</v>
      </c>
      <c r="G881" s="392"/>
      <c r="H881" s="393"/>
      <c r="I881" s="738"/>
    </row>
    <row r="882" spans="1:9" s="38" customFormat="1" x14ac:dyDescent="0.2">
      <c r="A882" s="986" t="s">
        <v>382</v>
      </c>
      <c r="B882" s="241" t="s">
        <v>1264</v>
      </c>
      <c r="C882" s="3" t="s">
        <v>641</v>
      </c>
      <c r="D882" s="2" t="s">
        <v>642</v>
      </c>
      <c r="E882" s="114">
        <v>0.05</v>
      </c>
      <c r="F882" s="23">
        <f>VLOOKUP(B882,'BASE DE DATOS'!$A$5:$E$997,5,FALSE)</f>
        <v>10959</v>
      </c>
      <c r="G882" s="104">
        <v>0</v>
      </c>
      <c r="H882" s="252">
        <f t="shared" ref="H882" si="47">IF(G882&gt;0,(G882*F882*E882),(F882*E882))</f>
        <v>547.95000000000005</v>
      </c>
      <c r="I882" s="738"/>
    </row>
    <row r="883" spans="1:9" x14ac:dyDescent="0.2">
      <c r="A883" s="986"/>
      <c r="B883" s="241" t="s">
        <v>1290</v>
      </c>
      <c r="C883" s="3" t="s">
        <v>2697</v>
      </c>
      <c r="D883" s="2" t="s">
        <v>406</v>
      </c>
      <c r="E883" s="114">
        <f>1/5</f>
        <v>0.2</v>
      </c>
      <c r="F883" s="23">
        <f>VLOOKUP(B883,'BASE DE DATOS'!$A$5:$E$997,5,FALSE)</f>
        <v>13045</v>
      </c>
      <c r="G883" s="104">
        <v>1.03</v>
      </c>
      <c r="H883" s="252">
        <f t="shared" ref="H883:H889" si="48">IF(G883&gt;0,(G883*F883*E883),(F883*E883))</f>
        <v>2687.2700000000004</v>
      </c>
    </row>
    <row r="884" spans="1:9" ht="14.25" x14ac:dyDescent="0.2">
      <c r="A884" s="953" t="s">
        <v>3252</v>
      </c>
      <c r="B884" s="241" t="s">
        <v>799</v>
      </c>
      <c r="C884" s="3" t="s">
        <v>2089</v>
      </c>
      <c r="D884" s="2" t="s">
        <v>285</v>
      </c>
      <c r="E884" s="114">
        <v>0.2</v>
      </c>
      <c r="F884" s="23">
        <f>F34</f>
        <v>482282</v>
      </c>
      <c r="G884" s="104">
        <v>1.05</v>
      </c>
      <c r="H884" s="252">
        <f t="shared" si="48"/>
        <v>101279.22000000002</v>
      </c>
    </row>
    <row r="885" spans="1:9" ht="14.25" x14ac:dyDescent="0.2">
      <c r="A885" s="953"/>
      <c r="B885" s="241" t="s">
        <v>726</v>
      </c>
      <c r="C885" s="3" t="s">
        <v>468</v>
      </c>
      <c r="D885" s="2" t="s">
        <v>288</v>
      </c>
      <c r="E885" s="114">
        <v>1</v>
      </c>
      <c r="F885" s="23">
        <f>F260</f>
        <v>60474</v>
      </c>
      <c r="G885" s="104">
        <v>0.33300000000000002</v>
      </c>
      <c r="H885" s="252">
        <f t="shared" si="48"/>
        <v>20137.842000000001</v>
      </c>
    </row>
    <row r="886" spans="1:9" x14ac:dyDescent="0.2">
      <c r="A886" s="81" t="s">
        <v>2555</v>
      </c>
      <c r="B886" s="241" t="s">
        <v>605</v>
      </c>
      <c r="C886" s="3" t="s">
        <v>606</v>
      </c>
      <c r="D886" s="2" t="s">
        <v>585</v>
      </c>
      <c r="E886" s="114">
        <v>1</v>
      </c>
      <c r="F886" s="23">
        <f>VLOOKUP(B886,'BASE DE DATOS'!$A$5:$E$997,5,FALSE)</f>
        <v>673962</v>
      </c>
      <c r="G886" s="104">
        <f>1/10</f>
        <v>0.1</v>
      </c>
      <c r="H886" s="252">
        <f t="shared" si="48"/>
        <v>67396.2</v>
      </c>
    </row>
    <row r="887" spans="1:9" x14ac:dyDescent="0.2">
      <c r="A887" s="944" t="s">
        <v>293</v>
      </c>
      <c r="B887" s="241" t="s">
        <v>269</v>
      </c>
      <c r="C887" s="3" t="s">
        <v>284</v>
      </c>
      <c r="D887" s="2" t="s">
        <v>586</v>
      </c>
      <c r="E887" s="114">
        <v>0.1</v>
      </c>
      <c r="F887" s="23">
        <f>H886</f>
        <v>67396.2</v>
      </c>
      <c r="G887" s="104">
        <v>0</v>
      </c>
      <c r="H887" s="252">
        <f t="shared" si="48"/>
        <v>6739.62</v>
      </c>
    </row>
    <row r="888" spans="1:9" x14ac:dyDescent="0.2">
      <c r="A888" s="944"/>
      <c r="B888" s="241" t="s">
        <v>668</v>
      </c>
      <c r="C888" s="3" t="s">
        <v>669</v>
      </c>
      <c r="D888" s="2" t="s">
        <v>585</v>
      </c>
      <c r="E888" s="114">
        <v>1</v>
      </c>
      <c r="F888" s="23">
        <f>VLOOKUP(B888,'BASE DE DATOS'!$A$5:$E$997,5,FALSE)</f>
        <v>58310</v>
      </c>
      <c r="G888" s="104">
        <f>1/50</f>
        <v>0.02</v>
      </c>
      <c r="H888" s="252">
        <f t="shared" si="48"/>
        <v>1166.2</v>
      </c>
    </row>
    <row r="889" spans="1:9" ht="13.5" thickBot="1" x14ac:dyDescent="0.25">
      <c r="A889" s="132" t="s">
        <v>139</v>
      </c>
      <c r="B889" s="530" t="s">
        <v>135</v>
      </c>
      <c r="C889" s="108" t="s">
        <v>136</v>
      </c>
      <c r="D889" s="109" t="s">
        <v>411</v>
      </c>
      <c r="E889" s="200">
        <f>5/50</f>
        <v>0.1</v>
      </c>
      <c r="F889" s="110">
        <f>VLOOKUP(B889,'BASE DE DATOS'!$A$5:$E$997,5,FALSE)</f>
        <v>12852</v>
      </c>
      <c r="G889" s="156">
        <v>0</v>
      </c>
      <c r="H889" s="255">
        <f t="shared" si="48"/>
        <v>1285.2</v>
      </c>
    </row>
    <row r="890" spans="1:9" s="42" customFormat="1" ht="45" x14ac:dyDescent="0.2">
      <c r="A890" s="458" t="s">
        <v>843</v>
      </c>
      <c r="B890" s="529"/>
      <c r="C890" s="388" t="s">
        <v>3908</v>
      </c>
      <c r="D890" s="389" t="s">
        <v>3251</v>
      </c>
      <c r="E890" s="395"/>
      <c r="F890" s="391">
        <f>ROUND(SUM(H890:H904),0)</f>
        <v>110847</v>
      </c>
      <c r="G890" s="392"/>
      <c r="H890" s="393"/>
      <c r="I890" s="738"/>
    </row>
    <row r="891" spans="1:9" ht="14.25" customHeight="1" x14ac:dyDescent="0.2">
      <c r="A891" s="939" t="s">
        <v>295</v>
      </c>
      <c r="B891" s="241" t="s">
        <v>1264</v>
      </c>
      <c r="C891" s="3" t="s">
        <v>641</v>
      </c>
      <c r="D891" s="2" t="s">
        <v>642</v>
      </c>
      <c r="E891" s="114">
        <v>0.05</v>
      </c>
      <c r="F891" s="23">
        <f>VLOOKUP(B891,'BASE DE DATOS'!$A$5:$E$997,5,FALSE)</f>
        <v>10959</v>
      </c>
      <c r="G891" s="104">
        <v>0</v>
      </c>
      <c r="H891" s="252">
        <f>IF(G891&gt;0,(G891*F891*E891),(F891*E891))</f>
        <v>547.95000000000005</v>
      </c>
    </row>
    <row r="892" spans="1:9" ht="14.25" customHeight="1" x14ac:dyDescent="0.2">
      <c r="A892" s="939"/>
      <c r="B892" s="241" t="s">
        <v>1290</v>
      </c>
      <c r="C892" s="3" t="s">
        <v>2697</v>
      </c>
      <c r="D892" s="2" t="s">
        <v>406</v>
      </c>
      <c r="E892" s="114">
        <v>0.2</v>
      </c>
      <c r="F892" s="23">
        <f>VLOOKUP(B892,'BASE DE DATOS'!$A$5:$E$997,5,FALSE)</f>
        <v>13045</v>
      </c>
      <c r="G892" s="104">
        <v>1.03</v>
      </c>
      <c r="H892" s="252">
        <f>IF(G892&gt;0,(G892*F892*E892),(F892*E892))</f>
        <v>2687.2700000000004</v>
      </c>
    </row>
    <row r="893" spans="1:9" ht="14.25" x14ac:dyDescent="0.2">
      <c r="A893" s="939"/>
      <c r="B893" s="241" t="s">
        <v>1761</v>
      </c>
      <c r="C893" s="3" t="s">
        <v>3804</v>
      </c>
      <c r="D893" s="2" t="s">
        <v>288</v>
      </c>
      <c r="E893" s="114">
        <v>1.54</v>
      </c>
      <c r="F893" s="23">
        <f>VLOOKUP(B893,'BASE DE DATOS'!$A$5:$E$997,5,FALSE)</f>
        <v>19990</v>
      </c>
      <c r="G893" s="104">
        <v>0</v>
      </c>
      <c r="H893" s="252">
        <f t="shared" ref="H893:H904" si="49">IF(G893&gt;0,(G893*F893*E893),(F893*E893))</f>
        <v>30784.600000000002</v>
      </c>
    </row>
    <row r="894" spans="1:9" ht="13.9" customHeight="1" x14ac:dyDescent="0.2">
      <c r="A894" s="939"/>
      <c r="B894" s="241" t="s">
        <v>1558</v>
      </c>
      <c r="C894" s="3" t="s">
        <v>2023</v>
      </c>
      <c r="D894" s="2" t="s">
        <v>590</v>
      </c>
      <c r="E894" s="114">
        <v>0.1</v>
      </c>
      <c r="F894" s="23">
        <f>VLOOKUP(B894,'BASE DE DATOS'!$A$5:$E$997,5,FALSE)</f>
        <v>5650</v>
      </c>
      <c r="G894" s="104">
        <v>0</v>
      </c>
      <c r="H894" s="252">
        <f>IF(G894&gt;0,(G894*F894*E894),(F894*E894))</f>
        <v>565</v>
      </c>
    </row>
    <row r="895" spans="1:9" ht="13.15" customHeight="1" x14ac:dyDescent="0.2">
      <c r="A895" s="939"/>
      <c r="B895" s="241" t="s">
        <v>1711</v>
      </c>
      <c r="C895" s="3" t="s">
        <v>632</v>
      </c>
      <c r="D895" s="2" t="s">
        <v>405</v>
      </c>
      <c r="E895" s="114">
        <v>1</v>
      </c>
      <c r="F895" s="23">
        <f>VLOOKUP(B895,'BASE DE DATOS'!$A$5:$E$997,5,FALSE)</f>
        <v>10991</v>
      </c>
      <c r="G895" s="104">
        <f>1/4</f>
        <v>0.25</v>
      </c>
      <c r="H895" s="252">
        <f>IF(G895&gt;0,(G895*F895*E895),(F895*E895))</f>
        <v>2747.75</v>
      </c>
    </row>
    <row r="896" spans="1:9" x14ac:dyDescent="0.2">
      <c r="A896" s="939"/>
      <c r="B896" s="241" t="s">
        <v>1690</v>
      </c>
      <c r="C896" s="103" t="s">
        <v>2749</v>
      </c>
      <c r="D896" s="2" t="s">
        <v>405</v>
      </c>
      <c r="E896" s="114">
        <v>3</v>
      </c>
      <c r="F896" s="23">
        <f>VLOOKUP(B896,'BASE DE DATOS'!$A$5:$E$997,5,FALSE)</f>
        <v>1540</v>
      </c>
      <c r="G896" s="104">
        <f>1/4</f>
        <v>0.25</v>
      </c>
      <c r="H896" s="252">
        <f t="shared" ref="H896" si="50">IF(G896&gt;0,(G896*F896*E896),(F896*E896))</f>
        <v>1155</v>
      </c>
    </row>
    <row r="897" spans="1:9" s="25" customFormat="1" ht="14.25" x14ac:dyDescent="0.2">
      <c r="A897" s="946" t="s">
        <v>3252</v>
      </c>
      <c r="B897" s="241" t="s">
        <v>799</v>
      </c>
      <c r="C897" s="3" t="s">
        <v>2089</v>
      </c>
      <c r="D897" s="2" t="s">
        <v>285</v>
      </c>
      <c r="E897" s="114">
        <v>0.1</v>
      </c>
      <c r="F897" s="23">
        <f>F34</f>
        <v>482282</v>
      </c>
      <c r="G897" s="104">
        <v>1.03</v>
      </c>
      <c r="H897" s="252">
        <f t="shared" si="49"/>
        <v>49675.046000000002</v>
      </c>
    </row>
    <row r="898" spans="1:9" ht="14.25" x14ac:dyDescent="0.2">
      <c r="A898" s="946"/>
      <c r="B898" s="241" t="s">
        <v>726</v>
      </c>
      <c r="C898" s="3" t="s">
        <v>2029</v>
      </c>
      <c r="D898" s="2" t="s">
        <v>288</v>
      </c>
      <c r="E898" s="114">
        <v>1</v>
      </c>
      <c r="F898" s="23">
        <f>F260</f>
        <v>60474</v>
      </c>
      <c r="G898" s="104">
        <v>0.12</v>
      </c>
      <c r="H898" s="252">
        <f>IF(G898&gt;0,(G898*F898*E898),(F898*E898))</f>
        <v>7256.88</v>
      </c>
    </row>
    <row r="899" spans="1:9" ht="25.5" x14ac:dyDescent="0.2">
      <c r="A899" s="946"/>
      <c r="B899" s="241" t="s">
        <v>815</v>
      </c>
      <c r="C899" s="3" t="s">
        <v>2019</v>
      </c>
      <c r="D899" s="2" t="s">
        <v>288</v>
      </c>
      <c r="E899" s="114">
        <v>1</v>
      </c>
      <c r="F899" s="23">
        <f>F259</f>
        <v>20691.833333333332</v>
      </c>
      <c r="G899" s="104">
        <v>0.12</v>
      </c>
      <c r="H899" s="252">
        <f t="shared" ref="H899" si="51">IF(G899&gt;0,(G899*F899*E899),(F899*E899))</f>
        <v>2483.02</v>
      </c>
    </row>
    <row r="900" spans="1:9" x14ac:dyDescent="0.2">
      <c r="A900" s="81" t="s">
        <v>2555</v>
      </c>
      <c r="B900" s="241" t="s">
        <v>587</v>
      </c>
      <c r="C900" s="3" t="s">
        <v>588</v>
      </c>
      <c r="D900" s="2" t="s">
        <v>585</v>
      </c>
      <c r="E900" s="114">
        <v>1</v>
      </c>
      <c r="F900" s="23">
        <f>VLOOKUP(B900,'BASE DE DATOS'!$A$5:$E$997,5,FALSE)</f>
        <v>514339</v>
      </c>
      <c r="G900" s="104">
        <f>1/60</f>
        <v>1.6666666666666666E-2</v>
      </c>
      <c r="H900" s="252">
        <f t="shared" si="49"/>
        <v>8572.3166666666657</v>
      </c>
    </row>
    <row r="901" spans="1:9" x14ac:dyDescent="0.2">
      <c r="A901" s="944" t="s">
        <v>293</v>
      </c>
      <c r="B901" s="241" t="s">
        <v>269</v>
      </c>
      <c r="C901" s="3" t="s">
        <v>284</v>
      </c>
      <c r="D901" s="2" t="s">
        <v>586</v>
      </c>
      <c r="E901" s="114">
        <v>0.18</v>
      </c>
      <c r="F901" s="23">
        <f>H900</f>
        <v>8572.3166666666657</v>
      </c>
      <c r="G901" s="104">
        <v>0</v>
      </c>
      <c r="H901" s="252">
        <f t="shared" si="49"/>
        <v>1543.0169999999998</v>
      </c>
    </row>
    <row r="902" spans="1:9" x14ac:dyDescent="0.2">
      <c r="A902" s="944"/>
      <c r="B902" s="241" t="s">
        <v>663</v>
      </c>
      <c r="C902" s="3" t="s">
        <v>1950</v>
      </c>
      <c r="D902" s="2" t="s">
        <v>585</v>
      </c>
      <c r="E902" s="114">
        <v>2</v>
      </c>
      <c r="F902" s="23">
        <f>VLOOKUP(B902,'BASE DE DATOS'!$A$5:$E$997,5,FALSE)</f>
        <v>286</v>
      </c>
      <c r="G902" s="104">
        <v>0</v>
      </c>
      <c r="H902" s="252">
        <f t="shared" si="49"/>
        <v>572</v>
      </c>
    </row>
    <row r="903" spans="1:9" x14ac:dyDescent="0.2">
      <c r="A903" s="944"/>
      <c r="B903" s="241" t="s">
        <v>668</v>
      </c>
      <c r="C903" s="3" t="s">
        <v>669</v>
      </c>
      <c r="D903" s="2" t="s">
        <v>585</v>
      </c>
      <c r="E903" s="114">
        <v>1</v>
      </c>
      <c r="F903" s="23">
        <f>VLOOKUP(B903,'BASE DE DATOS'!$A$5:$E$997,5,FALSE)</f>
        <v>58310</v>
      </c>
      <c r="G903" s="104">
        <f>1/60</f>
        <v>1.6666666666666666E-2</v>
      </c>
      <c r="H903" s="252">
        <f t="shared" si="49"/>
        <v>971.83333333333337</v>
      </c>
    </row>
    <row r="904" spans="1:9" ht="13.5" thickBot="1" x14ac:dyDescent="0.25">
      <c r="A904" s="132" t="s">
        <v>139</v>
      </c>
      <c r="B904" s="530" t="s">
        <v>135</v>
      </c>
      <c r="C904" s="108" t="s">
        <v>136</v>
      </c>
      <c r="D904" s="109" t="s">
        <v>411</v>
      </c>
      <c r="E904" s="200">
        <f>5/50</f>
        <v>0.1</v>
      </c>
      <c r="F904" s="110">
        <f>VLOOKUP(B904,'BASE DE DATOS'!$A$5:$E$997,5,FALSE)</f>
        <v>12852</v>
      </c>
      <c r="G904" s="156">
        <v>0</v>
      </c>
      <c r="H904" s="255">
        <f t="shared" si="49"/>
        <v>1285.2</v>
      </c>
    </row>
    <row r="905" spans="1:9" s="42" customFormat="1" ht="45" x14ac:dyDescent="0.2">
      <c r="A905" s="458" t="s">
        <v>844</v>
      </c>
      <c r="B905" s="529"/>
      <c r="C905" s="388" t="s">
        <v>3909</v>
      </c>
      <c r="D905" s="389" t="s">
        <v>3251</v>
      </c>
      <c r="E905" s="395"/>
      <c r="F905" s="391">
        <f>ROUND(SUM(H905:H919),0)</f>
        <v>150067</v>
      </c>
      <c r="G905" s="392"/>
      <c r="H905" s="393"/>
      <c r="I905" s="738"/>
    </row>
    <row r="906" spans="1:9" ht="14.25" customHeight="1" x14ac:dyDescent="0.2">
      <c r="A906" s="939" t="s">
        <v>295</v>
      </c>
      <c r="B906" s="241" t="s">
        <v>1264</v>
      </c>
      <c r="C906" s="3" t="s">
        <v>641</v>
      </c>
      <c r="D906" s="2" t="s">
        <v>642</v>
      </c>
      <c r="E906" s="114">
        <v>0.05</v>
      </c>
      <c r="F906" s="23">
        <f>VLOOKUP(B906,'BASE DE DATOS'!$A$5:$E$997,5,FALSE)</f>
        <v>10959</v>
      </c>
      <c r="G906" s="104">
        <v>0</v>
      </c>
      <c r="H906" s="252">
        <f>IF(G906&gt;0,(G906*F906*E906),(F906*E906))</f>
        <v>547.95000000000005</v>
      </c>
    </row>
    <row r="907" spans="1:9" ht="14.25" customHeight="1" x14ac:dyDescent="0.2">
      <c r="A907" s="939"/>
      <c r="B907" s="241" t="s">
        <v>1290</v>
      </c>
      <c r="C907" s="3" t="s">
        <v>2697</v>
      </c>
      <c r="D907" s="2" t="s">
        <v>406</v>
      </c>
      <c r="E907" s="114">
        <v>0.2</v>
      </c>
      <c r="F907" s="23">
        <f>VLOOKUP(B907,'BASE DE DATOS'!$A$5:$E$997,5,FALSE)</f>
        <v>13045</v>
      </c>
      <c r="G907" s="104">
        <v>1.03</v>
      </c>
      <c r="H907" s="252">
        <f>IF(G907&gt;0,(G907*F907*E907),(F907*E907))</f>
        <v>2687.2700000000004</v>
      </c>
    </row>
    <row r="908" spans="1:9" ht="14.25" x14ac:dyDescent="0.2">
      <c r="A908" s="939"/>
      <c r="B908" s="241" t="s">
        <v>1766</v>
      </c>
      <c r="C908" s="3" t="s">
        <v>3805</v>
      </c>
      <c r="D908" s="2" t="s">
        <v>288</v>
      </c>
      <c r="E908" s="114">
        <v>1.5</v>
      </c>
      <c r="F908" s="23">
        <f>VLOOKUP(B908,'BASE DE DATOS'!$A$5:$E$997,5,FALSE)</f>
        <v>29985</v>
      </c>
      <c r="G908" s="104">
        <v>0</v>
      </c>
      <c r="H908" s="252">
        <f t="shared" ref="H908" si="52">IF(G908&gt;0,(G908*F908*E908),(F908*E908))</f>
        <v>44977.5</v>
      </c>
    </row>
    <row r="909" spans="1:9" ht="13.9" customHeight="1" x14ac:dyDescent="0.2">
      <c r="A909" s="939"/>
      <c r="B909" s="241" t="s">
        <v>1558</v>
      </c>
      <c r="C909" s="3" t="s">
        <v>2023</v>
      </c>
      <c r="D909" s="2" t="s">
        <v>590</v>
      </c>
      <c r="E909" s="114">
        <v>0.12</v>
      </c>
      <c r="F909" s="23">
        <f>VLOOKUP(B909,'BASE DE DATOS'!$A$5:$E$997,5,FALSE)</f>
        <v>5650</v>
      </c>
      <c r="G909" s="104">
        <v>0</v>
      </c>
      <c r="H909" s="252">
        <f>IF(G909&gt;0,(G909*F909*E909),(F909*E909))</f>
        <v>678</v>
      </c>
    </row>
    <row r="910" spans="1:9" ht="13.15" customHeight="1" x14ac:dyDescent="0.2">
      <c r="A910" s="939"/>
      <c r="B910" s="241" t="s">
        <v>1711</v>
      </c>
      <c r="C910" s="3" t="s">
        <v>632</v>
      </c>
      <c r="D910" s="2" t="s">
        <v>405</v>
      </c>
      <c r="E910" s="114">
        <v>1</v>
      </c>
      <c r="F910" s="23">
        <f>VLOOKUP(B910,'BASE DE DATOS'!$A$5:$E$997,5,FALSE)</f>
        <v>10991</v>
      </c>
      <c r="G910" s="104">
        <f>1/4</f>
        <v>0.25</v>
      </c>
      <c r="H910" s="252">
        <f>IF(G910&gt;0,(G910*F910*E910),(F910*E910))</f>
        <v>2747.75</v>
      </c>
    </row>
    <row r="911" spans="1:9" x14ac:dyDescent="0.2">
      <c r="A911" s="939"/>
      <c r="B911" s="241" t="s">
        <v>1690</v>
      </c>
      <c r="C911" s="103" t="s">
        <v>2749</v>
      </c>
      <c r="D911" s="2" t="s">
        <v>405</v>
      </c>
      <c r="E911" s="114">
        <v>3.2</v>
      </c>
      <c r="F911" s="23">
        <f>VLOOKUP(B911,'BASE DE DATOS'!$A$5:$E$997,5,FALSE)</f>
        <v>1540</v>
      </c>
      <c r="G911" s="104">
        <f>1/4</f>
        <v>0.25</v>
      </c>
      <c r="H911" s="252">
        <f t="shared" ref="H911:H912" si="53">IF(G911&gt;0,(G911*F911*E911),(F911*E911))</f>
        <v>1232</v>
      </c>
    </row>
    <row r="912" spans="1:9" s="25" customFormat="1" ht="14.25" x14ac:dyDescent="0.2">
      <c r="A912" s="946" t="s">
        <v>3252</v>
      </c>
      <c r="B912" s="241" t="s">
        <v>799</v>
      </c>
      <c r="C912" s="3" t="s">
        <v>2089</v>
      </c>
      <c r="D912" s="2" t="s">
        <v>285</v>
      </c>
      <c r="E912" s="114">
        <v>0.15</v>
      </c>
      <c r="F912" s="23">
        <f>F34</f>
        <v>482282</v>
      </c>
      <c r="G912" s="104">
        <v>1.03</v>
      </c>
      <c r="H912" s="252">
        <f t="shared" si="53"/>
        <v>74512.569000000003</v>
      </c>
    </row>
    <row r="913" spans="1:9" ht="14.25" x14ac:dyDescent="0.2">
      <c r="A913" s="946"/>
      <c r="B913" s="241" t="s">
        <v>726</v>
      </c>
      <c r="C913" s="3" t="s">
        <v>2029</v>
      </c>
      <c r="D913" s="2" t="s">
        <v>288</v>
      </c>
      <c r="E913" s="114">
        <v>1</v>
      </c>
      <c r="F913" s="23">
        <f>F260</f>
        <v>60474</v>
      </c>
      <c r="G913" s="104">
        <v>0.12</v>
      </c>
      <c r="H913" s="252">
        <f>IF(G913&gt;0,(G913*F913*E913),(F913*E913))</f>
        <v>7256.88</v>
      </c>
    </row>
    <row r="914" spans="1:9" ht="25.5" x14ac:dyDescent="0.2">
      <c r="A914" s="946"/>
      <c r="B914" s="241" t="s">
        <v>815</v>
      </c>
      <c r="C914" s="3" t="s">
        <v>2019</v>
      </c>
      <c r="D914" s="2" t="s">
        <v>288</v>
      </c>
      <c r="E914" s="114">
        <v>1</v>
      </c>
      <c r="F914" s="23">
        <f>F259</f>
        <v>20691.833333333332</v>
      </c>
      <c r="G914" s="104">
        <v>0.12</v>
      </c>
      <c r="H914" s="252">
        <f t="shared" ref="H914:H919" si="54">IF(G914&gt;0,(G914*F914*E914),(F914*E914))</f>
        <v>2483.02</v>
      </c>
    </row>
    <row r="915" spans="1:9" x14ac:dyDescent="0.2">
      <c r="A915" s="728" t="s">
        <v>2555</v>
      </c>
      <c r="B915" s="241" t="s">
        <v>587</v>
      </c>
      <c r="C915" s="3" t="s">
        <v>588</v>
      </c>
      <c r="D915" s="2" t="s">
        <v>585</v>
      </c>
      <c r="E915" s="114">
        <v>1</v>
      </c>
      <c r="F915" s="23">
        <f>VLOOKUP(B915,'BASE DE DATOS'!$A$5:$E$997,5,FALSE)</f>
        <v>514339</v>
      </c>
      <c r="G915" s="104">
        <f>1/60</f>
        <v>1.6666666666666666E-2</v>
      </c>
      <c r="H915" s="252">
        <f t="shared" si="54"/>
        <v>8572.3166666666657</v>
      </c>
    </row>
    <row r="916" spans="1:9" x14ac:dyDescent="0.2">
      <c r="A916" s="944" t="s">
        <v>293</v>
      </c>
      <c r="B916" s="241" t="s">
        <v>269</v>
      </c>
      <c r="C916" s="3" t="s">
        <v>284</v>
      </c>
      <c r="D916" s="2" t="s">
        <v>586</v>
      </c>
      <c r="E916" s="114">
        <v>0.18</v>
      </c>
      <c r="F916" s="23">
        <f>H915</f>
        <v>8572.3166666666657</v>
      </c>
      <c r="G916" s="104">
        <v>0</v>
      </c>
      <c r="H916" s="252">
        <f t="shared" si="54"/>
        <v>1543.0169999999998</v>
      </c>
    </row>
    <row r="917" spans="1:9" x14ac:dyDescent="0.2">
      <c r="A917" s="944"/>
      <c r="B917" s="241" t="s">
        <v>663</v>
      </c>
      <c r="C917" s="3" t="s">
        <v>1950</v>
      </c>
      <c r="D917" s="2" t="s">
        <v>585</v>
      </c>
      <c r="E917" s="114">
        <v>2</v>
      </c>
      <c r="F917" s="23">
        <f>VLOOKUP(B917,'BASE DE DATOS'!$A$5:$E$997,5,FALSE)</f>
        <v>286</v>
      </c>
      <c r="G917" s="104">
        <v>0</v>
      </c>
      <c r="H917" s="252">
        <f t="shared" si="54"/>
        <v>572</v>
      </c>
    </row>
    <row r="918" spans="1:9" x14ac:dyDescent="0.2">
      <c r="A918" s="944"/>
      <c r="B918" s="241" t="s">
        <v>668</v>
      </c>
      <c r="C918" s="3" t="s">
        <v>669</v>
      </c>
      <c r="D918" s="2" t="s">
        <v>585</v>
      </c>
      <c r="E918" s="114">
        <v>1</v>
      </c>
      <c r="F918" s="23">
        <f>VLOOKUP(B918,'BASE DE DATOS'!$A$5:$E$997,5,FALSE)</f>
        <v>58310</v>
      </c>
      <c r="G918" s="104">
        <f>1/60</f>
        <v>1.6666666666666666E-2</v>
      </c>
      <c r="H918" s="252">
        <f t="shared" si="54"/>
        <v>971.83333333333337</v>
      </c>
    </row>
    <row r="919" spans="1:9" ht="13.5" thickBot="1" x14ac:dyDescent="0.25">
      <c r="A919" s="132" t="s">
        <v>139</v>
      </c>
      <c r="B919" s="530" t="s">
        <v>135</v>
      </c>
      <c r="C919" s="108" t="s">
        <v>136</v>
      </c>
      <c r="D919" s="109" t="s">
        <v>411</v>
      </c>
      <c r="E919" s="200">
        <f>5/50</f>
        <v>0.1</v>
      </c>
      <c r="F919" s="110">
        <f>VLOOKUP(B919,'BASE DE DATOS'!$A$5:$E$997,5,FALSE)</f>
        <v>12852</v>
      </c>
      <c r="G919" s="156">
        <v>0</v>
      </c>
      <c r="H919" s="255">
        <f t="shared" si="54"/>
        <v>1285.2</v>
      </c>
    </row>
    <row r="920" spans="1:9" s="42" customFormat="1" ht="45" x14ac:dyDescent="0.2">
      <c r="A920" s="458" t="s">
        <v>845</v>
      </c>
      <c r="B920" s="529"/>
      <c r="C920" s="388" t="s">
        <v>3910</v>
      </c>
      <c r="D920" s="389" t="s">
        <v>3251</v>
      </c>
      <c r="E920" s="395"/>
      <c r="F920" s="391">
        <f>ROUND(SUM(H920:H934),0)</f>
        <v>181339</v>
      </c>
      <c r="G920" s="392"/>
      <c r="H920" s="393"/>
      <c r="I920" s="738"/>
    </row>
    <row r="921" spans="1:9" ht="14.25" customHeight="1" x14ac:dyDescent="0.2">
      <c r="A921" s="939" t="s">
        <v>295</v>
      </c>
      <c r="B921" s="241" t="s">
        <v>1264</v>
      </c>
      <c r="C921" s="3" t="s">
        <v>641</v>
      </c>
      <c r="D921" s="2" t="s">
        <v>642</v>
      </c>
      <c r="E921" s="114">
        <v>0.05</v>
      </c>
      <c r="F921" s="23">
        <f>VLOOKUP(B921,'BASE DE DATOS'!$A$5:$E$997,5,FALSE)</f>
        <v>10959</v>
      </c>
      <c r="G921" s="104">
        <v>0</v>
      </c>
      <c r="H921" s="252">
        <f>IF(G921&gt;0,(G921*F921*E921),(F921*E921))</f>
        <v>547.95000000000005</v>
      </c>
    </row>
    <row r="922" spans="1:9" ht="14.25" customHeight="1" x14ac:dyDescent="0.2">
      <c r="A922" s="939"/>
      <c r="B922" s="241" t="s">
        <v>1290</v>
      </c>
      <c r="C922" s="3" t="s">
        <v>2697</v>
      </c>
      <c r="D922" s="2" t="s">
        <v>406</v>
      </c>
      <c r="E922" s="114">
        <v>0.2</v>
      </c>
      <c r="F922" s="23">
        <f>VLOOKUP(B922,'BASE DE DATOS'!$A$5:$E$997,5,FALSE)</f>
        <v>13045</v>
      </c>
      <c r="G922" s="104">
        <v>1.03</v>
      </c>
      <c r="H922" s="252">
        <f>IF(G922&gt;0,(G922*F922*E922),(F922*E922))</f>
        <v>2687.2700000000004</v>
      </c>
    </row>
    <row r="923" spans="1:9" ht="14.25" x14ac:dyDescent="0.2">
      <c r="A923" s="939"/>
      <c r="B923" s="241" t="s">
        <v>1792</v>
      </c>
      <c r="C923" s="3" t="s">
        <v>3806</v>
      </c>
      <c r="D923" s="2" t="s">
        <v>288</v>
      </c>
      <c r="E923" s="114">
        <v>1.75</v>
      </c>
      <c r="F923" s="23">
        <f>VLOOKUP(B923,'BASE DE DATOS'!$A$5:$E$997,5,FALSE)</f>
        <v>34983</v>
      </c>
      <c r="G923" s="104">
        <v>0</v>
      </c>
      <c r="H923" s="252">
        <f t="shared" ref="H923" si="55">IF(G923&gt;0,(G923*F923*E923),(F923*E923))</f>
        <v>61220.25</v>
      </c>
    </row>
    <row r="924" spans="1:9" ht="13.9" customHeight="1" x14ac:dyDescent="0.2">
      <c r="A924" s="939"/>
      <c r="B924" s="241" t="s">
        <v>1558</v>
      </c>
      <c r="C924" s="3" t="s">
        <v>2023</v>
      </c>
      <c r="D924" s="2" t="s">
        <v>590</v>
      </c>
      <c r="E924" s="114">
        <v>0.14000000000000001</v>
      </c>
      <c r="F924" s="23">
        <f>VLOOKUP(B924,'BASE DE DATOS'!$A$5:$E$997,5,FALSE)</f>
        <v>5650</v>
      </c>
      <c r="G924" s="104">
        <v>0</v>
      </c>
      <c r="H924" s="252">
        <f>IF(G924&gt;0,(G924*F924*E924),(F924*E924))</f>
        <v>791.00000000000011</v>
      </c>
    </row>
    <row r="925" spans="1:9" ht="13.15" customHeight="1" x14ac:dyDescent="0.2">
      <c r="A925" s="939"/>
      <c r="B925" s="241" t="s">
        <v>1711</v>
      </c>
      <c r="C925" s="3" t="s">
        <v>632</v>
      </c>
      <c r="D925" s="2" t="s">
        <v>405</v>
      </c>
      <c r="E925" s="114">
        <v>1.5</v>
      </c>
      <c r="F925" s="23">
        <f>VLOOKUP(B925,'BASE DE DATOS'!$A$5:$E$997,5,FALSE)</f>
        <v>10991</v>
      </c>
      <c r="G925" s="104">
        <f>1/4</f>
        <v>0.25</v>
      </c>
      <c r="H925" s="252">
        <f>IF(G925&gt;0,(G925*F925*E925),(F925*E925))</f>
        <v>4121.625</v>
      </c>
    </row>
    <row r="926" spans="1:9" x14ac:dyDescent="0.2">
      <c r="A926" s="939"/>
      <c r="B926" s="241" t="s">
        <v>1690</v>
      </c>
      <c r="C926" s="103" t="s">
        <v>2749</v>
      </c>
      <c r="D926" s="2" t="s">
        <v>405</v>
      </c>
      <c r="E926" s="114">
        <v>3.5</v>
      </c>
      <c r="F926" s="23">
        <f>VLOOKUP(B926,'BASE DE DATOS'!$A$5:$E$997,5,FALSE)</f>
        <v>1540</v>
      </c>
      <c r="G926" s="104">
        <f>1/4</f>
        <v>0.25</v>
      </c>
      <c r="H926" s="252">
        <f t="shared" ref="H926:H927" si="56">IF(G926&gt;0,(G926*F926*E926),(F926*E926))</f>
        <v>1347.5</v>
      </c>
    </row>
    <row r="927" spans="1:9" s="25" customFormat="1" ht="14.25" x14ac:dyDescent="0.2">
      <c r="A927" s="946" t="s">
        <v>3252</v>
      </c>
      <c r="B927" s="241" t="s">
        <v>799</v>
      </c>
      <c r="C927" s="3" t="s">
        <v>2089</v>
      </c>
      <c r="D927" s="2" t="s">
        <v>285</v>
      </c>
      <c r="E927" s="114">
        <v>0.17499999999999999</v>
      </c>
      <c r="F927" s="23">
        <f>F34</f>
        <v>482282</v>
      </c>
      <c r="G927" s="104">
        <v>1.03</v>
      </c>
      <c r="H927" s="252">
        <f t="shared" si="56"/>
        <v>86931.330499999996</v>
      </c>
    </row>
    <row r="928" spans="1:9" ht="14.25" x14ac:dyDescent="0.2">
      <c r="A928" s="946"/>
      <c r="B928" s="241" t="s">
        <v>726</v>
      </c>
      <c r="C928" s="3" t="s">
        <v>2029</v>
      </c>
      <c r="D928" s="2" t="s">
        <v>288</v>
      </c>
      <c r="E928" s="114">
        <v>1</v>
      </c>
      <c r="F928" s="23">
        <f>F260</f>
        <v>60474</v>
      </c>
      <c r="G928" s="104">
        <v>0.12</v>
      </c>
      <c r="H928" s="252">
        <f>IF(G928&gt;0,(G928*F928*E928),(F928*E928))</f>
        <v>7256.88</v>
      </c>
    </row>
    <row r="929" spans="1:9" ht="25.5" x14ac:dyDescent="0.2">
      <c r="A929" s="946"/>
      <c r="B929" s="241" t="s">
        <v>815</v>
      </c>
      <c r="C929" s="3" t="s">
        <v>2019</v>
      </c>
      <c r="D929" s="2" t="s">
        <v>288</v>
      </c>
      <c r="E929" s="114">
        <v>1</v>
      </c>
      <c r="F929" s="23">
        <f>F259</f>
        <v>20691.833333333332</v>
      </c>
      <c r="G929" s="104">
        <v>0.12</v>
      </c>
      <c r="H929" s="252">
        <f t="shared" ref="H929:H934" si="57">IF(G929&gt;0,(G929*F929*E929),(F929*E929))</f>
        <v>2483.02</v>
      </c>
    </row>
    <row r="930" spans="1:9" x14ac:dyDescent="0.2">
      <c r="A930" s="728" t="s">
        <v>2555</v>
      </c>
      <c r="B930" s="241" t="s">
        <v>587</v>
      </c>
      <c r="C930" s="3" t="s">
        <v>588</v>
      </c>
      <c r="D930" s="2" t="s">
        <v>585</v>
      </c>
      <c r="E930" s="114">
        <v>1</v>
      </c>
      <c r="F930" s="23">
        <f>VLOOKUP(B930,'BASE DE DATOS'!$A$5:$E$997,5,FALSE)</f>
        <v>514339</v>
      </c>
      <c r="G930" s="104">
        <f>1/55</f>
        <v>1.8181818181818181E-2</v>
      </c>
      <c r="H930" s="252">
        <f t="shared" si="57"/>
        <v>9351.6181818181813</v>
      </c>
    </row>
    <row r="931" spans="1:9" x14ac:dyDescent="0.2">
      <c r="A931" s="944" t="s">
        <v>293</v>
      </c>
      <c r="B931" s="241" t="s">
        <v>269</v>
      </c>
      <c r="C931" s="3" t="s">
        <v>284</v>
      </c>
      <c r="D931" s="2" t="s">
        <v>586</v>
      </c>
      <c r="E931" s="114">
        <v>0.18</v>
      </c>
      <c r="F931" s="23">
        <f>H930</f>
        <v>9351.6181818181813</v>
      </c>
      <c r="G931" s="104">
        <v>0</v>
      </c>
      <c r="H931" s="252">
        <f t="shared" si="57"/>
        <v>1683.2912727272726</v>
      </c>
    </row>
    <row r="932" spans="1:9" x14ac:dyDescent="0.2">
      <c r="A932" s="944"/>
      <c r="B932" s="241" t="s">
        <v>663</v>
      </c>
      <c r="C932" s="3" t="s">
        <v>1950</v>
      </c>
      <c r="D932" s="2" t="s">
        <v>585</v>
      </c>
      <c r="E932" s="114">
        <v>2</v>
      </c>
      <c r="F932" s="23">
        <f>VLOOKUP(B932,'BASE DE DATOS'!$A$5:$E$997,5,FALSE)</f>
        <v>286</v>
      </c>
      <c r="G932" s="104">
        <v>0</v>
      </c>
      <c r="H932" s="252">
        <f t="shared" si="57"/>
        <v>572</v>
      </c>
    </row>
    <row r="933" spans="1:9" x14ac:dyDescent="0.2">
      <c r="A933" s="944"/>
      <c r="B933" s="241" t="s">
        <v>668</v>
      </c>
      <c r="C933" s="3" t="s">
        <v>669</v>
      </c>
      <c r="D933" s="2" t="s">
        <v>585</v>
      </c>
      <c r="E933" s="114">
        <v>1</v>
      </c>
      <c r="F933" s="23">
        <f>VLOOKUP(B933,'BASE DE DATOS'!$A$5:$E$997,5,FALSE)</f>
        <v>58310</v>
      </c>
      <c r="G933" s="104">
        <f>1/55</f>
        <v>1.8181818181818181E-2</v>
      </c>
      <c r="H933" s="252">
        <f t="shared" si="57"/>
        <v>1060.1818181818182</v>
      </c>
    </row>
    <row r="934" spans="1:9" ht="13.5" thickBot="1" x14ac:dyDescent="0.25">
      <c r="A934" s="132" t="s">
        <v>139</v>
      </c>
      <c r="B934" s="530" t="s">
        <v>135</v>
      </c>
      <c r="C934" s="108" t="s">
        <v>136</v>
      </c>
      <c r="D934" s="109" t="s">
        <v>411</v>
      </c>
      <c r="E934" s="200">
        <f>5/50</f>
        <v>0.1</v>
      </c>
      <c r="F934" s="110">
        <f>VLOOKUP(B934,'BASE DE DATOS'!$A$5:$E$997,5,FALSE)</f>
        <v>12852</v>
      </c>
      <c r="G934" s="156">
        <v>0</v>
      </c>
      <c r="H934" s="255">
        <f t="shared" si="57"/>
        <v>1285.2</v>
      </c>
    </row>
    <row r="935" spans="1:9" s="42" customFormat="1" ht="45" x14ac:dyDescent="0.2">
      <c r="A935" s="458" t="s">
        <v>846</v>
      </c>
      <c r="B935" s="529"/>
      <c r="C935" s="388" t="s">
        <v>3911</v>
      </c>
      <c r="D935" s="389" t="s">
        <v>3251</v>
      </c>
      <c r="E935" s="395"/>
      <c r="F935" s="391">
        <f>ROUND(SUM(H935:H949),0)</f>
        <v>212611</v>
      </c>
      <c r="G935" s="392"/>
      <c r="H935" s="393"/>
      <c r="I935" s="738"/>
    </row>
    <row r="936" spans="1:9" ht="14.25" customHeight="1" x14ac:dyDescent="0.2">
      <c r="A936" s="939" t="s">
        <v>295</v>
      </c>
      <c r="B936" s="241" t="s">
        <v>1264</v>
      </c>
      <c r="C936" s="3" t="s">
        <v>641</v>
      </c>
      <c r="D936" s="2" t="s">
        <v>642</v>
      </c>
      <c r="E936" s="114">
        <v>0.05</v>
      </c>
      <c r="F936" s="23">
        <f>VLOOKUP(B936,'BASE DE DATOS'!$A$5:$E$997,5,FALSE)</f>
        <v>10959</v>
      </c>
      <c r="G936" s="104">
        <v>0</v>
      </c>
      <c r="H936" s="252">
        <f>IF(G936&gt;0,(G936*F936*E936),(F936*E936))</f>
        <v>547.95000000000005</v>
      </c>
    </row>
    <row r="937" spans="1:9" ht="14.25" customHeight="1" x14ac:dyDescent="0.2">
      <c r="A937" s="939"/>
      <c r="B937" s="241" t="s">
        <v>1290</v>
      </c>
      <c r="C937" s="3" t="s">
        <v>2697</v>
      </c>
      <c r="D937" s="2" t="s">
        <v>406</v>
      </c>
      <c r="E937" s="114">
        <v>0.2</v>
      </c>
      <c r="F937" s="23">
        <f>VLOOKUP(B937,'BASE DE DATOS'!$A$5:$E$997,5,FALSE)</f>
        <v>13045</v>
      </c>
      <c r="G937" s="104">
        <v>1.03</v>
      </c>
      <c r="H937" s="252">
        <f>IF(G937&gt;0,(G937*F937*E937),(F937*E937))</f>
        <v>2687.2700000000004</v>
      </c>
    </row>
    <row r="938" spans="1:9" ht="14.25" x14ac:dyDescent="0.2">
      <c r="A938" s="939"/>
      <c r="B938" s="241" t="s">
        <v>1793</v>
      </c>
      <c r="C938" s="3" t="s">
        <v>3807</v>
      </c>
      <c r="D938" s="2" t="s">
        <v>288</v>
      </c>
      <c r="E938" s="114">
        <v>2</v>
      </c>
      <c r="F938" s="23">
        <f>VLOOKUP(B938,'BASE DE DATOS'!$A$5:$E$997,5,FALSE)</f>
        <v>39980</v>
      </c>
      <c r="G938" s="104">
        <v>0</v>
      </c>
      <c r="H938" s="252">
        <f t="shared" ref="H938" si="58">IF(G938&gt;0,(G938*F938*E938),(F938*E938))</f>
        <v>79960</v>
      </c>
    </row>
    <row r="939" spans="1:9" ht="13.9" customHeight="1" x14ac:dyDescent="0.2">
      <c r="A939" s="939"/>
      <c r="B939" s="241" t="s">
        <v>1558</v>
      </c>
      <c r="C939" s="3" t="s">
        <v>2023</v>
      </c>
      <c r="D939" s="2" t="s">
        <v>590</v>
      </c>
      <c r="E939" s="114">
        <v>0.16</v>
      </c>
      <c r="F939" s="23">
        <f>VLOOKUP(B939,'BASE DE DATOS'!$A$5:$E$997,5,FALSE)</f>
        <v>5650</v>
      </c>
      <c r="G939" s="104">
        <v>0</v>
      </c>
      <c r="H939" s="252">
        <f>IF(G939&gt;0,(G939*F939*E939),(F939*E939))</f>
        <v>904</v>
      </c>
    </row>
    <row r="940" spans="1:9" ht="13.15" customHeight="1" x14ac:dyDescent="0.2">
      <c r="A940" s="939"/>
      <c r="B940" s="241" t="s">
        <v>1711</v>
      </c>
      <c r="C940" s="3" t="s">
        <v>632</v>
      </c>
      <c r="D940" s="2" t="s">
        <v>405</v>
      </c>
      <c r="E940" s="114">
        <v>1.5</v>
      </c>
      <c r="F940" s="23">
        <f>VLOOKUP(B940,'BASE DE DATOS'!$A$5:$E$997,5,FALSE)</f>
        <v>10991</v>
      </c>
      <c r="G940" s="104">
        <f>1/4</f>
        <v>0.25</v>
      </c>
      <c r="H940" s="252">
        <f>IF(G940&gt;0,(G940*F940*E940),(F940*E940))</f>
        <v>4121.625</v>
      </c>
    </row>
    <row r="941" spans="1:9" x14ac:dyDescent="0.2">
      <c r="A941" s="939"/>
      <c r="B941" s="241" t="s">
        <v>1690</v>
      </c>
      <c r="C941" s="103" t="s">
        <v>2749</v>
      </c>
      <c r="D941" s="2" t="s">
        <v>405</v>
      </c>
      <c r="E941" s="114">
        <v>3.5</v>
      </c>
      <c r="F941" s="23">
        <f>VLOOKUP(B941,'BASE DE DATOS'!$A$5:$E$997,5,FALSE)</f>
        <v>1540</v>
      </c>
      <c r="G941" s="104">
        <f>1/4</f>
        <v>0.25</v>
      </c>
      <c r="H941" s="252">
        <f t="shared" ref="H941:H942" si="59">IF(G941&gt;0,(G941*F941*E941),(F941*E941))</f>
        <v>1347.5</v>
      </c>
    </row>
    <row r="942" spans="1:9" s="25" customFormat="1" ht="14.25" x14ac:dyDescent="0.2">
      <c r="A942" s="946" t="s">
        <v>3252</v>
      </c>
      <c r="B942" s="241" t="s">
        <v>799</v>
      </c>
      <c r="C942" s="3" t="s">
        <v>2089</v>
      </c>
      <c r="D942" s="2" t="s">
        <v>285</v>
      </c>
      <c r="E942" s="114">
        <v>0.2</v>
      </c>
      <c r="F942" s="23">
        <f>F34</f>
        <v>482282</v>
      </c>
      <c r="G942" s="104">
        <v>1.03</v>
      </c>
      <c r="H942" s="252">
        <f t="shared" si="59"/>
        <v>99350.092000000004</v>
      </c>
    </row>
    <row r="943" spans="1:9" ht="14.25" x14ac:dyDescent="0.2">
      <c r="A943" s="946"/>
      <c r="B943" s="241" t="s">
        <v>726</v>
      </c>
      <c r="C943" s="3" t="s">
        <v>2029</v>
      </c>
      <c r="D943" s="2" t="s">
        <v>288</v>
      </c>
      <c r="E943" s="114">
        <v>1</v>
      </c>
      <c r="F943" s="23">
        <f>F260</f>
        <v>60474</v>
      </c>
      <c r="G943" s="104">
        <v>0.12</v>
      </c>
      <c r="H943" s="252">
        <f>IF(G943&gt;0,(G943*F943*E943),(F943*E943))</f>
        <v>7256.88</v>
      </c>
    </row>
    <row r="944" spans="1:9" ht="25.5" x14ac:dyDescent="0.2">
      <c r="A944" s="946"/>
      <c r="B944" s="241" t="s">
        <v>815</v>
      </c>
      <c r="C944" s="3" t="s">
        <v>2019</v>
      </c>
      <c r="D944" s="2" t="s">
        <v>288</v>
      </c>
      <c r="E944" s="114">
        <v>1</v>
      </c>
      <c r="F944" s="23">
        <f>F259</f>
        <v>20691.833333333332</v>
      </c>
      <c r="G944" s="104">
        <v>0.12</v>
      </c>
      <c r="H944" s="252">
        <f t="shared" ref="H944:H949" si="60">IF(G944&gt;0,(G944*F944*E944),(F944*E944))</f>
        <v>2483.02</v>
      </c>
    </row>
    <row r="945" spans="1:9" x14ac:dyDescent="0.2">
      <c r="A945" s="730" t="s">
        <v>2555</v>
      </c>
      <c r="B945" s="241" t="s">
        <v>587</v>
      </c>
      <c r="C945" s="3" t="s">
        <v>588</v>
      </c>
      <c r="D945" s="2" t="s">
        <v>585</v>
      </c>
      <c r="E945" s="114">
        <v>1</v>
      </c>
      <c r="F945" s="23">
        <f>VLOOKUP(B945,'BASE DE DATOS'!$A$5:$E$997,5,FALSE)</f>
        <v>514339</v>
      </c>
      <c r="G945" s="104">
        <f>1/55</f>
        <v>1.8181818181818181E-2</v>
      </c>
      <c r="H945" s="252">
        <f t="shared" si="60"/>
        <v>9351.6181818181813</v>
      </c>
    </row>
    <row r="946" spans="1:9" x14ac:dyDescent="0.2">
      <c r="A946" s="944" t="s">
        <v>293</v>
      </c>
      <c r="B946" s="241" t="s">
        <v>269</v>
      </c>
      <c r="C946" s="3" t="s">
        <v>284</v>
      </c>
      <c r="D946" s="2" t="s">
        <v>586</v>
      </c>
      <c r="E946" s="114">
        <v>0.18</v>
      </c>
      <c r="F946" s="23">
        <f>H945</f>
        <v>9351.6181818181813</v>
      </c>
      <c r="G946" s="104">
        <v>0</v>
      </c>
      <c r="H946" s="252">
        <f t="shared" si="60"/>
        <v>1683.2912727272726</v>
      </c>
    </row>
    <row r="947" spans="1:9" x14ac:dyDescent="0.2">
      <c r="A947" s="944"/>
      <c r="B947" s="241" t="s">
        <v>663</v>
      </c>
      <c r="C947" s="3" t="s">
        <v>1950</v>
      </c>
      <c r="D947" s="2" t="s">
        <v>585</v>
      </c>
      <c r="E947" s="114">
        <v>2</v>
      </c>
      <c r="F947" s="23">
        <f>VLOOKUP(B947,'BASE DE DATOS'!$A$5:$E$997,5,FALSE)</f>
        <v>286</v>
      </c>
      <c r="G947" s="104">
        <v>0</v>
      </c>
      <c r="H947" s="252">
        <f t="shared" si="60"/>
        <v>572</v>
      </c>
    </row>
    <row r="948" spans="1:9" x14ac:dyDescent="0.2">
      <c r="A948" s="944"/>
      <c r="B948" s="241" t="s">
        <v>668</v>
      </c>
      <c r="C948" s="3" t="s">
        <v>669</v>
      </c>
      <c r="D948" s="2" t="s">
        <v>585</v>
      </c>
      <c r="E948" s="114">
        <v>1</v>
      </c>
      <c r="F948" s="23">
        <f>VLOOKUP(B948,'BASE DE DATOS'!$A$5:$E$997,5,FALSE)</f>
        <v>58310</v>
      </c>
      <c r="G948" s="104">
        <f>1/55</f>
        <v>1.8181818181818181E-2</v>
      </c>
      <c r="H948" s="252">
        <f t="shared" si="60"/>
        <v>1060.1818181818182</v>
      </c>
    </row>
    <row r="949" spans="1:9" ht="13.5" thickBot="1" x14ac:dyDescent="0.25">
      <c r="A949" s="132" t="s">
        <v>139</v>
      </c>
      <c r="B949" s="530" t="s">
        <v>135</v>
      </c>
      <c r="C949" s="108" t="s">
        <v>136</v>
      </c>
      <c r="D949" s="109" t="s">
        <v>411</v>
      </c>
      <c r="E949" s="200">
        <f>5/50</f>
        <v>0.1</v>
      </c>
      <c r="F949" s="110">
        <f>VLOOKUP(B949,'BASE DE DATOS'!$A$5:$E$997,5,FALSE)</f>
        <v>12852</v>
      </c>
      <c r="G949" s="156">
        <v>0</v>
      </c>
      <c r="H949" s="255">
        <f t="shared" si="60"/>
        <v>1285.2</v>
      </c>
    </row>
    <row r="950" spans="1:9" s="42" customFormat="1" ht="30" x14ac:dyDescent="0.2">
      <c r="A950" s="458" t="s">
        <v>847</v>
      </c>
      <c r="B950" s="529"/>
      <c r="C950" s="388" t="s">
        <v>2031</v>
      </c>
      <c r="D950" s="389" t="s">
        <v>3251</v>
      </c>
      <c r="E950" s="395"/>
      <c r="F950" s="391">
        <f>ROUND(SUM(H950:H959),0)</f>
        <v>162652</v>
      </c>
      <c r="G950" s="392"/>
      <c r="H950" s="393"/>
      <c r="I950" s="738"/>
    </row>
    <row r="951" spans="1:9" x14ac:dyDescent="0.2">
      <c r="A951" s="936" t="s">
        <v>382</v>
      </c>
      <c r="B951" s="244" t="s">
        <v>1290</v>
      </c>
      <c r="C951" s="20" t="s">
        <v>2697</v>
      </c>
      <c r="D951" s="19" t="s">
        <v>406</v>
      </c>
      <c r="E951" s="194">
        <v>0.2</v>
      </c>
      <c r="F951" s="23">
        <f>VLOOKUP(B951,'BASE DE DATOS'!$A$5:$E$997,5,FALSE)</f>
        <v>13045</v>
      </c>
      <c r="G951" s="58">
        <v>1.03</v>
      </c>
      <c r="H951" s="252">
        <f>IF(G951&gt;0,(G951*F951*E951),(F951*E951))</f>
        <v>2687.2700000000004</v>
      </c>
    </row>
    <row r="952" spans="1:9" ht="14.25" x14ac:dyDescent="0.2">
      <c r="A952" s="936"/>
      <c r="B952" s="241" t="s">
        <v>1476</v>
      </c>
      <c r="C952" s="3" t="s">
        <v>3794</v>
      </c>
      <c r="D952" s="2" t="s">
        <v>288</v>
      </c>
      <c r="E952" s="114">
        <v>1</v>
      </c>
      <c r="F952" s="23">
        <f>VLOOKUP(B952,'BASE DE DATOS'!$A$5:$E$997,5,FALSE)</f>
        <v>13864</v>
      </c>
      <c r="G952" s="104">
        <v>1.1000000000000001</v>
      </c>
      <c r="H952" s="252">
        <f>IF(G952&gt;0,(G952*F952*E952),(F952*E952))</f>
        <v>15250.400000000001</v>
      </c>
    </row>
    <row r="953" spans="1:9" s="9" customFormat="1" ht="25.5" x14ac:dyDescent="0.2">
      <c r="A953" s="936"/>
      <c r="B953" s="241" t="s">
        <v>1720</v>
      </c>
      <c r="C953" s="3" t="s">
        <v>674</v>
      </c>
      <c r="D953" s="2" t="s">
        <v>288</v>
      </c>
      <c r="E953" s="114">
        <v>1</v>
      </c>
      <c r="F953" s="23">
        <f>VLOOKUP(B953,'BASE DE DATOS'!$A$5:$E$997,5,FALSE)</f>
        <v>61431</v>
      </c>
      <c r="G953" s="104">
        <v>0</v>
      </c>
      <c r="H953" s="252">
        <f t="shared" ref="H953:H970" si="61">IF(G953&gt;0,(G953*F953*E953),(F953*E953))</f>
        <v>61431</v>
      </c>
    </row>
    <row r="954" spans="1:9" ht="14.25" x14ac:dyDescent="0.2">
      <c r="A954" s="64" t="s">
        <v>3252</v>
      </c>
      <c r="B954" s="241" t="s">
        <v>799</v>
      </c>
      <c r="C954" s="3" t="s">
        <v>2089</v>
      </c>
      <c r="D954" s="2" t="s">
        <v>285</v>
      </c>
      <c r="E954" s="114">
        <v>6.2E-2</v>
      </c>
      <c r="F954" s="23">
        <f>F34</f>
        <v>482282</v>
      </c>
      <c r="G954" s="104">
        <v>1.05</v>
      </c>
      <c r="H954" s="252">
        <f t="shared" si="61"/>
        <v>31396.558200000003</v>
      </c>
    </row>
    <row r="955" spans="1:9" x14ac:dyDescent="0.2">
      <c r="A955" s="81" t="s">
        <v>2555</v>
      </c>
      <c r="B955" s="241" t="s">
        <v>587</v>
      </c>
      <c r="C955" s="3" t="s">
        <v>588</v>
      </c>
      <c r="D955" s="2" t="s">
        <v>585</v>
      </c>
      <c r="E955" s="114">
        <v>1</v>
      </c>
      <c r="F955" s="23">
        <f>VLOOKUP(B955,'BASE DE DATOS'!$A$5:$E$997,5,FALSE)</f>
        <v>514339</v>
      </c>
      <c r="G955" s="104">
        <f>1/12</f>
        <v>8.3333333333333329E-2</v>
      </c>
      <c r="H955" s="252">
        <f t="shared" si="61"/>
        <v>42861.583333333328</v>
      </c>
    </row>
    <row r="956" spans="1:9" ht="14.25" customHeight="1" x14ac:dyDescent="0.2">
      <c r="A956" s="988" t="s">
        <v>293</v>
      </c>
      <c r="B956" s="241" t="s">
        <v>269</v>
      </c>
      <c r="C956" s="3" t="s">
        <v>284</v>
      </c>
      <c r="D956" s="2" t="s">
        <v>586</v>
      </c>
      <c r="E956" s="114">
        <v>0.1</v>
      </c>
      <c r="F956" s="23">
        <f>H955</f>
        <v>42861.583333333328</v>
      </c>
      <c r="G956" s="104">
        <v>0</v>
      </c>
      <c r="H956" s="252">
        <f t="shared" si="61"/>
        <v>4286.1583333333328</v>
      </c>
    </row>
    <row r="957" spans="1:9" x14ac:dyDescent="0.2">
      <c r="A957" s="988"/>
      <c r="B957" s="241" t="s">
        <v>663</v>
      </c>
      <c r="C957" s="3" t="s">
        <v>1950</v>
      </c>
      <c r="D957" s="2" t="s">
        <v>585</v>
      </c>
      <c r="E957" s="114">
        <v>4</v>
      </c>
      <c r="F957" s="23">
        <f>VLOOKUP(B957,'BASE DE DATOS'!$A$5:$E$997,5,FALSE)</f>
        <v>286</v>
      </c>
      <c r="G957" s="104">
        <v>2</v>
      </c>
      <c r="H957" s="252">
        <f t="shared" ref="H957" si="62">IF(G957&gt;0,(G957*F957*E957),(F957*E957))</f>
        <v>2288</v>
      </c>
    </row>
    <row r="958" spans="1:9" s="9" customFormat="1" x14ac:dyDescent="0.2">
      <c r="A958" s="988"/>
      <c r="B958" s="241" t="s">
        <v>668</v>
      </c>
      <c r="C958" s="3" t="s">
        <v>669</v>
      </c>
      <c r="D958" s="2" t="s">
        <v>585</v>
      </c>
      <c r="E958" s="114">
        <v>1</v>
      </c>
      <c r="F958" s="23">
        <f>VLOOKUP(B958,'BASE DE DATOS'!$A$5:$E$997,5,FALSE)</f>
        <v>58310</v>
      </c>
      <c r="G958" s="104">
        <f>1/50</f>
        <v>0.02</v>
      </c>
      <c r="H958" s="252">
        <f t="shared" si="61"/>
        <v>1166.2</v>
      </c>
    </row>
    <row r="959" spans="1:9" ht="13.5" thickBot="1" x14ac:dyDescent="0.25">
      <c r="A959" s="132" t="s">
        <v>139</v>
      </c>
      <c r="B959" s="530" t="s">
        <v>135</v>
      </c>
      <c r="C959" s="108" t="s">
        <v>136</v>
      </c>
      <c r="D959" s="109" t="s">
        <v>411</v>
      </c>
      <c r="E959" s="200">
        <f>5/50</f>
        <v>0.1</v>
      </c>
      <c r="F959" s="110">
        <f>VLOOKUP(B959,'BASE DE DATOS'!$A$5:$E$997,5,FALSE)</f>
        <v>12852</v>
      </c>
      <c r="G959" s="156">
        <v>0</v>
      </c>
      <c r="H959" s="255">
        <f t="shared" si="61"/>
        <v>1285.2</v>
      </c>
    </row>
    <row r="960" spans="1:9" s="42" customFormat="1" ht="30" x14ac:dyDescent="0.2">
      <c r="A960" s="458" t="s">
        <v>848</v>
      </c>
      <c r="B960" s="529"/>
      <c r="C960" s="388" t="s">
        <v>2032</v>
      </c>
      <c r="D960" s="389" t="s">
        <v>3225</v>
      </c>
      <c r="E960" s="390"/>
      <c r="F960" s="391">
        <f>ROUND(SUM(H960:H973),0)</f>
        <v>1083660</v>
      </c>
      <c r="G960" s="392"/>
      <c r="H960" s="393"/>
      <c r="I960" s="738"/>
    </row>
    <row r="961" spans="1:9" x14ac:dyDescent="0.2">
      <c r="A961" s="939" t="s">
        <v>295</v>
      </c>
      <c r="B961" s="244" t="s">
        <v>1264</v>
      </c>
      <c r="C961" s="20" t="s">
        <v>641</v>
      </c>
      <c r="D961" s="19" t="s">
        <v>642</v>
      </c>
      <c r="E961" s="194">
        <v>0.6</v>
      </c>
      <c r="F961" s="23">
        <f>VLOOKUP(B961,'BASE DE DATOS'!$A$5:$E$997,5,FALSE)</f>
        <v>10959</v>
      </c>
      <c r="G961" s="58">
        <v>0</v>
      </c>
      <c r="H961" s="252">
        <f>IF(G961&gt;0,(G961*F961*E961),(F961*E961))</f>
        <v>6575.4</v>
      </c>
    </row>
    <row r="962" spans="1:9" x14ac:dyDescent="0.2">
      <c r="A962" s="939"/>
      <c r="B962" s="244" t="s">
        <v>1290</v>
      </c>
      <c r="C962" s="20" t="s">
        <v>2697</v>
      </c>
      <c r="D962" s="19" t="s">
        <v>406</v>
      </c>
      <c r="E962" s="194">
        <v>2.5</v>
      </c>
      <c r="F962" s="23">
        <f>VLOOKUP(B962,'BASE DE DATOS'!$A$5:$E$997,5,FALSE)</f>
        <v>13045</v>
      </c>
      <c r="G962" s="58">
        <v>1.03</v>
      </c>
      <c r="H962" s="252">
        <f>IF(G962&gt;0,(G962*F962*E962),(F962*E962))</f>
        <v>33590.875</v>
      </c>
    </row>
    <row r="963" spans="1:9" x14ac:dyDescent="0.2">
      <c r="A963" s="939"/>
      <c r="B963" s="244" t="s">
        <v>1367</v>
      </c>
      <c r="C963" s="20" t="s">
        <v>592</v>
      </c>
      <c r="D963" s="19" t="s">
        <v>405</v>
      </c>
      <c r="E963" s="194">
        <v>22</v>
      </c>
      <c r="F963" s="23">
        <f>VLOOKUP(B963,'BASE DE DATOS'!$A$5:$E$997,5,FALSE)</f>
        <v>6534</v>
      </c>
      <c r="G963" s="58">
        <v>0.2</v>
      </c>
      <c r="H963" s="252">
        <f t="shared" si="61"/>
        <v>28749.600000000006</v>
      </c>
    </row>
    <row r="964" spans="1:9" s="9" customFormat="1" x14ac:dyDescent="0.2">
      <c r="A964" s="939"/>
      <c r="B964" s="241" t="s">
        <v>1463</v>
      </c>
      <c r="C964" s="20" t="s">
        <v>593</v>
      </c>
      <c r="D964" s="19" t="s">
        <v>405</v>
      </c>
      <c r="E964" s="194">
        <v>22</v>
      </c>
      <c r="F964" s="23">
        <f>VLOOKUP(B964,'BASE DE DATOS'!$A$5:$E$997,5,FALSE)</f>
        <v>4704</v>
      </c>
      <c r="G964" s="58">
        <v>0.2</v>
      </c>
      <c r="H964" s="252">
        <f t="shared" si="61"/>
        <v>20697.600000000002</v>
      </c>
    </row>
    <row r="965" spans="1:9" x14ac:dyDescent="0.2">
      <c r="A965" s="939"/>
      <c r="B965" s="244" t="s">
        <v>1558</v>
      </c>
      <c r="C965" s="20" t="s">
        <v>2023</v>
      </c>
      <c r="D965" s="19" t="s">
        <v>590</v>
      </c>
      <c r="E965" s="194">
        <v>4</v>
      </c>
      <c r="F965" s="23">
        <f>VLOOKUP(B965,'BASE DE DATOS'!$A$5:$E$997,5,FALSE)</f>
        <v>5650</v>
      </c>
      <c r="G965" s="58">
        <v>0</v>
      </c>
      <c r="H965" s="252">
        <f t="shared" si="61"/>
        <v>22600</v>
      </c>
    </row>
    <row r="966" spans="1:9" ht="13.15" customHeight="1" x14ac:dyDescent="0.2">
      <c r="A966" s="939"/>
      <c r="B966" s="244" t="s">
        <v>1711</v>
      </c>
      <c r="C966" s="20" t="s">
        <v>632</v>
      </c>
      <c r="D966" s="19" t="s">
        <v>405</v>
      </c>
      <c r="E966" s="194">
        <v>38</v>
      </c>
      <c r="F966" s="23">
        <f>VLOOKUP(B966,'BASE DE DATOS'!$A$5:$E$997,5,FALSE)</f>
        <v>10991</v>
      </c>
      <c r="G966" s="58">
        <v>0.2</v>
      </c>
      <c r="H966" s="252">
        <f>IF(G966&gt;0,(G966*F966*E966),(F966*E966))</f>
        <v>83531.600000000006</v>
      </c>
    </row>
    <row r="967" spans="1:9" ht="14.25" x14ac:dyDescent="0.2">
      <c r="A967" s="64" t="s">
        <v>3252</v>
      </c>
      <c r="B967" s="244" t="s">
        <v>799</v>
      </c>
      <c r="C967" s="20" t="s">
        <v>2089</v>
      </c>
      <c r="D967" s="19" t="s">
        <v>285</v>
      </c>
      <c r="E967" s="194">
        <v>1</v>
      </c>
      <c r="F967" s="23">
        <f>F34</f>
        <v>482282</v>
      </c>
      <c r="G967" s="58">
        <v>1.05</v>
      </c>
      <c r="H967" s="252">
        <f t="shared" si="61"/>
        <v>506396.10000000003</v>
      </c>
    </row>
    <row r="968" spans="1:9" x14ac:dyDescent="0.2">
      <c r="A968" s="81" t="s">
        <v>2555</v>
      </c>
      <c r="B968" s="244" t="s">
        <v>605</v>
      </c>
      <c r="C968" s="20" t="s">
        <v>606</v>
      </c>
      <c r="D968" s="19" t="s">
        <v>585</v>
      </c>
      <c r="E968" s="194">
        <v>1</v>
      </c>
      <c r="F968" s="23">
        <f>VLOOKUP(B968,'BASE DE DATOS'!$A$5:$E$997,5,FALSE)</f>
        <v>673962</v>
      </c>
      <c r="G968" s="58">
        <f>1/2.5</f>
        <v>0.4</v>
      </c>
      <c r="H968" s="252">
        <f t="shared" si="61"/>
        <v>269584.8</v>
      </c>
    </row>
    <row r="969" spans="1:9" ht="14.25" customHeight="1" x14ac:dyDescent="0.2">
      <c r="A969" s="987" t="s">
        <v>293</v>
      </c>
      <c r="B969" s="244" t="s">
        <v>598</v>
      </c>
      <c r="C969" s="20" t="s">
        <v>3362</v>
      </c>
      <c r="D969" s="19" t="s">
        <v>586</v>
      </c>
      <c r="E969" s="194">
        <v>0.1</v>
      </c>
      <c r="F969" s="23">
        <f>H968</f>
        <v>269584.8</v>
      </c>
      <c r="G969" s="58">
        <v>0</v>
      </c>
      <c r="H969" s="252">
        <f>IF(G969&gt;0,(G969*F969*E969),(F969*E969))</f>
        <v>26958.48</v>
      </c>
    </row>
    <row r="970" spans="1:9" x14ac:dyDescent="0.2">
      <c r="A970" s="987"/>
      <c r="B970" s="244" t="s">
        <v>269</v>
      </c>
      <c r="C970" s="20" t="s">
        <v>284</v>
      </c>
      <c r="D970" s="19" t="s">
        <v>586</v>
      </c>
      <c r="E970" s="194">
        <v>0.1</v>
      </c>
      <c r="F970" s="56">
        <f>H968</f>
        <v>269584.8</v>
      </c>
      <c r="G970" s="58">
        <v>0</v>
      </c>
      <c r="H970" s="252">
        <f t="shared" si="61"/>
        <v>26958.48</v>
      </c>
    </row>
    <row r="971" spans="1:9" s="9" customFormat="1" x14ac:dyDescent="0.2">
      <c r="A971" s="987"/>
      <c r="B971" s="244" t="s">
        <v>668</v>
      </c>
      <c r="C971" s="20" t="s">
        <v>669</v>
      </c>
      <c r="D971" s="19" t="s">
        <v>585</v>
      </c>
      <c r="E971" s="194">
        <v>1</v>
      </c>
      <c r="F971" s="23">
        <f>VLOOKUP(B971,'BASE DE DATOS'!$A$5:$E$997,5,FALSE)</f>
        <v>58310</v>
      </c>
      <c r="G971" s="58">
        <f>1/10</f>
        <v>0.1</v>
      </c>
      <c r="H971" s="252">
        <f t="shared" ref="H971:H973" si="63">IF(G971&gt;0,(G971*F971*E971),(F971*E971))</f>
        <v>5831</v>
      </c>
    </row>
    <row r="972" spans="1:9" s="9" customFormat="1" x14ac:dyDescent="0.2">
      <c r="A972" s="987"/>
      <c r="B972" s="244" t="s">
        <v>663</v>
      </c>
      <c r="C972" s="20" t="s">
        <v>1950</v>
      </c>
      <c r="D972" s="19" t="s">
        <v>585</v>
      </c>
      <c r="E972" s="194">
        <v>16</v>
      </c>
      <c r="F972" s="23">
        <f>VLOOKUP(B972,'BASE DE DATOS'!$A$5:$E$997,5,FALSE)</f>
        <v>286</v>
      </c>
      <c r="G972" s="58">
        <v>10</v>
      </c>
      <c r="H972" s="252">
        <f>IF(G972&gt;0,(G972*F972*E972),(F972*E972))</f>
        <v>45760</v>
      </c>
    </row>
    <row r="973" spans="1:9" ht="13.5" thickBot="1" x14ac:dyDescent="0.25">
      <c r="A973" s="132" t="s">
        <v>139</v>
      </c>
      <c r="B973" s="531" t="s">
        <v>135</v>
      </c>
      <c r="C973" s="111" t="s">
        <v>136</v>
      </c>
      <c r="D973" s="112" t="s">
        <v>411</v>
      </c>
      <c r="E973" s="201">
        <f>5/10</f>
        <v>0.5</v>
      </c>
      <c r="F973" s="110">
        <f>VLOOKUP(B973,'BASE DE DATOS'!$A$5:$E$997,5,FALSE)</f>
        <v>12852</v>
      </c>
      <c r="G973" s="157">
        <v>0</v>
      </c>
      <c r="H973" s="255">
        <f t="shared" si="63"/>
        <v>6426</v>
      </c>
    </row>
    <row r="974" spans="1:9" s="42" customFormat="1" ht="30" x14ac:dyDescent="0.2">
      <c r="A974" s="458" t="s">
        <v>849</v>
      </c>
      <c r="B974" s="526"/>
      <c r="C974" s="399" t="s">
        <v>2033</v>
      </c>
      <c r="D974" s="326" t="s">
        <v>405</v>
      </c>
      <c r="E974" s="400"/>
      <c r="F974" s="401">
        <f>ROUND(SUM(H974:H987),0)</f>
        <v>100633</v>
      </c>
      <c r="G974" s="402"/>
      <c r="H974" s="330"/>
      <c r="I974" s="738"/>
    </row>
    <row r="975" spans="1:9" x14ac:dyDescent="0.2">
      <c r="A975" s="939" t="s">
        <v>295</v>
      </c>
      <c r="B975" s="244" t="s">
        <v>1264</v>
      </c>
      <c r="C975" s="20" t="s">
        <v>641</v>
      </c>
      <c r="D975" s="19" t="s">
        <v>642</v>
      </c>
      <c r="E975" s="194">
        <v>0.05</v>
      </c>
      <c r="F975" s="23">
        <f>VLOOKUP(B975,'BASE DE DATOS'!$A$5:$E$997,5,FALSE)</f>
        <v>10959</v>
      </c>
      <c r="G975" s="58">
        <v>0</v>
      </c>
      <c r="H975" s="252">
        <f>IF(G975&gt;0,(G975*F975*E975),(F975*E975))</f>
        <v>547.95000000000005</v>
      </c>
    </row>
    <row r="976" spans="1:9" x14ac:dyDescent="0.2">
      <c r="A976" s="939"/>
      <c r="B976" s="244" t="s">
        <v>1290</v>
      </c>
      <c r="C976" s="20" t="s">
        <v>2697</v>
      </c>
      <c r="D976" s="19" t="s">
        <v>406</v>
      </c>
      <c r="E976" s="194">
        <v>0.1</v>
      </c>
      <c r="F976" s="23">
        <f>VLOOKUP(B976,'BASE DE DATOS'!$A$5:$E$997,5,FALSE)</f>
        <v>13045</v>
      </c>
      <c r="G976" s="58">
        <v>1.03</v>
      </c>
      <c r="H976" s="252">
        <f>IF(G976&gt;0,(G976*F976*E976),(F976*E976))</f>
        <v>1343.6350000000002</v>
      </c>
      <c r="I976" s="742"/>
    </row>
    <row r="977" spans="1:9" s="9" customFormat="1" x14ac:dyDescent="0.2">
      <c r="A977" s="939"/>
      <c r="B977" s="241" t="s">
        <v>1463</v>
      </c>
      <c r="C977" s="20" t="s">
        <v>593</v>
      </c>
      <c r="D977" s="19" t="s">
        <v>405</v>
      </c>
      <c r="E977" s="194">
        <v>0.5</v>
      </c>
      <c r="F977" s="23">
        <f>VLOOKUP(B977,'BASE DE DATOS'!$A$5:$E$997,5,FALSE)</f>
        <v>4704</v>
      </c>
      <c r="G977" s="58">
        <v>0.2</v>
      </c>
      <c r="H977" s="252">
        <f t="shared" ref="H977" si="64">IF(G977&gt;0,(G977*F977*E977),(F977*E977))</f>
        <v>470.40000000000003</v>
      </c>
    </row>
    <row r="978" spans="1:9" x14ac:dyDescent="0.2">
      <c r="A978" s="939"/>
      <c r="B978" s="244" t="s">
        <v>1558</v>
      </c>
      <c r="C978" s="20" t="s">
        <v>2023</v>
      </c>
      <c r="D978" s="19" t="s">
        <v>590</v>
      </c>
      <c r="E978" s="194">
        <v>0.1</v>
      </c>
      <c r="F978" s="23">
        <f>VLOOKUP(B978,'BASE DE DATOS'!$A$5:$E$997,5,FALSE)</f>
        <v>5650</v>
      </c>
      <c r="G978" s="58">
        <v>0</v>
      </c>
      <c r="H978" s="252">
        <f t="shared" ref="H978:H987" si="65">IF(G978&gt;0,(G978*F978*E978),(F978*E978))</f>
        <v>565</v>
      </c>
    </row>
    <row r="979" spans="1:9" x14ac:dyDescent="0.2">
      <c r="A979" s="939"/>
      <c r="B979" s="244" t="s">
        <v>1711</v>
      </c>
      <c r="C979" s="20" t="s">
        <v>632</v>
      </c>
      <c r="D979" s="19" t="s">
        <v>405</v>
      </c>
      <c r="E979" s="194">
        <v>2</v>
      </c>
      <c r="F979" s="23">
        <f>VLOOKUP(B979,'BASE DE DATOS'!$A$5:$E$997,5,FALSE)</f>
        <v>10991</v>
      </c>
      <c r="G979" s="58">
        <f>1/3</f>
        <v>0.33333333333333331</v>
      </c>
      <c r="H979" s="252">
        <f>IF(G979&gt;0,(G979*F979*E979),(F979*E979))</f>
        <v>7327.333333333333</v>
      </c>
    </row>
    <row r="980" spans="1:9" x14ac:dyDescent="0.2">
      <c r="A980" s="939"/>
      <c r="B980" s="244" t="s">
        <v>1690</v>
      </c>
      <c r="C980" s="20" t="s">
        <v>2749</v>
      </c>
      <c r="D980" s="19" t="s">
        <v>405</v>
      </c>
      <c r="E980" s="194">
        <v>2</v>
      </c>
      <c r="F980" s="23">
        <f>VLOOKUP(B980,'BASE DE DATOS'!$A$5:$E$997,5,FALSE)</f>
        <v>1540</v>
      </c>
      <c r="G980" s="58">
        <f>1/3</f>
        <v>0.33333333333333331</v>
      </c>
      <c r="H980" s="252">
        <f t="shared" si="65"/>
        <v>1026.6666666666665</v>
      </c>
      <c r="I980" s="742"/>
    </row>
    <row r="981" spans="1:9" x14ac:dyDescent="0.2">
      <c r="A981" s="948" t="s">
        <v>3252</v>
      </c>
      <c r="B981" s="244" t="s">
        <v>814</v>
      </c>
      <c r="C981" s="16" t="s">
        <v>2018</v>
      </c>
      <c r="D981" s="19" t="s">
        <v>406</v>
      </c>
      <c r="E981" s="194">
        <v>4</v>
      </c>
      <c r="F981" s="23">
        <f>F118</f>
        <v>7440</v>
      </c>
      <c r="G981" s="58">
        <v>0</v>
      </c>
      <c r="H981" s="252">
        <f t="shared" si="65"/>
        <v>29760</v>
      </c>
    </row>
    <row r="982" spans="1:9" x14ac:dyDescent="0.2">
      <c r="A982" s="948"/>
      <c r="B982" s="244" t="s">
        <v>813</v>
      </c>
      <c r="C982" s="16" t="s">
        <v>2108</v>
      </c>
      <c r="D982" s="19" t="s">
        <v>406</v>
      </c>
      <c r="E982" s="194">
        <v>2.2999999999999998</v>
      </c>
      <c r="F982" s="23">
        <f>F113</f>
        <v>6882</v>
      </c>
      <c r="G982" s="58">
        <v>0</v>
      </c>
      <c r="H982" s="252">
        <f t="shared" si="65"/>
        <v>15828.599999999999</v>
      </c>
    </row>
    <row r="983" spans="1:9" s="9" customFormat="1" ht="14.25" customHeight="1" x14ac:dyDescent="0.2">
      <c r="A983" s="948"/>
      <c r="B983" s="244" t="s">
        <v>799</v>
      </c>
      <c r="C983" s="20" t="s">
        <v>2089</v>
      </c>
      <c r="D983" s="19" t="s">
        <v>285</v>
      </c>
      <c r="E983" s="194">
        <f>0.1*0.2</f>
        <v>2.0000000000000004E-2</v>
      </c>
      <c r="F983" s="23">
        <f>F34</f>
        <v>482282</v>
      </c>
      <c r="G983" s="58">
        <v>1.05</v>
      </c>
      <c r="H983" s="252">
        <f>IF(G983&gt;0,(G983*F983*E983),(F983*E983))</f>
        <v>10127.922000000002</v>
      </c>
      <c r="I983" s="742"/>
    </row>
    <row r="984" spans="1:9" x14ac:dyDescent="0.2">
      <c r="A984" s="81" t="s">
        <v>2555</v>
      </c>
      <c r="B984" s="244" t="s">
        <v>607</v>
      </c>
      <c r="C984" s="20" t="s">
        <v>608</v>
      </c>
      <c r="D984" s="19" t="s">
        <v>585</v>
      </c>
      <c r="E984" s="194">
        <v>1</v>
      </c>
      <c r="F984" s="23">
        <f>VLOOKUP(B984,'BASE DE DATOS'!$A$5:$E$997,5,FALSE)</f>
        <v>336981</v>
      </c>
      <c r="G984" s="58">
        <f>1/12.5</f>
        <v>0.08</v>
      </c>
      <c r="H984" s="252">
        <f t="shared" si="65"/>
        <v>26958.48</v>
      </c>
    </row>
    <row r="985" spans="1:9" x14ac:dyDescent="0.2">
      <c r="A985" s="944" t="s">
        <v>293</v>
      </c>
      <c r="B985" s="244" t="s">
        <v>598</v>
      </c>
      <c r="C985" s="20" t="s">
        <v>3362</v>
      </c>
      <c r="D985" s="19" t="s">
        <v>586</v>
      </c>
      <c r="E985" s="194">
        <v>0.1</v>
      </c>
      <c r="F985" s="23">
        <f>H984</f>
        <v>26958.48</v>
      </c>
      <c r="G985" s="58">
        <v>0</v>
      </c>
      <c r="H985" s="252">
        <f>IF(G985&gt;0,(G985*F985*E985),(F985*E985))</f>
        <v>2695.848</v>
      </c>
    </row>
    <row r="986" spans="1:9" x14ac:dyDescent="0.2">
      <c r="A986" s="944"/>
      <c r="B986" s="244" t="s">
        <v>269</v>
      </c>
      <c r="C986" s="20" t="s">
        <v>284</v>
      </c>
      <c r="D986" s="19" t="s">
        <v>586</v>
      </c>
      <c r="E986" s="194">
        <v>0.1</v>
      </c>
      <c r="F986" s="56">
        <f>H984</f>
        <v>26958.48</v>
      </c>
      <c r="G986" s="58">
        <v>0</v>
      </c>
      <c r="H986" s="252">
        <f t="shared" si="65"/>
        <v>2695.848</v>
      </c>
    </row>
    <row r="987" spans="1:9" ht="13.5" thickBot="1" x14ac:dyDescent="0.25">
      <c r="A987" s="132" t="s">
        <v>139</v>
      </c>
      <c r="B987" s="531" t="s">
        <v>135</v>
      </c>
      <c r="C987" s="111" t="s">
        <v>136</v>
      </c>
      <c r="D987" s="112" t="s">
        <v>411</v>
      </c>
      <c r="E987" s="201">
        <f>5/50</f>
        <v>0.1</v>
      </c>
      <c r="F987" s="110">
        <f>VLOOKUP(B987,'BASE DE DATOS'!$A$5:$E$997,5,FALSE)</f>
        <v>12852</v>
      </c>
      <c r="G987" s="157">
        <v>0</v>
      </c>
      <c r="H987" s="255">
        <f t="shared" si="65"/>
        <v>1285.2</v>
      </c>
    </row>
    <row r="988" spans="1:9" s="42" customFormat="1" ht="30" x14ac:dyDescent="0.2">
      <c r="A988" s="458" t="s">
        <v>850</v>
      </c>
      <c r="B988" s="556"/>
      <c r="C988" s="460" t="s">
        <v>3546</v>
      </c>
      <c r="D988" s="366" t="s">
        <v>405</v>
      </c>
      <c r="E988" s="461"/>
      <c r="F988" s="401">
        <f>ROUND(SUM(H988:H1001),0)</f>
        <v>125642</v>
      </c>
      <c r="G988" s="462"/>
      <c r="H988" s="330"/>
      <c r="I988" s="736"/>
    </row>
    <row r="989" spans="1:9" ht="13.15" customHeight="1" x14ac:dyDescent="0.2">
      <c r="A989" s="939" t="s">
        <v>295</v>
      </c>
      <c r="B989" s="241" t="s">
        <v>1264</v>
      </c>
      <c r="C989" s="3" t="s">
        <v>641</v>
      </c>
      <c r="D989" s="2" t="s">
        <v>642</v>
      </c>
      <c r="E989" s="114">
        <v>0.05</v>
      </c>
      <c r="F989" s="23">
        <f>VLOOKUP(B989,'BASE DE DATOS'!$A$5:$E$997,5,FALSE)</f>
        <v>10959</v>
      </c>
      <c r="G989" s="104">
        <v>0</v>
      </c>
      <c r="H989" s="252">
        <f>IF(G989&gt;0,(G989*F989*E989),(F989*E989))</f>
        <v>547.95000000000005</v>
      </c>
    </row>
    <row r="990" spans="1:9" x14ac:dyDescent="0.2">
      <c r="A990" s="939"/>
      <c r="B990" s="241" t="s">
        <v>1290</v>
      </c>
      <c r="C990" s="3" t="s">
        <v>2697</v>
      </c>
      <c r="D990" s="2" t="s">
        <v>406</v>
      </c>
      <c r="E990" s="114">
        <v>0.1</v>
      </c>
      <c r="F990" s="23">
        <f>VLOOKUP(B990,'BASE DE DATOS'!$A$5:$E$997,5,FALSE)</f>
        <v>13045</v>
      </c>
      <c r="G990" s="104">
        <v>1.03</v>
      </c>
      <c r="H990" s="252">
        <f>IF(G990&gt;0,(G990*F990*E990),(F990*E990))</f>
        <v>1343.6350000000002</v>
      </c>
    </row>
    <row r="991" spans="1:9" s="9" customFormat="1" x14ac:dyDescent="0.2">
      <c r="A991" s="939"/>
      <c r="B991" s="241" t="s">
        <v>1463</v>
      </c>
      <c r="C991" s="20" t="s">
        <v>593</v>
      </c>
      <c r="D991" s="19" t="s">
        <v>405</v>
      </c>
      <c r="E991" s="194">
        <v>0.5</v>
      </c>
      <c r="F991" s="23">
        <f>VLOOKUP(B991,'BASE DE DATOS'!$A$5:$E$997,5,FALSE)</f>
        <v>4704</v>
      </c>
      <c r="G991" s="58">
        <v>0.2</v>
      </c>
      <c r="H991" s="252">
        <f t="shared" ref="H991" si="66">IF(G991&gt;0,(G991*F991*E991),(F991*E991))</f>
        <v>470.40000000000003</v>
      </c>
    </row>
    <row r="992" spans="1:9" x14ac:dyDescent="0.2">
      <c r="A992" s="939"/>
      <c r="B992" s="241" t="s">
        <v>1558</v>
      </c>
      <c r="C992" s="3" t="s">
        <v>2023</v>
      </c>
      <c r="D992" s="2" t="s">
        <v>590</v>
      </c>
      <c r="E992" s="114">
        <v>0.1</v>
      </c>
      <c r="F992" s="23">
        <f>VLOOKUP(B992,'BASE DE DATOS'!$A$5:$E$997,5,FALSE)</f>
        <v>5650</v>
      </c>
      <c r="G992" s="104">
        <v>0</v>
      </c>
      <c r="H992" s="252">
        <f t="shared" ref="H992:H1001" si="67">IF(G992&gt;0,(G992*F992*E992),(F992*E992))</f>
        <v>565</v>
      </c>
    </row>
    <row r="993" spans="1:9" x14ac:dyDescent="0.2">
      <c r="A993" s="939"/>
      <c r="B993" s="244" t="s">
        <v>1711</v>
      </c>
      <c r="C993" s="20" t="s">
        <v>632</v>
      </c>
      <c r="D993" s="19" t="s">
        <v>405</v>
      </c>
      <c r="E993" s="194">
        <v>2</v>
      </c>
      <c r="F993" s="23">
        <f>VLOOKUP(B993,'BASE DE DATOS'!$A$5:$E$997,5,FALSE)</f>
        <v>10991</v>
      </c>
      <c r="G993" s="58">
        <f>1/3</f>
        <v>0.33333333333333331</v>
      </c>
      <c r="H993" s="252">
        <f>IF(G993&gt;0,(G993*F993*E993),(F993*E993))</f>
        <v>7327.333333333333</v>
      </c>
    </row>
    <row r="994" spans="1:9" x14ac:dyDescent="0.2">
      <c r="A994" s="939"/>
      <c r="B994" s="241" t="s">
        <v>1690</v>
      </c>
      <c r="C994" s="3" t="s">
        <v>2749</v>
      </c>
      <c r="D994" s="2" t="s">
        <v>405</v>
      </c>
      <c r="E994" s="114">
        <v>2</v>
      </c>
      <c r="F994" s="23">
        <f>VLOOKUP(B994,'BASE DE DATOS'!$A$5:$E$997,5,FALSE)</f>
        <v>1540</v>
      </c>
      <c r="G994" s="104">
        <f>1/3</f>
        <v>0.33333333333333331</v>
      </c>
      <c r="H994" s="252">
        <f t="shared" si="67"/>
        <v>1026.6666666666665</v>
      </c>
    </row>
    <row r="995" spans="1:9" ht="13.15" customHeight="1" x14ac:dyDescent="0.2">
      <c r="A995" s="948" t="s">
        <v>3252</v>
      </c>
      <c r="B995" s="241" t="s">
        <v>814</v>
      </c>
      <c r="C995" s="3" t="s">
        <v>2024</v>
      </c>
      <c r="D995" s="2" t="s">
        <v>406</v>
      </c>
      <c r="E995" s="114">
        <v>4</v>
      </c>
      <c r="F995" s="23">
        <f>F118</f>
        <v>7440</v>
      </c>
      <c r="G995" s="104">
        <v>0</v>
      </c>
      <c r="H995" s="252">
        <f t="shared" si="67"/>
        <v>29760</v>
      </c>
    </row>
    <row r="996" spans="1:9" x14ac:dyDescent="0.2">
      <c r="A996" s="948"/>
      <c r="B996" s="241" t="s">
        <v>813</v>
      </c>
      <c r="C996" s="11" t="s">
        <v>2108</v>
      </c>
      <c r="D996" s="2" t="s">
        <v>406</v>
      </c>
      <c r="E996" s="114">
        <v>2.86</v>
      </c>
      <c r="F996" s="23">
        <f>F113</f>
        <v>6882</v>
      </c>
      <c r="G996" s="104">
        <v>0</v>
      </c>
      <c r="H996" s="252">
        <f t="shared" si="67"/>
        <v>19682.52</v>
      </c>
    </row>
    <row r="997" spans="1:9" ht="14.25" customHeight="1" x14ac:dyDescent="0.2">
      <c r="A997" s="948"/>
      <c r="B997" s="241" t="s">
        <v>799</v>
      </c>
      <c r="C997" s="3" t="s">
        <v>2089</v>
      </c>
      <c r="D997" s="2" t="s">
        <v>285</v>
      </c>
      <c r="E997" s="114">
        <v>0.03</v>
      </c>
      <c r="F997" s="23">
        <f>F34</f>
        <v>482282</v>
      </c>
      <c r="G997" s="104">
        <v>1.05</v>
      </c>
      <c r="H997" s="252">
        <f>IF(G997&gt;0,(G997*F997*E997),(F997*E997))</f>
        <v>15191.883</v>
      </c>
    </row>
    <row r="998" spans="1:9" x14ac:dyDescent="0.2">
      <c r="A998" s="81" t="s">
        <v>2555</v>
      </c>
      <c r="B998" s="241" t="s">
        <v>607</v>
      </c>
      <c r="C998" s="3" t="s">
        <v>608</v>
      </c>
      <c r="D998" s="2" t="s">
        <v>585</v>
      </c>
      <c r="E998" s="114">
        <v>1</v>
      </c>
      <c r="F998" s="23">
        <f>VLOOKUP(B998,'BASE DE DATOS'!$A$5:$E$997,5,FALSE)</f>
        <v>336981</v>
      </c>
      <c r="G998" s="104">
        <f>1/8</f>
        <v>0.125</v>
      </c>
      <c r="H998" s="252">
        <f t="shared" si="67"/>
        <v>42122.625</v>
      </c>
    </row>
    <row r="999" spans="1:9" x14ac:dyDescent="0.2">
      <c r="A999" s="944" t="s">
        <v>293</v>
      </c>
      <c r="B999" s="241" t="s">
        <v>598</v>
      </c>
      <c r="C999" s="3" t="s">
        <v>3362</v>
      </c>
      <c r="D999" s="2" t="s">
        <v>586</v>
      </c>
      <c r="E999" s="114">
        <v>0.05</v>
      </c>
      <c r="F999" s="23">
        <f>H998</f>
        <v>42122.625</v>
      </c>
      <c r="G999" s="104">
        <v>0</v>
      </c>
      <c r="H999" s="252">
        <f>IF(G999&gt;0,(G999*F999*E999),(F999*E999))</f>
        <v>2106.1312499999999</v>
      </c>
    </row>
    <row r="1000" spans="1:9" x14ac:dyDescent="0.2">
      <c r="A1000" s="944"/>
      <c r="B1000" s="241" t="s">
        <v>269</v>
      </c>
      <c r="C1000" s="3" t="s">
        <v>284</v>
      </c>
      <c r="D1000" s="2" t="s">
        <v>586</v>
      </c>
      <c r="E1000" s="114">
        <v>0.1</v>
      </c>
      <c r="F1000" s="23">
        <f>H998</f>
        <v>42122.625</v>
      </c>
      <c r="G1000" s="104">
        <v>0</v>
      </c>
      <c r="H1000" s="252">
        <f t="shared" si="67"/>
        <v>4212.2624999999998</v>
      </c>
    </row>
    <row r="1001" spans="1:9" ht="13.5" thickBot="1" x14ac:dyDescent="0.25">
      <c r="A1001" s="132" t="s">
        <v>139</v>
      </c>
      <c r="B1001" s="530" t="s">
        <v>135</v>
      </c>
      <c r="C1001" s="108" t="s">
        <v>136</v>
      </c>
      <c r="D1001" s="109" t="s">
        <v>411</v>
      </c>
      <c r="E1001" s="200">
        <f>5/50</f>
        <v>0.1</v>
      </c>
      <c r="F1001" s="110">
        <f>VLOOKUP(B1001,'BASE DE DATOS'!$A$5:$E$997,5,FALSE)</f>
        <v>12852</v>
      </c>
      <c r="G1001" s="156">
        <v>0</v>
      </c>
      <c r="H1001" s="255">
        <f t="shared" si="67"/>
        <v>1285.2</v>
      </c>
    </row>
    <row r="1002" spans="1:9" s="42" customFormat="1" ht="30" x14ac:dyDescent="0.2">
      <c r="A1002" s="458" t="s">
        <v>851</v>
      </c>
      <c r="B1002" s="529"/>
      <c r="C1002" s="388" t="s">
        <v>3547</v>
      </c>
      <c r="D1002" s="389" t="s">
        <v>405</v>
      </c>
      <c r="E1002" s="395"/>
      <c r="F1002" s="391">
        <f>ROUND(SUM(H1002:H1013),0)</f>
        <v>77953</v>
      </c>
      <c r="G1002" s="392"/>
      <c r="H1002" s="393"/>
      <c r="I1002" s="738"/>
    </row>
    <row r="1003" spans="1:9" x14ac:dyDescent="0.2">
      <c r="A1003" s="939" t="s">
        <v>295</v>
      </c>
      <c r="B1003" s="241" t="s">
        <v>1264</v>
      </c>
      <c r="C1003" s="3" t="s">
        <v>641</v>
      </c>
      <c r="D1003" s="2" t="s">
        <v>642</v>
      </c>
      <c r="E1003" s="114">
        <v>0.04</v>
      </c>
      <c r="F1003" s="23">
        <f>VLOOKUP(B1003,'BASE DE DATOS'!$A$5:$E$997,5,FALSE)</f>
        <v>10959</v>
      </c>
      <c r="G1003" s="104">
        <v>0</v>
      </c>
      <c r="H1003" s="252">
        <f>IF(G1003&gt;0,(G1003*F1003*E1003),(F1003*E1003))</f>
        <v>438.36</v>
      </c>
    </row>
    <row r="1004" spans="1:9" x14ac:dyDescent="0.2">
      <c r="A1004" s="939"/>
      <c r="B1004" s="244" t="s">
        <v>1290</v>
      </c>
      <c r="C1004" s="20" t="s">
        <v>2697</v>
      </c>
      <c r="D1004" s="19" t="s">
        <v>406</v>
      </c>
      <c r="E1004" s="194">
        <v>0.1</v>
      </c>
      <c r="F1004" s="23">
        <f>VLOOKUP(B1004,'BASE DE DATOS'!$A$5:$E$997,5,FALSE)</f>
        <v>13045</v>
      </c>
      <c r="G1004" s="58">
        <v>1.03</v>
      </c>
      <c r="H1004" s="252">
        <f>IF(G1004&gt;0,(G1004*F1004*E1004),(F1004*E1004))</f>
        <v>1343.6350000000002</v>
      </c>
    </row>
    <row r="1005" spans="1:9" x14ac:dyDescent="0.2">
      <c r="A1005" s="939"/>
      <c r="B1005" s="244" t="s">
        <v>1558</v>
      </c>
      <c r="C1005" s="20" t="s">
        <v>2023</v>
      </c>
      <c r="D1005" s="19" t="s">
        <v>590</v>
      </c>
      <c r="E1005" s="194">
        <v>0.1</v>
      </c>
      <c r="F1005" s="23">
        <f>VLOOKUP(B1005,'BASE DE DATOS'!$A$5:$E$997,5,FALSE)</f>
        <v>5650</v>
      </c>
      <c r="G1005" s="58">
        <v>0</v>
      </c>
      <c r="H1005" s="252">
        <f t="shared" ref="H1005:H1013" si="68">IF(G1005&gt;0,(G1005*F1005*E1005),(F1005*E1005))</f>
        <v>565</v>
      </c>
    </row>
    <row r="1006" spans="1:9" x14ac:dyDescent="0.2">
      <c r="A1006" s="939"/>
      <c r="B1006" s="244" t="s">
        <v>1711</v>
      </c>
      <c r="C1006" s="20" t="s">
        <v>632</v>
      </c>
      <c r="D1006" s="19" t="s">
        <v>405</v>
      </c>
      <c r="E1006" s="194">
        <v>1</v>
      </c>
      <c r="F1006" s="23">
        <f>VLOOKUP(B1006,'BASE DE DATOS'!$A$5:$E$997,5,FALSE)</f>
        <v>10991</v>
      </c>
      <c r="G1006" s="58">
        <f>1/3</f>
        <v>0.33333333333333331</v>
      </c>
      <c r="H1006" s="252">
        <f>IF(G1006&gt;0,(G1006*F1006*E1006),(F1006*E1006))</f>
        <v>3663.6666666666665</v>
      </c>
    </row>
    <row r="1007" spans="1:9" x14ac:dyDescent="0.2">
      <c r="A1007" s="939"/>
      <c r="B1007" s="244" t="s">
        <v>1690</v>
      </c>
      <c r="C1007" s="20" t="s">
        <v>2749</v>
      </c>
      <c r="D1007" s="19" t="s">
        <v>405</v>
      </c>
      <c r="E1007" s="194">
        <v>1.5</v>
      </c>
      <c r="F1007" s="23">
        <f>VLOOKUP(B1007,'BASE DE DATOS'!$A$5:$E$997,5,FALSE)</f>
        <v>1540</v>
      </c>
      <c r="G1007" s="58">
        <f>1/3</f>
        <v>0.33333333333333331</v>
      </c>
      <c r="H1007" s="252">
        <f t="shared" si="68"/>
        <v>769.99999999999989</v>
      </c>
    </row>
    <row r="1008" spans="1:9" x14ac:dyDescent="0.2">
      <c r="A1008" s="940" t="s">
        <v>3252</v>
      </c>
      <c r="B1008" s="244" t="s">
        <v>813</v>
      </c>
      <c r="C1008" s="16" t="s">
        <v>2108</v>
      </c>
      <c r="D1008" s="19" t="s">
        <v>406</v>
      </c>
      <c r="E1008" s="194">
        <v>1.2</v>
      </c>
      <c r="F1008" s="23">
        <f>F113</f>
        <v>6882</v>
      </c>
      <c r="G1008" s="58">
        <v>0</v>
      </c>
      <c r="H1008" s="252">
        <f t="shared" si="68"/>
        <v>8258.4</v>
      </c>
    </row>
    <row r="1009" spans="1:9" x14ac:dyDescent="0.2">
      <c r="A1009" s="940"/>
      <c r="B1009" s="244" t="s">
        <v>814</v>
      </c>
      <c r="C1009" s="16" t="s">
        <v>2018</v>
      </c>
      <c r="D1009" s="19" t="s">
        <v>406</v>
      </c>
      <c r="E1009" s="194">
        <v>2</v>
      </c>
      <c r="F1009" s="23">
        <f>F118</f>
        <v>7440</v>
      </c>
      <c r="G1009" s="58">
        <v>0</v>
      </c>
      <c r="H1009" s="252">
        <f>IF(G1009&gt;0,(G1009*F1009*E1009),(F1009*E1009))</f>
        <v>14880</v>
      </c>
    </row>
    <row r="1010" spans="1:9" s="33" customFormat="1" ht="14.25" x14ac:dyDescent="0.2">
      <c r="A1010" s="940"/>
      <c r="B1010" s="244" t="s">
        <v>799</v>
      </c>
      <c r="C1010" s="20" t="s">
        <v>2089</v>
      </c>
      <c r="D1010" s="19" t="s">
        <v>285</v>
      </c>
      <c r="E1010" s="194">
        <v>1.4999999999999999E-2</v>
      </c>
      <c r="F1010" s="23">
        <f>F34</f>
        <v>482282</v>
      </c>
      <c r="G1010" s="58">
        <v>1.05</v>
      </c>
      <c r="H1010" s="252">
        <f>IF(G1010&gt;0,(G1010*F1010*E1010),(F1010*E1010))</f>
        <v>7595.9414999999999</v>
      </c>
    </row>
    <row r="1011" spans="1:9" x14ac:dyDescent="0.2">
      <c r="A1011" s="81" t="s">
        <v>2555</v>
      </c>
      <c r="B1011" s="241" t="s">
        <v>607</v>
      </c>
      <c r="C1011" s="3" t="s">
        <v>608</v>
      </c>
      <c r="D1011" s="2" t="s">
        <v>585</v>
      </c>
      <c r="E1011" s="114">
        <v>1</v>
      </c>
      <c r="F1011" s="23">
        <f>VLOOKUP(B1011,'BASE DE DATOS'!$A$5:$E$997,5,FALSE)</f>
        <v>336981</v>
      </c>
      <c r="G1011" s="104">
        <f>1/10</f>
        <v>0.1</v>
      </c>
      <c r="H1011" s="252">
        <f t="shared" si="68"/>
        <v>33698.1</v>
      </c>
    </row>
    <row r="1012" spans="1:9" x14ac:dyDescent="0.2">
      <c r="A1012" s="944" t="s">
        <v>293</v>
      </c>
      <c r="B1012" s="241" t="s">
        <v>598</v>
      </c>
      <c r="C1012" s="218" t="s">
        <v>3362</v>
      </c>
      <c r="D1012" s="219" t="s">
        <v>586</v>
      </c>
      <c r="E1012" s="114">
        <v>0.1</v>
      </c>
      <c r="F1012" s="220">
        <f>H1011</f>
        <v>33698.1</v>
      </c>
      <c r="G1012" s="187">
        <v>0</v>
      </c>
      <c r="H1012" s="252">
        <f>IF(G1012&gt;0,(G1012*F1012*E1012),(F1012*E1012))</f>
        <v>3369.81</v>
      </c>
    </row>
    <row r="1013" spans="1:9" ht="13.5" thickBot="1" x14ac:dyDescent="0.25">
      <c r="A1013" s="945"/>
      <c r="B1013" s="528" t="s">
        <v>269</v>
      </c>
      <c r="C1013" s="88" t="s">
        <v>284</v>
      </c>
      <c r="D1013" s="89" t="s">
        <v>586</v>
      </c>
      <c r="E1013" s="193">
        <v>0.1</v>
      </c>
      <c r="F1013" s="90">
        <f>H1011</f>
        <v>33698.1</v>
      </c>
      <c r="G1013" s="153">
        <v>0</v>
      </c>
      <c r="H1013" s="255">
        <f t="shared" si="68"/>
        <v>3369.81</v>
      </c>
    </row>
    <row r="1014" spans="1:9" s="42" customFormat="1" ht="32.25" x14ac:dyDescent="0.2">
      <c r="A1014" s="458" t="s">
        <v>852</v>
      </c>
      <c r="B1014" s="529"/>
      <c r="C1014" s="388" t="s">
        <v>3548</v>
      </c>
      <c r="D1014" s="389" t="s">
        <v>405</v>
      </c>
      <c r="E1014" s="390"/>
      <c r="F1014" s="391">
        <f>ROUND(SUM(H1014:H1027),0)</f>
        <v>266388</v>
      </c>
      <c r="G1014" s="392"/>
      <c r="H1014" s="393"/>
      <c r="I1014" s="738"/>
    </row>
    <row r="1015" spans="1:9" x14ac:dyDescent="0.2">
      <c r="A1015" s="939" t="s">
        <v>295</v>
      </c>
      <c r="B1015" s="241" t="s">
        <v>1264</v>
      </c>
      <c r="C1015" s="3" t="s">
        <v>641</v>
      </c>
      <c r="D1015" s="2" t="s">
        <v>642</v>
      </c>
      <c r="E1015" s="114">
        <v>0.05</v>
      </c>
      <c r="F1015" s="23">
        <f>VLOOKUP(B1015,'BASE DE DATOS'!$A$5:$E$997,5,FALSE)</f>
        <v>10959</v>
      </c>
      <c r="G1015" s="104">
        <v>0</v>
      </c>
      <c r="H1015" s="252">
        <f>IF(G1015&gt;0,(G1015*F1015*E1015),(F1015*E1015))</f>
        <v>547.95000000000005</v>
      </c>
    </row>
    <row r="1016" spans="1:9" x14ac:dyDescent="0.2">
      <c r="A1016" s="939"/>
      <c r="B1016" s="241" t="s">
        <v>1290</v>
      </c>
      <c r="C1016" s="3" t="s">
        <v>2697</v>
      </c>
      <c r="D1016" s="2" t="s">
        <v>406</v>
      </c>
      <c r="E1016" s="114">
        <v>0.2</v>
      </c>
      <c r="F1016" s="23">
        <f>VLOOKUP(B1016,'BASE DE DATOS'!$A$5:$E$997,5,FALSE)</f>
        <v>13045</v>
      </c>
      <c r="G1016" s="104">
        <v>1.03</v>
      </c>
      <c r="H1016" s="252">
        <f>IF(G1016&gt;0,(G1016*F1016*E1016),(F1016*E1016))</f>
        <v>2687.2700000000004</v>
      </c>
    </row>
    <row r="1017" spans="1:9" x14ac:dyDescent="0.2">
      <c r="A1017" s="939"/>
      <c r="B1017" s="241" t="s">
        <v>1367</v>
      </c>
      <c r="C1017" s="3" t="s">
        <v>592</v>
      </c>
      <c r="D1017" s="2" t="s">
        <v>405</v>
      </c>
      <c r="E1017" s="114">
        <v>7</v>
      </c>
      <c r="F1017" s="23">
        <f>VLOOKUP(B1017,'BASE DE DATOS'!$A$5:$E$997,5,FALSE)</f>
        <v>6534</v>
      </c>
      <c r="G1017" s="104">
        <v>0.25</v>
      </c>
      <c r="H1017" s="252">
        <f t="shared" ref="H1017:H1027" si="69">IF(G1017&gt;0,(G1017*F1017*E1017),(F1017*E1017))</f>
        <v>11434.5</v>
      </c>
    </row>
    <row r="1018" spans="1:9" x14ac:dyDescent="0.2">
      <c r="A1018" s="939"/>
      <c r="B1018" s="241" t="s">
        <v>1558</v>
      </c>
      <c r="C1018" s="3" t="s">
        <v>2023</v>
      </c>
      <c r="D1018" s="2" t="s">
        <v>590</v>
      </c>
      <c r="E1018" s="114">
        <v>0.5</v>
      </c>
      <c r="F1018" s="23">
        <f>VLOOKUP(B1018,'BASE DE DATOS'!$A$5:$E$997,5,FALSE)</f>
        <v>5650</v>
      </c>
      <c r="G1018" s="104">
        <v>0</v>
      </c>
      <c r="H1018" s="252">
        <f t="shared" si="69"/>
        <v>2825</v>
      </c>
    </row>
    <row r="1019" spans="1:9" s="33" customFormat="1" ht="13.15" customHeight="1" x14ac:dyDescent="0.2">
      <c r="A1019" s="939"/>
      <c r="B1019" s="241" t="s">
        <v>1711</v>
      </c>
      <c r="C1019" s="3" t="s">
        <v>632</v>
      </c>
      <c r="D1019" s="2" t="s">
        <v>405</v>
      </c>
      <c r="E1019" s="114">
        <v>6</v>
      </c>
      <c r="F1019" s="23">
        <f>VLOOKUP(B1019,'BASE DE DATOS'!$A$5:$E$997,5,FALSE)</f>
        <v>10991</v>
      </c>
      <c r="G1019" s="104">
        <v>0.25</v>
      </c>
      <c r="H1019" s="252">
        <f>IF(G1019&gt;0,(G1019*F1019*E1019),(F1019*E1019))</f>
        <v>16486.5</v>
      </c>
    </row>
    <row r="1020" spans="1:9" x14ac:dyDescent="0.2">
      <c r="A1020" s="939"/>
      <c r="B1020" s="241" t="s">
        <v>1690</v>
      </c>
      <c r="C1020" s="3" t="s">
        <v>2749</v>
      </c>
      <c r="D1020" s="2" t="s">
        <v>405</v>
      </c>
      <c r="E1020" s="114">
        <v>7</v>
      </c>
      <c r="F1020" s="23">
        <f>VLOOKUP(B1020,'BASE DE DATOS'!$A$5:$E$997,5,FALSE)</f>
        <v>1540</v>
      </c>
      <c r="G1020" s="104">
        <f>1/2</f>
        <v>0.5</v>
      </c>
      <c r="H1020" s="252">
        <f t="shared" si="69"/>
        <v>5390</v>
      </c>
    </row>
    <row r="1021" spans="1:9" ht="14.25" x14ac:dyDescent="0.2">
      <c r="A1021" s="64" t="s">
        <v>3252</v>
      </c>
      <c r="B1021" s="241" t="s">
        <v>802</v>
      </c>
      <c r="C1021" s="3" t="s">
        <v>2103</v>
      </c>
      <c r="D1021" s="2" t="s">
        <v>285</v>
      </c>
      <c r="E1021" s="114">
        <v>0.21</v>
      </c>
      <c r="F1021" s="23">
        <f>F58</f>
        <v>523640.36249999999</v>
      </c>
      <c r="G1021" s="104">
        <v>1.05</v>
      </c>
      <c r="H1021" s="252">
        <f t="shared" si="69"/>
        <v>115462.69993125</v>
      </c>
    </row>
    <row r="1022" spans="1:9" s="33" customFormat="1" x14ac:dyDescent="0.2">
      <c r="A1022" s="81" t="s">
        <v>2555</v>
      </c>
      <c r="B1022" s="241" t="s">
        <v>607</v>
      </c>
      <c r="C1022" s="3" t="s">
        <v>608</v>
      </c>
      <c r="D1022" s="2" t="s">
        <v>585</v>
      </c>
      <c r="E1022" s="114">
        <v>1</v>
      </c>
      <c r="F1022" s="23">
        <f>VLOOKUP(B1022,'BASE DE DATOS'!$A$5:$E$997,5,FALSE)</f>
        <v>336981</v>
      </c>
      <c r="G1022" s="104">
        <f>1/4</f>
        <v>0.25</v>
      </c>
      <c r="H1022" s="252">
        <f t="shared" si="69"/>
        <v>84245.25</v>
      </c>
    </row>
    <row r="1023" spans="1:9" x14ac:dyDescent="0.2">
      <c r="A1023" s="987" t="s">
        <v>293</v>
      </c>
      <c r="B1023" s="241" t="s">
        <v>598</v>
      </c>
      <c r="C1023" s="3" t="s">
        <v>3362</v>
      </c>
      <c r="D1023" s="2" t="s">
        <v>586</v>
      </c>
      <c r="E1023" s="114">
        <v>0.1</v>
      </c>
      <c r="F1023" s="23">
        <f>H1022</f>
        <v>84245.25</v>
      </c>
      <c r="G1023" s="104">
        <v>0</v>
      </c>
      <c r="H1023" s="252">
        <f>IF(G1023&gt;0,(G1023*F1023*E1023),(F1023*E1023))</f>
        <v>8424.5249999999996</v>
      </c>
    </row>
    <row r="1024" spans="1:9" x14ac:dyDescent="0.2">
      <c r="A1024" s="987"/>
      <c r="B1024" s="241" t="s">
        <v>269</v>
      </c>
      <c r="C1024" s="3" t="s">
        <v>284</v>
      </c>
      <c r="D1024" s="2" t="s">
        <v>586</v>
      </c>
      <c r="E1024" s="114">
        <v>0.1</v>
      </c>
      <c r="F1024" s="23">
        <f>H1022</f>
        <v>84245.25</v>
      </c>
      <c r="G1024" s="104">
        <v>0</v>
      </c>
      <c r="H1024" s="252">
        <f t="shared" si="69"/>
        <v>8424.5249999999996</v>
      </c>
    </row>
    <row r="1025" spans="1:9" x14ac:dyDescent="0.2">
      <c r="A1025" s="987"/>
      <c r="B1025" s="241" t="s">
        <v>663</v>
      </c>
      <c r="C1025" s="3" t="s">
        <v>1950</v>
      </c>
      <c r="D1025" s="2" t="s">
        <v>585</v>
      </c>
      <c r="E1025" s="114">
        <v>2</v>
      </c>
      <c r="F1025" s="23">
        <f>VLOOKUP(B1025,'BASE DE DATOS'!$A$5:$E$997,5,FALSE)</f>
        <v>286</v>
      </c>
      <c r="G1025" s="104">
        <v>14</v>
      </c>
      <c r="H1025" s="252">
        <f>IF(G1025&gt;0,(G1025*F1025*E1025),(F1025*E1025))</f>
        <v>8008</v>
      </c>
    </row>
    <row r="1026" spans="1:9" x14ac:dyDescent="0.2">
      <c r="A1026" s="987"/>
      <c r="B1026" s="241" t="s">
        <v>668</v>
      </c>
      <c r="C1026" s="3" t="s">
        <v>669</v>
      </c>
      <c r="D1026" s="2" t="s">
        <v>585</v>
      </c>
      <c r="E1026" s="114">
        <v>1</v>
      </c>
      <c r="F1026" s="23">
        <f>VLOOKUP(B1026,'BASE DE DATOS'!$A$5:$E$997,5,FALSE)</f>
        <v>58310</v>
      </c>
      <c r="G1026" s="104">
        <f>1/50</f>
        <v>0.02</v>
      </c>
      <c r="H1026" s="252">
        <f t="shared" si="69"/>
        <v>1166.2</v>
      </c>
    </row>
    <row r="1027" spans="1:9" ht="13.5" thickBot="1" x14ac:dyDescent="0.25">
      <c r="A1027" s="132" t="s">
        <v>139</v>
      </c>
      <c r="B1027" s="530" t="s">
        <v>135</v>
      </c>
      <c r="C1027" s="108" t="s">
        <v>136</v>
      </c>
      <c r="D1027" s="109" t="s">
        <v>411</v>
      </c>
      <c r="E1027" s="200">
        <f>5/50</f>
        <v>0.1</v>
      </c>
      <c r="F1027" s="110">
        <f>VLOOKUP(B1027,'BASE DE DATOS'!$A$5:$E$997,5,FALSE)</f>
        <v>12852</v>
      </c>
      <c r="G1027" s="156">
        <v>0</v>
      </c>
      <c r="H1027" s="255">
        <f t="shared" si="69"/>
        <v>1285.2</v>
      </c>
    </row>
    <row r="1028" spans="1:9" s="42" customFormat="1" ht="30" x14ac:dyDescent="0.2">
      <c r="A1028" s="458" t="s">
        <v>853</v>
      </c>
      <c r="B1028" s="529"/>
      <c r="C1028" s="388" t="s">
        <v>3549</v>
      </c>
      <c r="D1028" s="389" t="s">
        <v>405</v>
      </c>
      <c r="E1028" s="395"/>
      <c r="F1028" s="391">
        <f>ROUND(SUM(H1028:H1039),0)</f>
        <v>91636</v>
      </c>
      <c r="G1028" s="392"/>
      <c r="H1028" s="393"/>
      <c r="I1028" s="738"/>
    </row>
    <row r="1029" spans="1:9" x14ac:dyDescent="0.2">
      <c r="A1029" s="936" t="s">
        <v>382</v>
      </c>
      <c r="B1029" s="241" t="s">
        <v>1264</v>
      </c>
      <c r="C1029" s="3" t="s">
        <v>641</v>
      </c>
      <c r="D1029" s="2" t="s">
        <v>642</v>
      </c>
      <c r="E1029" s="114">
        <v>3.5000000000000003E-2</v>
      </c>
      <c r="F1029" s="23">
        <f>VLOOKUP(B1029,'BASE DE DATOS'!$A$5:$E$997,5,FALSE)</f>
        <v>10959</v>
      </c>
      <c r="G1029" s="104">
        <v>0</v>
      </c>
      <c r="H1029" s="252">
        <f>IF(G1029&gt;0,(G1029*F1029*E1029),(F1029*E1029))</f>
        <v>383.56500000000005</v>
      </c>
    </row>
    <row r="1030" spans="1:9" x14ac:dyDescent="0.2">
      <c r="A1030" s="936"/>
      <c r="B1030" s="241" t="s">
        <v>1290</v>
      </c>
      <c r="C1030" s="3" t="s">
        <v>2697</v>
      </c>
      <c r="D1030" s="2" t="s">
        <v>406</v>
      </c>
      <c r="E1030" s="114">
        <v>0.1</v>
      </c>
      <c r="F1030" s="23">
        <f>VLOOKUP(B1030,'BASE DE DATOS'!$A$5:$E$997,5,FALSE)</f>
        <v>13045</v>
      </c>
      <c r="G1030" s="104">
        <v>1.03</v>
      </c>
      <c r="H1030" s="252">
        <f>IF(G1030&gt;0,(G1030*F1030*E1030),(F1030*E1030))</f>
        <v>1343.6350000000002</v>
      </c>
    </row>
    <row r="1031" spans="1:9" x14ac:dyDescent="0.2">
      <c r="A1031" s="936"/>
      <c r="B1031" s="241" t="s">
        <v>1558</v>
      </c>
      <c r="C1031" s="3" t="s">
        <v>2023</v>
      </c>
      <c r="D1031" s="2" t="s">
        <v>590</v>
      </c>
      <c r="E1031" s="114">
        <v>0.2</v>
      </c>
      <c r="F1031" s="23">
        <f>VLOOKUP(B1031,'BASE DE DATOS'!$A$5:$E$997,5,FALSE)</f>
        <v>5650</v>
      </c>
      <c r="G1031" s="104">
        <v>0</v>
      </c>
      <c r="H1031" s="252">
        <f t="shared" ref="H1031:H1039" si="70">IF(G1031&gt;0,(G1031*F1031*E1031),(F1031*E1031))</f>
        <v>1130</v>
      </c>
    </row>
    <row r="1032" spans="1:9" s="33" customFormat="1" x14ac:dyDescent="0.2">
      <c r="A1032" s="936"/>
      <c r="B1032" s="241" t="s">
        <v>1711</v>
      </c>
      <c r="C1032" s="3" t="s">
        <v>632</v>
      </c>
      <c r="D1032" s="2" t="s">
        <v>405</v>
      </c>
      <c r="E1032" s="114">
        <v>1.5</v>
      </c>
      <c r="F1032" s="23">
        <f>VLOOKUP(B1032,'BASE DE DATOS'!$A$5:$E$997,5,FALSE)</f>
        <v>10991</v>
      </c>
      <c r="G1032" s="104">
        <v>0.25</v>
      </c>
      <c r="H1032" s="252">
        <f>IF(G1032&gt;0,(G1032*F1032*E1032),(F1032*E1032))</f>
        <v>4121.625</v>
      </c>
    </row>
    <row r="1033" spans="1:9" x14ac:dyDescent="0.2">
      <c r="A1033" s="936"/>
      <c r="B1033" s="241" t="s">
        <v>1690</v>
      </c>
      <c r="C1033" s="3" t="s">
        <v>2749</v>
      </c>
      <c r="D1033" s="2" t="s">
        <v>405</v>
      </c>
      <c r="E1033" s="114">
        <v>1</v>
      </c>
      <c r="F1033" s="23">
        <f>VLOOKUP(B1033,'BASE DE DATOS'!$A$5:$E$997,5,FALSE)</f>
        <v>1540</v>
      </c>
      <c r="G1033" s="104">
        <v>0.25</v>
      </c>
      <c r="H1033" s="252">
        <f t="shared" si="70"/>
        <v>385</v>
      </c>
    </row>
    <row r="1034" spans="1:9" x14ac:dyDescent="0.2">
      <c r="A1034" s="940" t="s">
        <v>3252</v>
      </c>
      <c r="B1034" s="241" t="s">
        <v>813</v>
      </c>
      <c r="C1034" s="16" t="s">
        <v>2108</v>
      </c>
      <c r="D1034" s="2" t="s">
        <v>406</v>
      </c>
      <c r="E1034" s="114">
        <v>1.7</v>
      </c>
      <c r="F1034" s="23">
        <f>F113</f>
        <v>6882</v>
      </c>
      <c r="G1034" s="104">
        <v>0</v>
      </c>
      <c r="H1034" s="252">
        <f>IF(G1034&gt;0,(G1034*F1034*E1034),(F1034*E1034))</f>
        <v>11699.4</v>
      </c>
    </row>
    <row r="1035" spans="1:9" x14ac:dyDescent="0.2">
      <c r="A1035" s="940"/>
      <c r="B1035" s="241" t="s">
        <v>814</v>
      </c>
      <c r="C1035" s="16" t="s">
        <v>2018</v>
      </c>
      <c r="D1035" s="2" t="s">
        <v>406</v>
      </c>
      <c r="E1035" s="114">
        <v>4</v>
      </c>
      <c r="F1035" s="23">
        <f>F118</f>
        <v>7440</v>
      </c>
      <c r="G1035" s="104">
        <v>0</v>
      </c>
      <c r="H1035" s="252">
        <f t="shared" si="70"/>
        <v>29760</v>
      </c>
    </row>
    <row r="1036" spans="1:9" ht="14.25" x14ac:dyDescent="0.2">
      <c r="A1036" s="940"/>
      <c r="B1036" s="241" t="s">
        <v>799</v>
      </c>
      <c r="C1036" s="3" t="s">
        <v>2089</v>
      </c>
      <c r="D1036" s="2" t="s">
        <v>285</v>
      </c>
      <c r="E1036" s="114">
        <v>1.7999999999999999E-2</v>
      </c>
      <c r="F1036" s="23">
        <f>F34</f>
        <v>482282</v>
      </c>
      <c r="G1036" s="104">
        <v>1.05</v>
      </c>
      <c r="H1036" s="252">
        <f>IF(G1036&gt;0,(G1036*F1036*E1036),(F1036*E1036))</f>
        <v>9115.1298000000006</v>
      </c>
    </row>
    <row r="1037" spans="1:9" x14ac:dyDescent="0.2">
      <c r="A1037" s="81" t="s">
        <v>2555</v>
      </c>
      <c r="B1037" s="241" t="s">
        <v>607</v>
      </c>
      <c r="C1037" s="3" t="s">
        <v>695</v>
      </c>
      <c r="D1037" s="2" t="s">
        <v>585</v>
      </c>
      <c r="E1037" s="114">
        <v>1</v>
      </c>
      <c r="F1037" s="23">
        <f>VLOOKUP(B1037,'BASE DE DATOS'!$A$5:$E$997,5,FALSE)</f>
        <v>336981</v>
      </c>
      <c r="G1037" s="104">
        <f>1/12</f>
        <v>8.3333333333333329E-2</v>
      </c>
      <c r="H1037" s="252">
        <f t="shared" si="70"/>
        <v>28081.75</v>
      </c>
    </row>
    <row r="1038" spans="1:9" x14ac:dyDescent="0.2">
      <c r="A1038" s="944" t="s">
        <v>293</v>
      </c>
      <c r="B1038" s="241" t="s">
        <v>598</v>
      </c>
      <c r="C1038" s="218" t="s">
        <v>3362</v>
      </c>
      <c r="D1038" s="219" t="s">
        <v>586</v>
      </c>
      <c r="E1038" s="114">
        <v>0.1</v>
      </c>
      <c r="F1038" s="220">
        <f>H1037</f>
        <v>28081.75</v>
      </c>
      <c r="G1038" s="187">
        <v>0</v>
      </c>
      <c r="H1038" s="252">
        <f>IF(G1038&gt;0,(G1038*F1038*E1038),(F1038*E1038))</f>
        <v>2808.1750000000002</v>
      </c>
    </row>
    <row r="1039" spans="1:9" s="33" customFormat="1" ht="13.5" thickBot="1" x14ac:dyDescent="0.25">
      <c r="A1039" s="945"/>
      <c r="B1039" s="528" t="s">
        <v>269</v>
      </c>
      <c r="C1039" s="88" t="s">
        <v>284</v>
      </c>
      <c r="D1039" s="89" t="s">
        <v>586</v>
      </c>
      <c r="E1039" s="193">
        <v>0.1</v>
      </c>
      <c r="F1039" s="90">
        <f>H1037</f>
        <v>28081.75</v>
      </c>
      <c r="G1039" s="153">
        <v>0</v>
      </c>
      <c r="H1039" s="255">
        <f t="shared" si="70"/>
        <v>2808.1750000000002</v>
      </c>
    </row>
    <row r="1040" spans="1:9" s="42" customFormat="1" ht="30" x14ac:dyDescent="0.2">
      <c r="A1040" s="458" t="s">
        <v>854</v>
      </c>
      <c r="B1040" s="529"/>
      <c r="C1040" s="388" t="s">
        <v>3550</v>
      </c>
      <c r="D1040" s="389" t="s">
        <v>405</v>
      </c>
      <c r="E1040" s="395"/>
      <c r="F1040" s="391">
        <f>ROUND(SUM(H1040:H1051),0)</f>
        <v>120453</v>
      </c>
      <c r="G1040" s="392"/>
      <c r="H1040" s="393"/>
      <c r="I1040" s="738"/>
    </row>
    <row r="1041" spans="1:9" x14ac:dyDescent="0.2">
      <c r="A1041" s="936" t="s">
        <v>382</v>
      </c>
      <c r="B1041" s="241" t="s">
        <v>1264</v>
      </c>
      <c r="C1041" s="3" t="s">
        <v>641</v>
      </c>
      <c r="D1041" s="2" t="s">
        <v>642</v>
      </c>
      <c r="E1041" s="114">
        <v>0.05</v>
      </c>
      <c r="F1041" s="23">
        <f>VLOOKUP(B1041,'BASE DE DATOS'!$A$5:$E$997,5,FALSE)</f>
        <v>10959</v>
      </c>
      <c r="G1041" s="104">
        <v>0</v>
      </c>
      <c r="H1041" s="252">
        <f>IF(G1041&gt;0,(G1041*F1041*E1041),(F1041*E1041))</f>
        <v>547.95000000000005</v>
      </c>
    </row>
    <row r="1042" spans="1:9" s="33" customFormat="1" x14ac:dyDescent="0.2">
      <c r="A1042" s="936"/>
      <c r="B1042" s="241" t="s">
        <v>1290</v>
      </c>
      <c r="C1042" s="3" t="s">
        <v>2697</v>
      </c>
      <c r="D1042" s="2" t="s">
        <v>406</v>
      </c>
      <c r="E1042" s="114">
        <v>0.1</v>
      </c>
      <c r="F1042" s="23">
        <f>VLOOKUP(B1042,'BASE DE DATOS'!$A$5:$E$997,5,FALSE)</f>
        <v>13045</v>
      </c>
      <c r="G1042" s="104">
        <v>1.03</v>
      </c>
      <c r="H1042" s="252">
        <f>IF(G1042&gt;0,(G1042*F1042*E1042),(F1042*E1042))</f>
        <v>1343.6350000000002</v>
      </c>
    </row>
    <row r="1043" spans="1:9" x14ac:dyDescent="0.2">
      <c r="A1043" s="936"/>
      <c r="B1043" s="241" t="s">
        <v>1558</v>
      </c>
      <c r="C1043" s="3" t="s">
        <v>2023</v>
      </c>
      <c r="D1043" s="2" t="s">
        <v>590</v>
      </c>
      <c r="E1043" s="114">
        <v>0.2</v>
      </c>
      <c r="F1043" s="23">
        <f>VLOOKUP(B1043,'BASE DE DATOS'!$A$5:$E$997,5,FALSE)</f>
        <v>5650</v>
      </c>
      <c r="G1043" s="104">
        <v>0</v>
      </c>
      <c r="H1043" s="252">
        <f t="shared" ref="H1043:H1051" si="71">IF(G1043&gt;0,(G1043*F1043*E1043),(F1043*E1043))</f>
        <v>1130</v>
      </c>
    </row>
    <row r="1044" spans="1:9" x14ac:dyDescent="0.2">
      <c r="A1044" s="936"/>
      <c r="B1044" s="241" t="s">
        <v>1711</v>
      </c>
      <c r="C1044" s="3" t="s">
        <v>632</v>
      </c>
      <c r="D1044" s="2" t="s">
        <v>405</v>
      </c>
      <c r="E1044" s="114">
        <v>2</v>
      </c>
      <c r="F1044" s="23">
        <f>VLOOKUP(B1044,'BASE DE DATOS'!$A$5:$E$997,5,FALSE)</f>
        <v>10991</v>
      </c>
      <c r="G1044" s="104">
        <f>1/3</f>
        <v>0.33333333333333331</v>
      </c>
      <c r="H1044" s="252">
        <f>IF(G1044&gt;0,(G1044*F1044*E1044),(F1044*E1044))</f>
        <v>7327.333333333333</v>
      </c>
    </row>
    <row r="1045" spans="1:9" s="33" customFormat="1" x14ac:dyDescent="0.2">
      <c r="A1045" s="936"/>
      <c r="B1045" s="241" t="s">
        <v>1690</v>
      </c>
      <c r="C1045" s="3" t="s">
        <v>2749</v>
      </c>
      <c r="D1045" s="2" t="s">
        <v>405</v>
      </c>
      <c r="E1045" s="114">
        <v>1</v>
      </c>
      <c r="F1045" s="23">
        <f>VLOOKUP(B1045,'BASE DE DATOS'!$A$5:$E$997,5,FALSE)</f>
        <v>1540</v>
      </c>
      <c r="G1045" s="104">
        <f>1/3</f>
        <v>0.33333333333333331</v>
      </c>
      <c r="H1045" s="252">
        <f t="shared" si="71"/>
        <v>513.33333333333326</v>
      </c>
    </row>
    <row r="1046" spans="1:9" x14ac:dyDescent="0.2">
      <c r="A1046" s="940" t="s">
        <v>3252</v>
      </c>
      <c r="B1046" s="241" t="s">
        <v>813</v>
      </c>
      <c r="C1046" s="16" t="s">
        <v>2108</v>
      </c>
      <c r="D1046" s="2" t="s">
        <v>406</v>
      </c>
      <c r="E1046" s="114">
        <v>1.2</v>
      </c>
      <c r="F1046" s="23">
        <f>F113</f>
        <v>6882</v>
      </c>
      <c r="G1046" s="104">
        <v>0</v>
      </c>
      <c r="H1046" s="252">
        <f>IF(G1046&gt;0,(G1046*F1046*E1046),(F1046*E1046))</f>
        <v>8258.4</v>
      </c>
    </row>
    <row r="1047" spans="1:9" x14ac:dyDescent="0.2">
      <c r="A1047" s="940"/>
      <c r="B1047" s="241" t="s">
        <v>814</v>
      </c>
      <c r="C1047" s="16" t="s">
        <v>2018</v>
      </c>
      <c r="D1047" s="2" t="s">
        <v>406</v>
      </c>
      <c r="E1047" s="114">
        <v>3.2</v>
      </c>
      <c r="F1047" s="23">
        <f>F118</f>
        <v>7440</v>
      </c>
      <c r="G1047" s="104">
        <v>0</v>
      </c>
      <c r="H1047" s="252">
        <f t="shared" si="71"/>
        <v>23808</v>
      </c>
    </row>
    <row r="1048" spans="1:9" ht="14.25" x14ac:dyDescent="0.2">
      <c r="A1048" s="940"/>
      <c r="B1048" s="241" t="s">
        <v>799</v>
      </c>
      <c r="C1048" s="3" t="s">
        <v>2089</v>
      </c>
      <c r="D1048" s="2" t="s">
        <v>285</v>
      </c>
      <c r="E1048" s="114">
        <v>0.02</v>
      </c>
      <c r="F1048" s="23">
        <f>F34</f>
        <v>482282</v>
      </c>
      <c r="G1048" s="104">
        <v>1.05</v>
      </c>
      <c r="H1048" s="252">
        <f>IF(G1048&gt;0,(G1048*F1048*E1048),(F1048*E1048))</f>
        <v>10127.922</v>
      </c>
    </row>
    <row r="1049" spans="1:9" x14ac:dyDescent="0.2">
      <c r="A1049" s="81" t="s">
        <v>2555</v>
      </c>
      <c r="B1049" s="241" t="s">
        <v>607</v>
      </c>
      <c r="C1049" s="3" t="s">
        <v>695</v>
      </c>
      <c r="D1049" s="2" t="s">
        <v>585</v>
      </c>
      <c r="E1049" s="114">
        <v>1</v>
      </c>
      <c r="F1049" s="23">
        <f>VLOOKUP(B1049,'BASE DE DATOS'!$A$5:$E$997,5,FALSE)</f>
        <v>336981</v>
      </c>
      <c r="G1049" s="104">
        <f>1/6</f>
        <v>0.16666666666666666</v>
      </c>
      <c r="H1049" s="252">
        <f t="shared" si="71"/>
        <v>56163.5</v>
      </c>
    </row>
    <row r="1050" spans="1:9" x14ac:dyDescent="0.2">
      <c r="A1050" s="944" t="s">
        <v>293</v>
      </c>
      <c r="B1050" s="241" t="s">
        <v>598</v>
      </c>
      <c r="C1050" s="218" t="s">
        <v>3362</v>
      </c>
      <c r="D1050" s="219" t="s">
        <v>586</v>
      </c>
      <c r="E1050" s="114">
        <v>0.1</v>
      </c>
      <c r="F1050" s="220">
        <f>CONSTRUCCION!H1049</f>
        <v>56163.5</v>
      </c>
      <c r="G1050" s="187">
        <v>0</v>
      </c>
      <c r="H1050" s="252">
        <f>IF(G1050&gt;0,(G1050*F1050*E1050),(F1050*E1050))</f>
        <v>5616.35</v>
      </c>
    </row>
    <row r="1051" spans="1:9" ht="13.5" thickBot="1" x14ac:dyDescent="0.25">
      <c r="A1051" s="945"/>
      <c r="B1051" s="528" t="s">
        <v>269</v>
      </c>
      <c r="C1051" s="88" t="s">
        <v>284</v>
      </c>
      <c r="D1051" s="89" t="s">
        <v>586</v>
      </c>
      <c r="E1051" s="193">
        <v>0.1</v>
      </c>
      <c r="F1051" s="90">
        <f>H1049</f>
        <v>56163.5</v>
      </c>
      <c r="G1051" s="153">
        <v>0</v>
      </c>
      <c r="H1051" s="255">
        <f t="shared" si="71"/>
        <v>5616.35</v>
      </c>
    </row>
    <row r="1052" spans="1:9" s="42" customFormat="1" ht="30" x14ac:dyDescent="0.2">
      <c r="A1052" s="458" t="s">
        <v>855</v>
      </c>
      <c r="B1052" s="529"/>
      <c r="C1052" s="388" t="s">
        <v>3551</v>
      </c>
      <c r="D1052" s="389" t="s">
        <v>405</v>
      </c>
      <c r="E1052" s="395"/>
      <c r="F1052" s="391">
        <f>ROUND(SUM(H1052:H1062),0)</f>
        <v>108641</v>
      </c>
      <c r="G1052" s="392"/>
      <c r="H1052" s="393"/>
      <c r="I1052" s="738"/>
    </row>
    <row r="1053" spans="1:9" s="33" customFormat="1" x14ac:dyDescent="0.2">
      <c r="A1053" s="936" t="s">
        <v>382</v>
      </c>
      <c r="B1053" s="241" t="s">
        <v>1264</v>
      </c>
      <c r="C1053" s="3" t="s">
        <v>641</v>
      </c>
      <c r="D1053" s="2" t="s">
        <v>642</v>
      </c>
      <c r="E1053" s="114">
        <v>0.05</v>
      </c>
      <c r="F1053" s="23">
        <f>VLOOKUP(B1053,'BASE DE DATOS'!$A$5:$E$997,5,FALSE)</f>
        <v>10959</v>
      </c>
      <c r="G1053" s="104">
        <v>0</v>
      </c>
      <c r="H1053" s="252">
        <f>IF(G1053&gt;0,(G1053*F1053*E1053),(F1053*E1053))</f>
        <v>547.95000000000005</v>
      </c>
    </row>
    <row r="1054" spans="1:9" s="33" customFormat="1" x14ac:dyDescent="0.2">
      <c r="A1054" s="936"/>
      <c r="B1054" s="241" t="s">
        <v>1290</v>
      </c>
      <c r="C1054" s="3" t="s">
        <v>2697</v>
      </c>
      <c r="D1054" s="2" t="s">
        <v>406</v>
      </c>
      <c r="E1054" s="114">
        <v>0.1</v>
      </c>
      <c r="F1054" s="23">
        <f>VLOOKUP(B1054,'BASE DE DATOS'!$A$5:$E$997,5,FALSE)</f>
        <v>13045</v>
      </c>
      <c r="G1054" s="104">
        <v>1.03</v>
      </c>
      <c r="H1054" s="252">
        <f>IF(G1054&gt;0,(G1054*F1054*E1054),(F1054*E1054))</f>
        <v>1343.6350000000002</v>
      </c>
    </row>
    <row r="1055" spans="1:9" s="33" customFormat="1" x14ac:dyDescent="0.2">
      <c r="A1055" s="936"/>
      <c r="B1055" s="241" t="s">
        <v>1558</v>
      </c>
      <c r="C1055" s="3" t="s">
        <v>2023</v>
      </c>
      <c r="D1055" s="2" t="s">
        <v>590</v>
      </c>
      <c r="E1055" s="114">
        <v>0.2</v>
      </c>
      <c r="F1055" s="23">
        <f>VLOOKUP(B1055,'BASE DE DATOS'!$A$5:$E$997,5,FALSE)</f>
        <v>5650</v>
      </c>
      <c r="G1055" s="104">
        <v>0</v>
      </c>
      <c r="H1055" s="252">
        <f t="shared" ref="H1055:H1062" si="72">IF(G1055&gt;0,(G1055*F1055*E1055),(F1055*E1055))</f>
        <v>1130</v>
      </c>
    </row>
    <row r="1056" spans="1:9" s="33" customFormat="1" x14ac:dyDescent="0.2">
      <c r="A1056" s="936"/>
      <c r="B1056" s="241" t="s">
        <v>1711</v>
      </c>
      <c r="C1056" s="3" t="s">
        <v>632</v>
      </c>
      <c r="D1056" s="2" t="s">
        <v>405</v>
      </c>
      <c r="E1056" s="114">
        <v>1</v>
      </c>
      <c r="F1056" s="23">
        <f>VLOOKUP(B1056,'BASE DE DATOS'!$A$5:$E$997,5,FALSE)</f>
        <v>10991</v>
      </c>
      <c r="G1056" s="104">
        <f>1/3</f>
        <v>0.33333333333333331</v>
      </c>
      <c r="H1056" s="252">
        <f>IF(G1056&gt;0,(G1056*F1056*E1056),(F1056*E1056))</f>
        <v>3663.6666666666665</v>
      </c>
    </row>
    <row r="1057" spans="1:9" s="33" customFormat="1" x14ac:dyDescent="0.2">
      <c r="A1057" s="936"/>
      <c r="B1057" s="241" t="s">
        <v>1690</v>
      </c>
      <c r="C1057" s="3" t="s">
        <v>2749</v>
      </c>
      <c r="D1057" s="2" t="s">
        <v>405</v>
      </c>
      <c r="E1057" s="114">
        <v>1</v>
      </c>
      <c r="F1057" s="23">
        <f>VLOOKUP(B1057,'BASE DE DATOS'!$A$5:$E$997,5,FALSE)</f>
        <v>1540</v>
      </c>
      <c r="G1057" s="104">
        <f>1/3</f>
        <v>0.33333333333333331</v>
      </c>
      <c r="H1057" s="252">
        <f t="shared" si="72"/>
        <v>513.33333333333326</v>
      </c>
    </row>
    <row r="1058" spans="1:9" s="33" customFormat="1" ht="14.25" x14ac:dyDescent="0.2">
      <c r="A1058" s="940" t="s">
        <v>3252</v>
      </c>
      <c r="B1058" s="241" t="s">
        <v>799</v>
      </c>
      <c r="C1058" s="3" t="s">
        <v>2089</v>
      </c>
      <c r="D1058" s="2" t="s">
        <v>285</v>
      </c>
      <c r="E1058" s="114">
        <v>1.4999999999999999E-2</v>
      </c>
      <c r="F1058" s="23">
        <f>F34</f>
        <v>482282</v>
      </c>
      <c r="G1058" s="104">
        <v>1.05</v>
      </c>
      <c r="H1058" s="252">
        <f t="shared" si="72"/>
        <v>7595.9414999999999</v>
      </c>
    </row>
    <row r="1059" spans="1:9" x14ac:dyDescent="0.2">
      <c r="A1059" s="940"/>
      <c r="B1059" s="241" t="s">
        <v>813</v>
      </c>
      <c r="C1059" s="16" t="s">
        <v>2108</v>
      </c>
      <c r="D1059" s="2" t="s">
        <v>406</v>
      </c>
      <c r="E1059" s="114">
        <v>1.2</v>
      </c>
      <c r="F1059" s="23">
        <f>F113</f>
        <v>6882</v>
      </c>
      <c r="G1059" s="104">
        <v>0</v>
      </c>
      <c r="H1059" s="252">
        <f>IF(G1059&gt;0,(G1059*F1059*E1059),(F1059*E1059))</f>
        <v>8258.4</v>
      </c>
    </row>
    <row r="1060" spans="1:9" s="33" customFormat="1" x14ac:dyDescent="0.2">
      <c r="A1060" s="940"/>
      <c r="B1060" s="241" t="s">
        <v>814</v>
      </c>
      <c r="C1060" s="16" t="s">
        <v>2018</v>
      </c>
      <c r="D1060" s="2" t="s">
        <v>406</v>
      </c>
      <c r="E1060" s="114">
        <v>3.2</v>
      </c>
      <c r="F1060" s="23">
        <f>F118</f>
        <v>7440</v>
      </c>
      <c r="G1060" s="104">
        <v>0</v>
      </c>
      <c r="H1060" s="252">
        <f t="shared" si="72"/>
        <v>23808</v>
      </c>
    </row>
    <row r="1061" spans="1:9" s="33" customFormat="1" x14ac:dyDescent="0.2">
      <c r="A1061" s="81" t="s">
        <v>2555</v>
      </c>
      <c r="B1061" s="241" t="s">
        <v>607</v>
      </c>
      <c r="C1061" s="3" t="s">
        <v>695</v>
      </c>
      <c r="D1061" s="2" t="s">
        <v>585</v>
      </c>
      <c r="E1061" s="114">
        <v>1</v>
      </c>
      <c r="F1061" s="23">
        <f>VLOOKUP(B1061,'BASE DE DATOS'!$A$5:$E$997,5,FALSE)</f>
        <v>336981</v>
      </c>
      <c r="G1061" s="104">
        <f>1/6</f>
        <v>0.16666666666666666</v>
      </c>
      <c r="H1061" s="252">
        <f t="shared" si="72"/>
        <v>56163.5</v>
      </c>
    </row>
    <row r="1062" spans="1:9" s="33" customFormat="1" ht="13.5" thickBot="1" x14ac:dyDescent="0.25">
      <c r="A1062" s="94" t="s">
        <v>293</v>
      </c>
      <c r="B1062" s="530" t="s">
        <v>269</v>
      </c>
      <c r="C1062" s="108" t="s">
        <v>284</v>
      </c>
      <c r="D1062" s="109" t="s">
        <v>586</v>
      </c>
      <c r="E1062" s="200">
        <v>0.1</v>
      </c>
      <c r="F1062" s="110">
        <f>H1061</f>
        <v>56163.5</v>
      </c>
      <c r="G1062" s="156">
        <v>0</v>
      </c>
      <c r="H1062" s="255">
        <f t="shared" si="72"/>
        <v>5616.35</v>
      </c>
    </row>
    <row r="1063" spans="1:9" s="42" customFormat="1" ht="17.25" x14ac:dyDescent="0.2">
      <c r="A1063" s="458" t="s">
        <v>856</v>
      </c>
      <c r="B1063" s="529"/>
      <c r="C1063" s="388" t="s">
        <v>2034</v>
      </c>
      <c r="D1063" s="389" t="s">
        <v>3251</v>
      </c>
      <c r="E1063" s="390"/>
      <c r="F1063" s="391">
        <f>ROUND(SUM(H1063:H1064),0)</f>
        <v>86223</v>
      </c>
      <c r="G1063" s="392"/>
      <c r="H1063" s="393"/>
      <c r="I1063" s="738"/>
    </row>
    <row r="1064" spans="1:9" s="33" customFormat="1" ht="15" thickBot="1" x14ac:dyDescent="0.25">
      <c r="A1064" s="511" t="s">
        <v>3252</v>
      </c>
      <c r="B1064" s="530" t="s">
        <v>1153</v>
      </c>
      <c r="C1064" s="88" t="s">
        <v>3534</v>
      </c>
      <c r="D1064" s="89" t="s">
        <v>288</v>
      </c>
      <c r="E1064" s="193">
        <v>1</v>
      </c>
      <c r="F1064" s="90">
        <f>' VÍAS'!F558</f>
        <v>86223</v>
      </c>
      <c r="G1064" s="153">
        <v>0</v>
      </c>
      <c r="H1064" s="479">
        <f t="shared" ref="H1064" si="73">IF(G1064&gt;0,(G1064*F1064*E1064),(F1064*E1064))</f>
        <v>86223</v>
      </c>
    </row>
    <row r="1065" spans="1:9" s="407" customFormat="1" ht="30" x14ac:dyDescent="0.2">
      <c r="A1065" s="458" t="s">
        <v>857</v>
      </c>
      <c r="B1065" s="529"/>
      <c r="C1065" s="388" t="s">
        <v>2035</v>
      </c>
      <c r="D1065" s="389" t="s">
        <v>411</v>
      </c>
      <c r="E1065" s="390"/>
      <c r="F1065" s="391">
        <f>ROUND(SUM(H1065:H1066),0)</f>
        <v>920022</v>
      </c>
      <c r="G1065" s="392"/>
      <c r="H1065" s="393"/>
      <c r="I1065" s="33"/>
    </row>
    <row r="1066" spans="1:9" s="33" customFormat="1" ht="13.5" thickBot="1" x14ac:dyDescent="0.25">
      <c r="A1066" s="520" t="s">
        <v>3252</v>
      </c>
      <c r="B1066" s="530" t="s">
        <v>1214</v>
      </c>
      <c r="C1066" s="88" t="s">
        <v>3534</v>
      </c>
      <c r="D1066" s="89" t="s">
        <v>411</v>
      </c>
      <c r="E1066" s="193">
        <v>1</v>
      </c>
      <c r="F1066" s="90">
        <f>' VÍAS'!F1106</f>
        <v>920022</v>
      </c>
      <c r="G1066" s="153">
        <v>0</v>
      </c>
      <c r="H1066" s="479">
        <f t="shared" ref="H1066" si="74">IF(G1066&gt;0,(G1066*F1066*E1066),(F1066*E1066))</f>
        <v>920022</v>
      </c>
    </row>
    <row r="1067" spans="1:9" s="407" customFormat="1" ht="30" x14ac:dyDescent="0.2">
      <c r="A1067" s="458" t="s">
        <v>858</v>
      </c>
      <c r="B1067" s="529"/>
      <c r="C1067" s="388" t="s">
        <v>2036</v>
      </c>
      <c r="D1067" s="389" t="s">
        <v>3251</v>
      </c>
      <c r="E1067" s="390"/>
      <c r="F1067" s="391">
        <f>ROUND(SUM(H1067:H1068),0)</f>
        <v>95424</v>
      </c>
      <c r="G1067" s="392"/>
      <c r="H1067" s="393"/>
      <c r="I1067" s="33"/>
    </row>
    <row r="1068" spans="1:9" s="33" customFormat="1" ht="15" thickBot="1" x14ac:dyDescent="0.25">
      <c r="A1068" s="522" t="s">
        <v>3252</v>
      </c>
      <c r="B1068" s="530" t="s">
        <v>1215</v>
      </c>
      <c r="C1068" s="88" t="s">
        <v>3534</v>
      </c>
      <c r="D1068" s="89" t="s">
        <v>288</v>
      </c>
      <c r="E1068" s="193">
        <v>1</v>
      </c>
      <c r="F1068" s="90">
        <f>' VÍAS'!F1112</f>
        <v>95424</v>
      </c>
      <c r="G1068" s="153">
        <v>0</v>
      </c>
      <c r="H1068" s="479">
        <f t="shared" ref="H1068" si="75">IF(G1068&gt;0,(G1068*F1068*E1068),(F1068*E1068))</f>
        <v>95424</v>
      </c>
    </row>
    <row r="1069" spans="1:9" s="42" customFormat="1" ht="60" x14ac:dyDescent="0.2">
      <c r="A1069" s="458" t="s">
        <v>859</v>
      </c>
      <c r="B1069" s="529"/>
      <c r="C1069" s="388" t="s">
        <v>2037</v>
      </c>
      <c r="D1069" s="389" t="s">
        <v>411</v>
      </c>
      <c r="E1069" s="390"/>
      <c r="F1069" s="391">
        <f>' VÍAS'!F1120</f>
        <v>139531</v>
      </c>
      <c r="G1069" s="392"/>
      <c r="H1069" s="393"/>
      <c r="I1069" s="738"/>
    </row>
    <row r="1070" spans="1:9" ht="13.5" thickBot="1" x14ac:dyDescent="0.25">
      <c r="A1070" s="520" t="s">
        <v>3252</v>
      </c>
      <c r="B1070" s="530" t="s">
        <v>1216</v>
      </c>
      <c r="C1070" s="88" t="s">
        <v>3534</v>
      </c>
      <c r="D1070" s="89" t="s">
        <v>411</v>
      </c>
      <c r="E1070" s="193">
        <v>1</v>
      </c>
      <c r="F1070" s="90">
        <f>' VÍAS'!F1120</f>
        <v>139531</v>
      </c>
      <c r="G1070" s="153">
        <v>0</v>
      </c>
      <c r="H1070" s="479">
        <f t="shared" ref="H1070" si="76">IF(G1070&gt;0,(G1070*F1070*E1070),(F1070*E1070))</f>
        <v>139531</v>
      </c>
    </row>
    <row r="1071" spans="1:9" s="42" customFormat="1" ht="45" x14ac:dyDescent="0.2">
      <c r="A1071" s="458" t="s">
        <v>860</v>
      </c>
      <c r="B1071" s="529"/>
      <c r="C1071" s="388" t="s">
        <v>2038</v>
      </c>
      <c r="D1071" s="389" t="s">
        <v>411</v>
      </c>
      <c r="E1071" s="390"/>
      <c r="F1071" s="391">
        <f>ROUND(SUM(H1071:H1079),0)</f>
        <v>419721</v>
      </c>
      <c r="G1071" s="392"/>
      <c r="H1071" s="393"/>
      <c r="I1071" s="738"/>
    </row>
    <row r="1072" spans="1:9" x14ac:dyDescent="0.2">
      <c r="A1072" s="936" t="s">
        <v>3820</v>
      </c>
      <c r="B1072" s="241" t="s">
        <v>1290</v>
      </c>
      <c r="C1072" s="3" t="s">
        <v>2697</v>
      </c>
      <c r="D1072" s="2" t="s">
        <v>406</v>
      </c>
      <c r="E1072" s="114">
        <v>0.05</v>
      </c>
      <c r="F1072" s="23">
        <f>VLOOKUP(B1072,'BASE DE DATOS'!$A$5:$E$997,5,FALSE)</f>
        <v>13045</v>
      </c>
      <c r="G1072" s="104">
        <v>1.03</v>
      </c>
      <c r="H1072" s="252">
        <f>IF(G1072&gt;0,(G1072*F1072*E1072),(F1072*E1072))</f>
        <v>671.81750000000011</v>
      </c>
    </row>
    <row r="1073" spans="1:9" x14ac:dyDescent="0.2">
      <c r="A1073" s="936"/>
      <c r="B1073" s="241" t="s">
        <v>1463</v>
      </c>
      <c r="C1073" s="3" t="s">
        <v>593</v>
      </c>
      <c r="D1073" s="2" t="s">
        <v>405</v>
      </c>
      <c r="E1073" s="114">
        <v>8</v>
      </c>
      <c r="F1073" s="23">
        <f>VLOOKUP(B1073,'BASE DE DATOS'!$A$5:$E$997,5,FALSE)</f>
        <v>4704</v>
      </c>
      <c r="G1073" s="104">
        <f>1/3</f>
        <v>0.33333333333333331</v>
      </c>
      <c r="H1073" s="252">
        <f t="shared" ref="H1073:H1079" si="77">IF(G1073&gt;0,(G1073*F1073*E1073),(F1073*E1073))</f>
        <v>12544</v>
      </c>
    </row>
    <row r="1074" spans="1:9" x14ac:dyDescent="0.2">
      <c r="A1074" s="936"/>
      <c r="B1074" s="241" t="s">
        <v>1558</v>
      </c>
      <c r="C1074" s="3" t="s">
        <v>2023</v>
      </c>
      <c r="D1074" s="2" t="s">
        <v>590</v>
      </c>
      <c r="E1074" s="114">
        <v>0.12</v>
      </c>
      <c r="F1074" s="23">
        <f>VLOOKUP(B1074,'BASE DE DATOS'!$A$5:$E$997,5,FALSE)</f>
        <v>5650</v>
      </c>
      <c r="G1074" s="104">
        <v>0</v>
      </c>
      <c r="H1074" s="252">
        <f t="shared" si="77"/>
        <v>678</v>
      </c>
    </row>
    <row r="1075" spans="1:9" x14ac:dyDescent="0.2">
      <c r="A1075" s="936"/>
      <c r="B1075" s="241" t="s">
        <v>1711</v>
      </c>
      <c r="C1075" s="3" t="s">
        <v>632</v>
      </c>
      <c r="D1075" s="2" t="s">
        <v>405</v>
      </c>
      <c r="E1075" s="114">
        <v>6.5</v>
      </c>
      <c r="F1075" s="23">
        <f>VLOOKUP(B1075,'BASE DE DATOS'!$A$5:$E$997,5,FALSE)</f>
        <v>10991</v>
      </c>
      <c r="G1075" s="104">
        <f>1/3</f>
        <v>0.33333333333333331</v>
      </c>
      <c r="H1075" s="252">
        <f>IF(G1075&gt;0,(G1075*F1075*E1075),(F1075*E1075))</f>
        <v>23813.833333333332</v>
      </c>
    </row>
    <row r="1076" spans="1:9" ht="14.25" x14ac:dyDescent="0.2">
      <c r="A1076" s="953" t="s">
        <v>3252</v>
      </c>
      <c r="B1076" s="241" t="s">
        <v>799</v>
      </c>
      <c r="C1076" s="3" t="s">
        <v>2089</v>
      </c>
      <c r="D1076" s="2" t="s">
        <v>285</v>
      </c>
      <c r="E1076" s="114">
        <f>0.4*0.4</f>
        <v>0.16000000000000003</v>
      </c>
      <c r="F1076" s="23">
        <f>F34</f>
        <v>482282</v>
      </c>
      <c r="G1076" s="104">
        <v>1.05</v>
      </c>
      <c r="H1076" s="252">
        <f t="shared" si="77"/>
        <v>81023.376000000018</v>
      </c>
    </row>
    <row r="1077" spans="1:9" x14ac:dyDescent="0.2">
      <c r="A1077" s="953"/>
      <c r="B1077" s="241" t="s">
        <v>814</v>
      </c>
      <c r="C1077" s="11" t="s">
        <v>2018</v>
      </c>
      <c r="D1077" s="2" t="s">
        <v>406</v>
      </c>
      <c r="E1077" s="114">
        <v>28</v>
      </c>
      <c r="F1077" s="23">
        <f>F118</f>
        <v>7440</v>
      </c>
      <c r="G1077" s="104">
        <v>0</v>
      </c>
      <c r="H1077" s="252">
        <f t="shared" si="77"/>
        <v>208320</v>
      </c>
    </row>
    <row r="1078" spans="1:9" x14ac:dyDescent="0.2">
      <c r="A1078" s="81" t="s">
        <v>2555</v>
      </c>
      <c r="B1078" s="241" t="s">
        <v>607</v>
      </c>
      <c r="C1078" s="3" t="s">
        <v>608</v>
      </c>
      <c r="D1078" s="2" t="s">
        <v>585</v>
      </c>
      <c r="E1078" s="114">
        <v>1</v>
      </c>
      <c r="F1078" s="23">
        <f>VLOOKUP(B1078,'BASE DE DATOS'!$A$5:$E$997,5,FALSE)</f>
        <v>336981</v>
      </c>
      <c r="G1078" s="104">
        <f>1/4</f>
        <v>0.25</v>
      </c>
      <c r="H1078" s="252">
        <f t="shared" si="77"/>
        <v>84245.25</v>
      </c>
    </row>
    <row r="1079" spans="1:9" s="33" customFormat="1" ht="13.5" thickBot="1" x14ac:dyDescent="0.25">
      <c r="A1079" s="94" t="s">
        <v>293</v>
      </c>
      <c r="B1079" s="530" t="s">
        <v>269</v>
      </c>
      <c r="C1079" s="108" t="s">
        <v>284</v>
      </c>
      <c r="D1079" s="109" t="s">
        <v>586</v>
      </c>
      <c r="E1079" s="200">
        <v>0.1</v>
      </c>
      <c r="F1079" s="110">
        <f>H1078</f>
        <v>84245.25</v>
      </c>
      <c r="G1079" s="156">
        <v>0</v>
      </c>
      <c r="H1079" s="255">
        <f t="shared" si="77"/>
        <v>8424.5249999999996</v>
      </c>
    </row>
    <row r="1080" spans="1:9" s="42" customFormat="1" ht="45" x14ac:dyDescent="0.2">
      <c r="A1080" s="458" t="s">
        <v>860</v>
      </c>
      <c r="B1080" s="529"/>
      <c r="C1080" s="388" t="s">
        <v>2039</v>
      </c>
      <c r="D1080" s="389" t="s">
        <v>3251</v>
      </c>
      <c r="E1080" s="395"/>
      <c r="F1080" s="391">
        <f>ROUND(SUM(H1080:H1090),0)</f>
        <v>194378</v>
      </c>
      <c r="G1080" s="392"/>
      <c r="H1080" s="393"/>
      <c r="I1080" s="738"/>
    </row>
    <row r="1081" spans="1:9" s="33" customFormat="1" x14ac:dyDescent="0.2">
      <c r="A1081" s="939" t="s">
        <v>295</v>
      </c>
      <c r="B1081" s="241" t="s">
        <v>1264</v>
      </c>
      <c r="C1081" s="3" t="s">
        <v>641</v>
      </c>
      <c r="D1081" s="2" t="s">
        <v>642</v>
      </c>
      <c r="E1081" s="114">
        <v>0.05</v>
      </c>
      <c r="F1081" s="23">
        <f>VLOOKUP(B1081,'BASE DE DATOS'!$A$5:$E$997,5,FALSE)</f>
        <v>10959</v>
      </c>
      <c r="G1081" s="104">
        <v>0</v>
      </c>
      <c r="H1081" s="252">
        <f>IF(G1081&gt;0,(G1081*F1081*E1081),(F1081*E1081))</f>
        <v>547.95000000000005</v>
      </c>
    </row>
    <row r="1082" spans="1:9" x14ac:dyDescent="0.2">
      <c r="A1082" s="939"/>
      <c r="B1082" s="241" t="s">
        <v>1290</v>
      </c>
      <c r="C1082" s="3" t="s">
        <v>2697</v>
      </c>
      <c r="D1082" s="2" t="s">
        <v>406</v>
      </c>
      <c r="E1082" s="114">
        <f>1/5</f>
        <v>0.2</v>
      </c>
      <c r="F1082" s="23">
        <f>VLOOKUP(B1082,'BASE DE DATOS'!$A$5:$E$997,5,FALSE)</f>
        <v>13045</v>
      </c>
      <c r="G1082" s="104">
        <v>1.03</v>
      </c>
      <c r="H1082" s="252">
        <f>IF(G1082&gt;0,(G1082*F1082*E1082),(F1082*E1082))</f>
        <v>2687.2700000000004</v>
      </c>
    </row>
    <row r="1083" spans="1:9" ht="15.6" customHeight="1" x14ac:dyDescent="0.2">
      <c r="A1083" s="939"/>
      <c r="B1083" s="241" t="s">
        <v>1476</v>
      </c>
      <c r="C1083" s="3" t="s">
        <v>3794</v>
      </c>
      <c r="D1083" s="2" t="s">
        <v>288</v>
      </c>
      <c r="E1083" s="114">
        <f>0.64+0.6</f>
        <v>1.24</v>
      </c>
      <c r="F1083" s="23">
        <f>VLOOKUP(B1083,'BASE DE DATOS'!$A$5:$E$997,5,FALSE)</f>
        <v>13864</v>
      </c>
      <c r="G1083" s="104">
        <v>1.03</v>
      </c>
      <c r="H1083" s="252">
        <f t="shared" ref="H1083:H1090" si="78">IF(G1083&gt;0,(G1083*F1083*E1083),(F1083*E1083))</f>
        <v>17707.1008</v>
      </c>
    </row>
    <row r="1084" spans="1:9" x14ac:dyDescent="0.2">
      <c r="A1084" s="939"/>
      <c r="B1084" s="241" t="s">
        <v>1558</v>
      </c>
      <c r="C1084" s="3" t="s">
        <v>2023</v>
      </c>
      <c r="D1084" s="2" t="s">
        <v>590</v>
      </c>
      <c r="E1084" s="114">
        <v>0.25</v>
      </c>
      <c r="F1084" s="23">
        <f>VLOOKUP(B1084,'BASE DE DATOS'!$A$5:$E$997,5,FALSE)</f>
        <v>5650</v>
      </c>
      <c r="G1084" s="104">
        <v>0</v>
      </c>
      <c r="H1084" s="252">
        <f>IF(G1084&gt;0,(G1084*F1084*E1084),(F1084*E1084))</f>
        <v>1412.5</v>
      </c>
    </row>
    <row r="1085" spans="1:9" x14ac:dyDescent="0.2">
      <c r="A1085" s="939"/>
      <c r="B1085" s="241" t="s">
        <v>1711</v>
      </c>
      <c r="C1085" s="3" t="s">
        <v>632</v>
      </c>
      <c r="D1085" s="2" t="s">
        <v>405</v>
      </c>
      <c r="E1085" s="114">
        <v>4</v>
      </c>
      <c r="F1085" s="23">
        <f>VLOOKUP(B1085,'BASE DE DATOS'!$A$5:$E$997,5,FALSE)</f>
        <v>10991</v>
      </c>
      <c r="G1085" s="104">
        <f>1/3</f>
        <v>0.33333333333333331</v>
      </c>
      <c r="H1085" s="252">
        <f t="shared" si="78"/>
        <v>14654.666666666666</v>
      </c>
    </row>
    <row r="1086" spans="1:9" s="33" customFormat="1" x14ac:dyDescent="0.2">
      <c r="A1086" s="939"/>
      <c r="B1086" s="241" t="s">
        <v>1690</v>
      </c>
      <c r="C1086" s="3" t="s">
        <v>2749</v>
      </c>
      <c r="D1086" s="2" t="s">
        <v>405</v>
      </c>
      <c r="E1086" s="114">
        <v>1.8</v>
      </c>
      <c r="F1086" s="23">
        <f>VLOOKUP(B1086,'BASE DE DATOS'!$A$5:$E$997,5,FALSE)</f>
        <v>1540</v>
      </c>
      <c r="G1086" s="104">
        <f>1/3</f>
        <v>0.33333333333333331</v>
      </c>
      <c r="H1086" s="252">
        <f>IF(G1086&gt;0,(G1086*F1086*E1086),(F1086*E1086))</f>
        <v>923.99999999999989</v>
      </c>
    </row>
    <row r="1087" spans="1:9" ht="14.25" x14ac:dyDescent="0.2">
      <c r="A1087" s="64" t="s">
        <v>3252</v>
      </c>
      <c r="B1087" s="241" t="s">
        <v>799</v>
      </c>
      <c r="C1087" s="3" t="s">
        <v>2089</v>
      </c>
      <c r="D1087" s="2" t="s">
        <v>285</v>
      </c>
      <c r="E1087" s="114">
        <v>0.16</v>
      </c>
      <c r="F1087" s="23">
        <f>F34</f>
        <v>482282</v>
      </c>
      <c r="G1087" s="104">
        <v>1.05</v>
      </c>
      <c r="H1087" s="252">
        <f t="shared" si="78"/>
        <v>81023.376000000004</v>
      </c>
    </row>
    <row r="1088" spans="1:9" x14ac:dyDescent="0.2">
      <c r="A1088" s="81" t="s">
        <v>2555</v>
      </c>
      <c r="B1088" s="241" t="s">
        <v>607</v>
      </c>
      <c r="C1088" s="3" t="s">
        <v>608</v>
      </c>
      <c r="D1088" s="2" t="s">
        <v>585</v>
      </c>
      <c r="E1088" s="114">
        <v>1</v>
      </c>
      <c r="F1088" s="23">
        <f>VLOOKUP(B1088,'BASE DE DATOS'!$A$5:$E$997,5,FALSE)</f>
        <v>336981</v>
      </c>
      <c r="G1088" s="104">
        <f>1/5</f>
        <v>0.2</v>
      </c>
      <c r="H1088" s="252">
        <f t="shared" si="78"/>
        <v>67396.2</v>
      </c>
    </row>
    <row r="1089" spans="1:9" x14ac:dyDescent="0.2">
      <c r="A1089" s="93" t="s">
        <v>293</v>
      </c>
      <c r="B1089" s="241" t="s">
        <v>269</v>
      </c>
      <c r="C1089" s="3" t="s">
        <v>284</v>
      </c>
      <c r="D1089" s="2" t="s">
        <v>586</v>
      </c>
      <c r="E1089" s="114">
        <v>0.1</v>
      </c>
      <c r="F1089" s="23">
        <f>H1088</f>
        <v>67396.2</v>
      </c>
      <c r="G1089" s="104">
        <v>0</v>
      </c>
      <c r="H1089" s="252">
        <f t="shared" si="78"/>
        <v>6739.62</v>
      </c>
    </row>
    <row r="1090" spans="1:9" ht="13.5" thickBot="1" x14ac:dyDescent="0.25">
      <c r="A1090" s="132" t="s">
        <v>139</v>
      </c>
      <c r="B1090" s="530" t="s">
        <v>135</v>
      </c>
      <c r="C1090" s="108" t="s">
        <v>136</v>
      </c>
      <c r="D1090" s="109" t="s">
        <v>411</v>
      </c>
      <c r="E1090" s="200">
        <f>5/50</f>
        <v>0.1</v>
      </c>
      <c r="F1090" s="110">
        <f>VLOOKUP(B1090,'BASE DE DATOS'!$A$5:$E$997,5,FALSE)</f>
        <v>12852</v>
      </c>
      <c r="G1090" s="156">
        <v>0</v>
      </c>
      <c r="H1090" s="255">
        <f t="shared" si="78"/>
        <v>1285.2</v>
      </c>
    </row>
    <row r="1091" spans="1:9" s="42" customFormat="1" ht="30" x14ac:dyDescent="0.2">
      <c r="A1091" s="458" t="s">
        <v>861</v>
      </c>
      <c r="B1091" s="525"/>
      <c r="C1091" s="445" t="s">
        <v>2043</v>
      </c>
      <c r="D1091" s="369" t="s">
        <v>3225</v>
      </c>
      <c r="E1091" s="459"/>
      <c r="F1091" s="401">
        <f>ROUND(SUM(H1091:H1092),0)</f>
        <v>933592</v>
      </c>
      <c r="G1091" s="443"/>
      <c r="H1091" s="364"/>
      <c r="I1091" s="738"/>
    </row>
    <row r="1092" spans="1:9" s="38" customFormat="1" ht="15" thickBot="1" x14ac:dyDescent="0.25">
      <c r="A1092" s="511" t="s">
        <v>3252</v>
      </c>
      <c r="B1092" s="531" t="s">
        <v>1092</v>
      </c>
      <c r="C1092" s="70" t="s">
        <v>3534</v>
      </c>
      <c r="D1092" s="49" t="s">
        <v>285</v>
      </c>
      <c r="E1092" s="199">
        <v>1</v>
      </c>
      <c r="F1092" s="90">
        <f>' VÍAS'!F611</f>
        <v>933592</v>
      </c>
      <c r="G1092" s="154">
        <v>0</v>
      </c>
      <c r="H1092" s="479">
        <f t="shared" ref="H1092" si="79">IF(G1092&gt;0,(G1092*F1092*E1092),(F1092*E1092))</f>
        <v>933592</v>
      </c>
      <c r="I1092" s="743"/>
    </row>
    <row r="1093" spans="1:9" s="42" customFormat="1" ht="45" x14ac:dyDescent="0.2">
      <c r="A1093" s="458" t="s">
        <v>862</v>
      </c>
      <c r="B1093" s="529"/>
      <c r="C1093" s="388" t="s">
        <v>2041</v>
      </c>
      <c r="D1093" s="389" t="s">
        <v>411</v>
      </c>
      <c r="E1093" s="395"/>
      <c r="F1093" s="391">
        <f>ROUND(SUM(H1093:H1098),0)</f>
        <v>820950</v>
      </c>
      <c r="G1093" s="392"/>
      <c r="H1093" s="393"/>
      <c r="I1093" s="744"/>
    </row>
    <row r="1094" spans="1:9" ht="14.25" x14ac:dyDescent="0.2">
      <c r="A1094" s="953" t="s">
        <v>3252</v>
      </c>
      <c r="B1094" s="241" t="s">
        <v>798</v>
      </c>
      <c r="C1094" s="3" t="s">
        <v>2095</v>
      </c>
      <c r="D1094" s="2" t="s">
        <v>285</v>
      </c>
      <c r="E1094" s="114">
        <v>1.2</v>
      </c>
      <c r="F1094" s="23">
        <f>F26</f>
        <v>456694</v>
      </c>
      <c r="G1094" s="104">
        <v>1.05</v>
      </c>
      <c r="H1094" s="252">
        <f>IF(G1094&gt;0,(G1094*F1094*E1094),(F1094*E1094))</f>
        <v>575434.43999999994</v>
      </c>
    </row>
    <row r="1095" spans="1:9" s="33" customFormat="1" ht="14.25" x14ac:dyDescent="0.2">
      <c r="A1095" s="953"/>
      <c r="B1095" s="241" t="s">
        <v>766</v>
      </c>
      <c r="C1095" s="3" t="s">
        <v>133</v>
      </c>
      <c r="D1095" s="2" t="s">
        <v>285</v>
      </c>
      <c r="E1095" s="114">
        <v>1.2</v>
      </c>
      <c r="F1095" s="23">
        <f>F472</f>
        <v>43205</v>
      </c>
      <c r="G1095" s="104">
        <v>0</v>
      </c>
      <c r="H1095" s="252">
        <f t="shared" ref="H1095:H1098" si="80">IF(G1095&gt;0,(G1095*F1095*E1095),(F1095*E1095))</f>
        <v>51846</v>
      </c>
    </row>
    <row r="1096" spans="1:9" x14ac:dyDescent="0.2">
      <c r="A1096" s="81" t="s">
        <v>2555</v>
      </c>
      <c r="B1096" s="241" t="s">
        <v>607</v>
      </c>
      <c r="C1096" s="3" t="s">
        <v>608</v>
      </c>
      <c r="D1096" s="2" t="s">
        <v>585</v>
      </c>
      <c r="E1096" s="114">
        <v>1</v>
      </c>
      <c r="F1096" s="23">
        <f>VLOOKUP(B1096,'BASE DE DATOS'!$A$5:$E$997,5,FALSE)</f>
        <v>336981</v>
      </c>
      <c r="G1096" s="104">
        <f>1/2</f>
        <v>0.5</v>
      </c>
      <c r="H1096" s="252">
        <f t="shared" si="80"/>
        <v>168490.5</v>
      </c>
    </row>
    <row r="1097" spans="1:9" x14ac:dyDescent="0.2">
      <c r="A1097" s="944" t="s">
        <v>293</v>
      </c>
      <c r="B1097" s="241" t="s">
        <v>269</v>
      </c>
      <c r="C1097" s="3" t="s">
        <v>284</v>
      </c>
      <c r="D1097" s="2" t="s">
        <v>586</v>
      </c>
      <c r="E1097" s="114">
        <v>0.1</v>
      </c>
      <c r="F1097" s="23">
        <f>H1096</f>
        <v>168490.5</v>
      </c>
      <c r="G1097" s="104">
        <v>0</v>
      </c>
      <c r="H1097" s="252">
        <f t="shared" si="80"/>
        <v>16849.05</v>
      </c>
    </row>
    <row r="1098" spans="1:9" ht="13.5" thickBot="1" x14ac:dyDescent="0.25">
      <c r="A1098" s="945"/>
      <c r="B1098" s="530" t="s">
        <v>668</v>
      </c>
      <c r="C1098" s="108" t="s">
        <v>669</v>
      </c>
      <c r="D1098" s="109" t="s">
        <v>585</v>
      </c>
      <c r="E1098" s="200">
        <v>1</v>
      </c>
      <c r="F1098" s="110">
        <f>VLOOKUP(B1098,'BASE DE DATOS'!$A$5:$E$997,5,FALSE)</f>
        <v>58310</v>
      </c>
      <c r="G1098" s="156">
        <f>1/7</f>
        <v>0.14285714285714285</v>
      </c>
      <c r="H1098" s="255">
        <f t="shared" si="80"/>
        <v>8330</v>
      </c>
    </row>
    <row r="1099" spans="1:9" s="42" customFormat="1" ht="45" x14ac:dyDescent="0.2">
      <c r="A1099" s="458" t="s">
        <v>863</v>
      </c>
      <c r="B1099" s="529"/>
      <c r="C1099" s="388" t="s">
        <v>2040</v>
      </c>
      <c r="D1099" s="389" t="s">
        <v>411</v>
      </c>
      <c r="E1099" s="395"/>
      <c r="F1099" s="391">
        <f>ROUND(SUM(H1099:H1104),0)</f>
        <v>500052</v>
      </c>
      <c r="G1099" s="392"/>
      <c r="H1099" s="393"/>
      <c r="I1099" s="738"/>
    </row>
    <row r="1100" spans="1:9" s="33" customFormat="1" ht="14.25" x14ac:dyDescent="0.2">
      <c r="A1100" s="953" t="s">
        <v>3252</v>
      </c>
      <c r="B1100" s="241" t="s">
        <v>798</v>
      </c>
      <c r="C1100" s="3" t="s">
        <v>2095</v>
      </c>
      <c r="D1100" s="2" t="s">
        <v>285</v>
      </c>
      <c r="E1100" s="114">
        <v>0.70899999999999996</v>
      </c>
      <c r="F1100" s="23">
        <f>F26</f>
        <v>456694</v>
      </c>
      <c r="G1100" s="104">
        <v>1.05</v>
      </c>
      <c r="H1100" s="252">
        <f>IF(G1100&gt;0,(G1100*F1100*E1100),(F1100*E1100))</f>
        <v>339985.84830000001</v>
      </c>
    </row>
    <row r="1101" spans="1:9" ht="14.25" x14ac:dyDescent="0.2">
      <c r="A1101" s="953"/>
      <c r="B1101" s="241" t="s">
        <v>766</v>
      </c>
      <c r="C1101" s="3" t="s">
        <v>133</v>
      </c>
      <c r="D1101" s="2" t="s">
        <v>285</v>
      </c>
      <c r="E1101" s="114">
        <v>0.71</v>
      </c>
      <c r="F1101" s="23">
        <f>F472</f>
        <v>43205</v>
      </c>
      <c r="G1101" s="104">
        <v>0</v>
      </c>
      <c r="H1101" s="252">
        <f t="shared" ref="H1101:H1104" si="81">IF(G1101&gt;0,(G1101*F1101*E1101),(F1101*E1101))</f>
        <v>30675.55</v>
      </c>
    </row>
    <row r="1102" spans="1:9" x14ac:dyDescent="0.2">
      <c r="A1102" s="81" t="s">
        <v>2555</v>
      </c>
      <c r="B1102" s="241" t="s">
        <v>607</v>
      </c>
      <c r="C1102" s="3" t="s">
        <v>608</v>
      </c>
      <c r="D1102" s="2" t="s">
        <v>585</v>
      </c>
      <c r="E1102" s="114">
        <v>1</v>
      </c>
      <c r="F1102" s="23">
        <f>VLOOKUP(B1102,'BASE DE DATOS'!$A$5:$E$997,5,FALSE)</f>
        <v>336981</v>
      </c>
      <c r="G1102" s="104">
        <f>1/3</f>
        <v>0.33333333333333331</v>
      </c>
      <c r="H1102" s="252">
        <f t="shared" si="81"/>
        <v>112327</v>
      </c>
    </row>
    <row r="1103" spans="1:9" x14ac:dyDescent="0.2">
      <c r="A1103" s="944" t="s">
        <v>293</v>
      </c>
      <c r="B1103" s="241" t="s">
        <v>269</v>
      </c>
      <c r="C1103" s="3" t="s">
        <v>284</v>
      </c>
      <c r="D1103" s="2" t="s">
        <v>586</v>
      </c>
      <c r="E1103" s="114">
        <v>0.1</v>
      </c>
      <c r="F1103" s="23">
        <f>H1102</f>
        <v>112327</v>
      </c>
      <c r="G1103" s="104">
        <v>0</v>
      </c>
      <c r="H1103" s="252">
        <f t="shared" si="81"/>
        <v>11232.7</v>
      </c>
    </row>
    <row r="1104" spans="1:9" ht="13.5" thickBot="1" x14ac:dyDescent="0.25">
      <c r="A1104" s="945"/>
      <c r="B1104" s="530" t="s">
        <v>668</v>
      </c>
      <c r="C1104" s="108" t="s">
        <v>669</v>
      </c>
      <c r="D1104" s="109" t="s">
        <v>585</v>
      </c>
      <c r="E1104" s="200">
        <v>1</v>
      </c>
      <c r="F1104" s="110">
        <f>VLOOKUP(B1104,'BASE DE DATOS'!$A$5:$E$997,5,FALSE)</f>
        <v>58310</v>
      </c>
      <c r="G1104" s="156">
        <f>1/10</f>
        <v>0.1</v>
      </c>
      <c r="H1104" s="255">
        <f t="shared" si="81"/>
        <v>5831</v>
      </c>
    </row>
    <row r="1105" spans="1:9" s="42" customFormat="1" ht="30" x14ac:dyDescent="0.2">
      <c r="A1105" s="458" t="s">
        <v>864</v>
      </c>
      <c r="B1105" s="529"/>
      <c r="C1105" s="388" t="s">
        <v>3604</v>
      </c>
      <c r="D1105" s="389" t="s">
        <v>405</v>
      </c>
      <c r="E1105" s="395"/>
      <c r="F1105" s="391">
        <f>ROUND(SUM(H1105:H1114),0)</f>
        <v>73584</v>
      </c>
      <c r="G1105" s="392"/>
      <c r="H1105" s="393"/>
      <c r="I1105" s="738"/>
    </row>
    <row r="1106" spans="1:9" x14ac:dyDescent="0.2">
      <c r="A1106" s="936" t="s">
        <v>382</v>
      </c>
      <c r="B1106" s="241" t="s">
        <v>1264</v>
      </c>
      <c r="C1106" s="3" t="s">
        <v>641</v>
      </c>
      <c r="D1106" s="2" t="s">
        <v>642</v>
      </c>
      <c r="E1106" s="196">
        <v>0.05</v>
      </c>
      <c r="F1106" s="23">
        <f>VLOOKUP(B1106,'BASE DE DATOS'!$A$5:$E$997,5,FALSE)</f>
        <v>10959</v>
      </c>
      <c r="G1106" s="104">
        <v>0</v>
      </c>
      <c r="H1106" s="252">
        <f>IF(G1106&gt;0,(G1106*F1106*E1106),(F1106*E1106))</f>
        <v>547.95000000000005</v>
      </c>
    </row>
    <row r="1107" spans="1:9" x14ac:dyDescent="0.2">
      <c r="A1107" s="936"/>
      <c r="B1107" s="241" t="s">
        <v>1290</v>
      </c>
      <c r="C1107" s="3" t="s">
        <v>2697</v>
      </c>
      <c r="D1107" s="2" t="s">
        <v>406</v>
      </c>
      <c r="E1107" s="114">
        <f>1/5</f>
        <v>0.2</v>
      </c>
      <c r="F1107" s="23">
        <f>VLOOKUP(B1107,'BASE DE DATOS'!$A$5:$E$997,5,FALSE)</f>
        <v>13045</v>
      </c>
      <c r="G1107" s="104">
        <v>1.03</v>
      </c>
      <c r="H1107" s="252">
        <f>IF(G1107&gt;0,(G1107*F1107*E1107),(F1107*E1107))</f>
        <v>2687.2700000000004</v>
      </c>
    </row>
    <row r="1108" spans="1:9" ht="14.25" x14ac:dyDescent="0.2">
      <c r="A1108" s="936"/>
      <c r="B1108" s="241" t="s">
        <v>1476</v>
      </c>
      <c r="C1108" s="44" t="s">
        <v>3794</v>
      </c>
      <c r="D1108" s="2" t="s">
        <v>288</v>
      </c>
      <c r="E1108" s="196">
        <v>0.6</v>
      </c>
      <c r="F1108" s="23">
        <f>VLOOKUP(B1108,'BASE DE DATOS'!$A$5:$E$997,5,FALSE)</f>
        <v>13864</v>
      </c>
      <c r="G1108" s="104">
        <v>1.03</v>
      </c>
      <c r="H1108" s="252">
        <f t="shared" ref="H1108:H1114" si="82">IF(G1108&gt;0,(G1108*F1108*E1108),(F1108*E1108))</f>
        <v>8567.9519999999993</v>
      </c>
    </row>
    <row r="1109" spans="1:9" x14ac:dyDescent="0.2">
      <c r="A1109" s="936"/>
      <c r="B1109" s="241" t="s">
        <v>1558</v>
      </c>
      <c r="C1109" s="3" t="s">
        <v>2023</v>
      </c>
      <c r="D1109" s="2" t="s">
        <v>590</v>
      </c>
      <c r="E1109" s="196">
        <v>0.1</v>
      </c>
      <c r="F1109" s="23">
        <f>VLOOKUP(B1109,'BASE DE DATOS'!$A$5:$E$997,5,FALSE)</f>
        <v>5650</v>
      </c>
      <c r="G1109" s="104">
        <v>0</v>
      </c>
      <c r="H1109" s="252">
        <f>IF(G1109&gt;0,(G1109*F1109*E1109),(F1109*E1109))</f>
        <v>565</v>
      </c>
    </row>
    <row r="1110" spans="1:9" x14ac:dyDescent="0.2">
      <c r="A1110" s="936"/>
      <c r="B1110" s="241" t="s">
        <v>1690</v>
      </c>
      <c r="C1110" s="3" t="s">
        <v>2749</v>
      </c>
      <c r="D1110" s="2" t="s">
        <v>405</v>
      </c>
      <c r="E1110" s="196">
        <v>3.2</v>
      </c>
      <c r="F1110" s="23">
        <f>VLOOKUP(B1110,'BASE DE DATOS'!$A$5:$E$997,5,FALSE)</f>
        <v>1540</v>
      </c>
      <c r="G1110" s="104">
        <f>1/3</f>
        <v>0.33333333333333331</v>
      </c>
      <c r="H1110" s="252">
        <f>IF(G1110&gt;0,(G1110*F1110*E1110),(F1110*E1110))</f>
        <v>1642.6666666666665</v>
      </c>
    </row>
    <row r="1111" spans="1:9" s="33" customFormat="1" x14ac:dyDescent="0.2">
      <c r="A1111" s="946" t="s">
        <v>3252</v>
      </c>
      <c r="B1111" s="241" t="s">
        <v>814</v>
      </c>
      <c r="C1111" s="3" t="s">
        <v>2018</v>
      </c>
      <c r="D1111" s="2" t="s">
        <v>406</v>
      </c>
      <c r="E1111" s="196">
        <v>1</v>
      </c>
      <c r="F1111" s="23">
        <f>F118</f>
        <v>7440</v>
      </c>
      <c r="G1111" s="104">
        <v>0</v>
      </c>
      <c r="H1111" s="252">
        <f>IF(G1111&gt;0,(G1111*F1111*E1111),(F1111*E1111))</f>
        <v>7440</v>
      </c>
    </row>
    <row r="1112" spans="1:9" s="33" customFormat="1" ht="14.25" x14ac:dyDescent="0.2">
      <c r="A1112" s="946"/>
      <c r="B1112" s="241" t="s">
        <v>799</v>
      </c>
      <c r="C1112" s="3" t="s">
        <v>2089</v>
      </c>
      <c r="D1112" s="2" t="s">
        <v>285</v>
      </c>
      <c r="E1112" s="196">
        <v>3.5999999999999997E-2</v>
      </c>
      <c r="F1112" s="23">
        <f>F34</f>
        <v>482282</v>
      </c>
      <c r="G1112" s="104">
        <v>1.05</v>
      </c>
      <c r="H1112" s="252">
        <f t="shared" si="82"/>
        <v>18230.259600000001</v>
      </c>
    </row>
    <row r="1113" spans="1:9" x14ac:dyDescent="0.2">
      <c r="A1113" s="81" t="s">
        <v>2555</v>
      </c>
      <c r="B1113" s="241" t="s">
        <v>644</v>
      </c>
      <c r="C1113" s="3" t="s">
        <v>645</v>
      </c>
      <c r="D1113" s="2" t="s">
        <v>585</v>
      </c>
      <c r="E1113" s="196">
        <v>1</v>
      </c>
      <c r="F1113" s="23">
        <f>VLOOKUP(B1113,'BASE DE DATOS'!$A$5:$E$997,5,FALSE)</f>
        <v>248302</v>
      </c>
      <c r="G1113" s="104">
        <f>1/7.69</f>
        <v>0.13003901170351104</v>
      </c>
      <c r="H1113" s="252">
        <f t="shared" si="82"/>
        <v>32288.946684005197</v>
      </c>
    </row>
    <row r="1114" spans="1:9" ht="13.5" thickBot="1" x14ac:dyDescent="0.25">
      <c r="A1114" s="94" t="s">
        <v>293</v>
      </c>
      <c r="B1114" s="530" t="s">
        <v>269</v>
      </c>
      <c r="C1114" s="108" t="s">
        <v>284</v>
      </c>
      <c r="D1114" s="109" t="s">
        <v>586</v>
      </c>
      <c r="E1114" s="203">
        <v>0.05</v>
      </c>
      <c r="F1114" s="110">
        <f>H1113</f>
        <v>32288.946684005197</v>
      </c>
      <c r="G1114" s="156">
        <v>0</v>
      </c>
      <c r="H1114" s="255">
        <f t="shared" si="82"/>
        <v>1614.44733420026</v>
      </c>
    </row>
    <row r="1115" spans="1:9" s="42" customFormat="1" ht="45" x14ac:dyDescent="0.2">
      <c r="A1115" s="458" t="s">
        <v>865</v>
      </c>
      <c r="B1115" s="529"/>
      <c r="C1115" s="388" t="s">
        <v>3605</v>
      </c>
      <c r="D1115" s="389" t="s">
        <v>411</v>
      </c>
      <c r="E1115" s="395"/>
      <c r="F1115" s="391">
        <f>ROUND(SUM(H1115:H1124),0)</f>
        <v>61738</v>
      </c>
      <c r="G1115" s="392"/>
      <c r="H1115" s="393"/>
      <c r="I1115" s="738"/>
    </row>
    <row r="1116" spans="1:9" s="33" customFormat="1" x14ac:dyDescent="0.2">
      <c r="A1116" s="936" t="s">
        <v>382</v>
      </c>
      <c r="B1116" s="241" t="s">
        <v>1264</v>
      </c>
      <c r="C1116" s="3" t="s">
        <v>641</v>
      </c>
      <c r="D1116" s="2" t="s">
        <v>642</v>
      </c>
      <c r="E1116" s="196">
        <v>0.05</v>
      </c>
      <c r="F1116" s="23">
        <f>VLOOKUP(B1116,'BASE DE DATOS'!$A$5:$E$997,5,FALSE)</f>
        <v>10959</v>
      </c>
      <c r="G1116" s="104">
        <v>0</v>
      </c>
      <c r="H1116" s="252">
        <f>IF(G1116&gt;0,(G1116*F1116*E1116),(F1116*E1116))</f>
        <v>547.95000000000005</v>
      </c>
    </row>
    <row r="1117" spans="1:9" x14ac:dyDescent="0.2">
      <c r="A1117" s="936"/>
      <c r="B1117" s="241" t="s">
        <v>1290</v>
      </c>
      <c r="C1117" s="3" t="s">
        <v>2697</v>
      </c>
      <c r="D1117" s="2" t="s">
        <v>406</v>
      </c>
      <c r="E1117" s="114">
        <f>1/5</f>
        <v>0.2</v>
      </c>
      <c r="F1117" s="23">
        <f>VLOOKUP(B1117,'BASE DE DATOS'!$A$5:$E$997,5,FALSE)</f>
        <v>13045</v>
      </c>
      <c r="G1117" s="104">
        <v>1.03</v>
      </c>
      <c r="H1117" s="252">
        <f>IF(G1117&gt;0,(G1117*F1117*E1117),(F1117*E1117))</f>
        <v>2687.2700000000004</v>
      </c>
    </row>
    <row r="1118" spans="1:9" x14ac:dyDescent="0.2">
      <c r="A1118" s="936"/>
      <c r="B1118" s="241" t="s">
        <v>1463</v>
      </c>
      <c r="C1118" s="3" t="s">
        <v>593</v>
      </c>
      <c r="D1118" s="2" t="s">
        <v>405</v>
      </c>
      <c r="E1118" s="114">
        <v>2.2999999999999998</v>
      </c>
      <c r="F1118" s="23">
        <f>VLOOKUP(B1118,'BASE DE DATOS'!$A$5:$E$997,5,FALSE)</f>
        <v>4704</v>
      </c>
      <c r="G1118" s="104">
        <f>1/3</f>
        <v>0.33333333333333331</v>
      </c>
      <c r="H1118" s="252">
        <f t="shared" ref="H1118:H1124" si="83">IF(G1118&gt;0,(G1118*F1118*E1118),(F1118*E1118))</f>
        <v>3606.3999999999996</v>
      </c>
    </row>
    <row r="1119" spans="1:9" ht="14.25" x14ac:dyDescent="0.2">
      <c r="A1119" s="936"/>
      <c r="B1119" s="241" t="s">
        <v>1476</v>
      </c>
      <c r="C1119" s="44" t="s">
        <v>3794</v>
      </c>
      <c r="D1119" s="2" t="s">
        <v>288</v>
      </c>
      <c r="E1119" s="196">
        <v>0.3</v>
      </c>
      <c r="F1119" s="23">
        <f>VLOOKUP(B1119,'BASE DE DATOS'!$A$5:$E$997,5,FALSE)</f>
        <v>13864</v>
      </c>
      <c r="G1119" s="104">
        <v>1.03</v>
      </c>
      <c r="H1119" s="252">
        <f>IF(G1119&gt;0,(G1119*F1119*E1119),(F1119*E1119))</f>
        <v>4283.9759999999997</v>
      </c>
    </row>
    <row r="1120" spans="1:9" x14ac:dyDescent="0.2">
      <c r="A1120" s="936"/>
      <c r="B1120" s="241" t="s">
        <v>1558</v>
      </c>
      <c r="C1120" s="3" t="s">
        <v>2023</v>
      </c>
      <c r="D1120" s="2" t="s">
        <v>590</v>
      </c>
      <c r="E1120" s="114">
        <v>0.1</v>
      </c>
      <c r="F1120" s="23">
        <f>VLOOKUP(B1120,'BASE DE DATOS'!$A$5:$E$997,5,FALSE)</f>
        <v>5650</v>
      </c>
      <c r="G1120" s="104">
        <v>0</v>
      </c>
      <c r="H1120" s="252">
        <f t="shared" si="83"/>
        <v>565</v>
      </c>
    </row>
    <row r="1121" spans="1:9" s="33" customFormat="1" x14ac:dyDescent="0.2">
      <c r="A1121" s="946" t="s">
        <v>3252</v>
      </c>
      <c r="B1121" s="241" t="s">
        <v>814</v>
      </c>
      <c r="C1121" s="3" t="s">
        <v>2018</v>
      </c>
      <c r="D1121" s="2" t="s">
        <v>406</v>
      </c>
      <c r="E1121" s="196">
        <v>1</v>
      </c>
      <c r="F1121" s="23">
        <f>F118</f>
        <v>7440</v>
      </c>
      <c r="G1121" s="104">
        <v>0</v>
      </c>
      <c r="H1121" s="252">
        <f>IF(G1121&gt;0,(G1121*F1121*E1121),(F1121*E1121))</f>
        <v>7440</v>
      </c>
    </row>
    <row r="1122" spans="1:9" ht="14.25" x14ac:dyDescent="0.2">
      <c r="A1122" s="946"/>
      <c r="B1122" s="241" t="s">
        <v>799</v>
      </c>
      <c r="C1122" s="3" t="s">
        <v>2089</v>
      </c>
      <c r="D1122" s="2" t="s">
        <v>285</v>
      </c>
      <c r="E1122" s="196">
        <v>1.4E-2</v>
      </c>
      <c r="F1122" s="23">
        <f>F34</f>
        <v>482282</v>
      </c>
      <c r="G1122" s="104">
        <v>1.05</v>
      </c>
      <c r="H1122" s="252">
        <f t="shared" si="83"/>
        <v>7089.5454000000009</v>
      </c>
    </row>
    <row r="1123" spans="1:9" x14ac:dyDescent="0.2">
      <c r="A1123" s="81" t="s">
        <v>2555</v>
      </c>
      <c r="B1123" s="241" t="s">
        <v>644</v>
      </c>
      <c r="C1123" s="3" t="s">
        <v>645</v>
      </c>
      <c r="D1123" s="2" t="s">
        <v>585</v>
      </c>
      <c r="E1123" s="196">
        <v>1</v>
      </c>
      <c r="F1123" s="23">
        <f>VLOOKUP(B1123,'BASE DE DATOS'!$A$5:$E$997,5,FALSE)</f>
        <v>248302</v>
      </c>
      <c r="G1123" s="104">
        <f>1/7.69</f>
        <v>0.13003901170351104</v>
      </c>
      <c r="H1123" s="252">
        <f t="shared" si="83"/>
        <v>32288.946684005197</v>
      </c>
    </row>
    <row r="1124" spans="1:9" ht="13.5" thickBot="1" x14ac:dyDescent="0.25">
      <c r="A1124" s="94" t="s">
        <v>293</v>
      </c>
      <c r="B1124" s="530" t="s">
        <v>269</v>
      </c>
      <c r="C1124" s="108" t="s">
        <v>284</v>
      </c>
      <c r="D1124" s="109" t="s">
        <v>586</v>
      </c>
      <c r="E1124" s="203">
        <v>0.1</v>
      </c>
      <c r="F1124" s="110">
        <f>H1123</f>
        <v>32288.946684005197</v>
      </c>
      <c r="G1124" s="156">
        <v>0</v>
      </c>
      <c r="H1124" s="255">
        <f t="shared" si="83"/>
        <v>3228.89466840052</v>
      </c>
    </row>
    <row r="1125" spans="1:9" s="42" customFormat="1" ht="30" x14ac:dyDescent="0.2">
      <c r="A1125" s="458" t="s">
        <v>866</v>
      </c>
      <c r="B1125" s="529"/>
      <c r="C1125" s="388" t="s">
        <v>2042</v>
      </c>
      <c r="D1125" s="389" t="s">
        <v>411</v>
      </c>
      <c r="E1125" s="395"/>
      <c r="F1125" s="391">
        <f>ROUND(SUM(H1125:H1133),0)</f>
        <v>306514</v>
      </c>
      <c r="G1125" s="392"/>
      <c r="H1125" s="393"/>
      <c r="I1125" s="738"/>
    </row>
    <row r="1126" spans="1:9" s="33" customFormat="1" ht="25.5" x14ac:dyDescent="0.2">
      <c r="A1126" s="939" t="s">
        <v>295</v>
      </c>
      <c r="B1126" s="241" t="s">
        <v>1274</v>
      </c>
      <c r="C1126" s="26" t="s">
        <v>1934</v>
      </c>
      <c r="D1126" s="2" t="s">
        <v>406</v>
      </c>
      <c r="E1126" s="196">
        <v>0.4</v>
      </c>
      <c r="F1126" s="23">
        <f>VLOOKUP(B1126,'BASE DE DATOS'!$A$5:$E$997,5,FALSE)</f>
        <v>195900</v>
      </c>
      <c r="G1126" s="104">
        <v>1.03</v>
      </c>
      <c r="H1126" s="252">
        <f>IF(G1126&gt;0,(G1126*F1126*E1126),(F1126*E1126))</f>
        <v>80710.8</v>
      </c>
    </row>
    <row r="1127" spans="1:9" x14ac:dyDescent="0.2">
      <c r="A1127" s="939"/>
      <c r="B1127" s="241" t="s">
        <v>1286</v>
      </c>
      <c r="C1127" s="3" t="s">
        <v>664</v>
      </c>
      <c r="D1127" s="2" t="s">
        <v>405</v>
      </c>
      <c r="E1127" s="196">
        <v>3.4</v>
      </c>
      <c r="F1127" s="23">
        <f>VLOOKUP(B1127,'BASE DE DATOS'!$A$5:$E$997,5,FALSE)</f>
        <v>6817</v>
      </c>
      <c r="G1127" s="104">
        <v>0</v>
      </c>
      <c r="H1127" s="252">
        <f t="shared" ref="H1127:H1133" si="84">IF(G1127&gt;0,(G1127*F1127*E1127),(F1127*E1127))</f>
        <v>23177.8</v>
      </c>
    </row>
    <row r="1128" spans="1:9" x14ac:dyDescent="0.2">
      <c r="A1128" s="939"/>
      <c r="B1128" s="241" t="s">
        <v>1463</v>
      </c>
      <c r="C1128" s="3" t="s">
        <v>593</v>
      </c>
      <c r="D1128" s="2" t="s">
        <v>405</v>
      </c>
      <c r="E1128" s="196">
        <v>4</v>
      </c>
      <c r="F1128" s="23">
        <f>VLOOKUP(B1128,'BASE DE DATOS'!$A$5:$E$997,5,FALSE)</f>
        <v>4704</v>
      </c>
      <c r="G1128" s="104">
        <f>1/3</f>
        <v>0.33333333333333331</v>
      </c>
      <c r="H1128" s="252">
        <f t="shared" si="84"/>
        <v>6272</v>
      </c>
    </row>
    <row r="1129" spans="1:9" s="33" customFormat="1" x14ac:dyDescent="0.2">
      <c r="A1129" s="939"/>
      <c r="B1129" s="241" t="s">
        <v>1558</v>
      </c>
      <c r="C1129" s="3" t="s">
        <v>2023</v>
      </c>
      <c r="D1129" s="2" t="s">
        <v>590</v>
      </c>
      <c r="E1129" s="196">
        <v>0.5</v>
      </c>
      <c r="F1129" s="23">
        <f>VLOOKUP(B1129,'BASE DE DATOS'!$A$5:$E$997,5,FALSE)</f>
        <v>5650</v>
      </c>
      <c r="G1129" s="104">
        <v>0</v>
      </c>
      <c r="H1129" s="252">
        <f t="shared" si="84"/>
        <v>2825</v>
      </c>
    </row>
    <row r="1130" spans="1:9" x14ac:dyDescent="0.2">
      <c r="A1130" s="939"/>
      <c r="B1130" s="241" t="s">
        <v>1711</v>
      </c>
      <c r="C1130" s="3" t="s">
        <v>632</v>
      </c>
      <c r="D1130" s="2" t="s">
        <v>405</v>
      </c>
      <c r="E1130" s="196">
        <v>4</v>
      </c>
      <c r="F1130" s="23">
        <f>VLOOKUP(B1130,'BASE DE DATOS'!$A$5:$E$997,5,FALSE)</f>
        <v>10991</v>
      </c>
      <c r="G1130" s="104">
        <f>1/3</f>
        <v>0.33333333333333331</v>
      </c>
      <c r="H1130" s="252">
        <f t="shared" si="84"/>
        <v>14654.666666666666</v>
      </c>
    </row>
    <row r="1131" spans="1:9" ht="14.25" x14ac:dyDescent="0.2">
      <c r="A1131" s="64" t="s">
        <v>3252</v>
      </c>
      <c r="B1131" s="241" t="s">
        <v>799</v>
      </c>
      <c r="C1131" s="3" t="s">
        <v>2089</v>
      </c>
      <c r="D1131" s="2" t="s">
        <v>285</v>
      </c>
      <c r="E1131" s="196">
        <v>0.2</v>
      </c>
      <c r="F1131" s="23">
        <f>F34</f>
        <v>482282</v>
      </c>
      <c r="G1131" s="104">
        <v>1.05</v>
      </c>
      <c r="H1131" s="252">
        <f t="shared" si="84"/>
        <v>101279.22000000002</v>
      </c>
    </row>
    <row r="1132" spans="1:9" s="33" customFormat="1" x14ac:dyDescent="0.2">
      <c r="A1132" s="81" t="s">
        <v>2555</v>
      </c>
      <c r="B1132" s="241" t="s">
        <v>644</v>
      </c>
      <c r="C1132" s="3" t="s">
        <v>645</v>
      </c>
      <c r="D1132" s="2" t="s">
        <v>585</v>
      </c>
      <c r="E1132" s="196">
        <v>1</v>
      </c>
      <c r="F1132" s="23">
        <f>VLOOKUP(B1132,'BASE DE DATOS'!$A$5:$E$997,5,FALSE)</f>
        <v>248302</v>
      </c>
      <c r="G1132" s="104">
        <f>1/4</f>
        <v>0.25</v>
      </c>
      <c r="H1132" s="252">
        <f t="shared" si="84"/>
        <v>62075.5</v>
      </c>
    </row>
    <row r="1133" spans="1:9" ht="13.5" thickBot="1" x14ac:dyDescent="0.25">
      <c r="A1133" s="94" t="s">
        <v>293</v>
      </c>
      <c r="B1133" s="530" t="s">
        <v>269</v>
      </c>
      <c r="C1133" s="108" t="s">
        <v>284</v>
      </c>
      <c r="D1133" s="109" t="s">
        <v>586</v>
      </c>
      <c r="E1133" s="203">
        <v>0.25</v>
      </c>
      <c r="F1133" s="110">
        <f>H1132</f>
        <v>62075.5</v>
      </c>
      <c r="G1133" s="156">
        <v>0</v>
      </c>
      <c r="H1133" s="255">
        <f t="shared" si="84"/>
        <v>15518.875</v>
      </c>
    </row>
    <row r="1134" spans="1:9" s="42" customFormat="1" ht="30" x14ac:dyDescent="0.2">
      <c r="A1134" s="67" t="s">
        <v>867</v>
      </c>
      <c r="B1134" s="529"/>
      <c r="C1134" s="388" t="s">
        <v>2152</v>
      </c>
      <c r="D1134" s="389" t="s">
        <v>3251</v>
      </c>
      <c r="E1134" s="395"/>
      <c r="F1134" s="391">
        <f>ROUND(SUM(H1134:H1142),0)</f>
        <v>101057</v>
      </c>
      <c r="G1134" s="392"/>
      <c r="H1134" s="393"/>
      <c r="I1134" s="738"/>
    </row>
    <row r="1135" spans="1:9" x14ac:dyDescent="0.2">
      <c r="A1135" s="936" t="s">
        <v>382</v>
      </c>
      <c r="B1135" s="241" t="s">
        <v>1385</v>
      </c>
      <c r="C1135" s="3" t="s">
        <v>3936</v>
      </c>
      <c r="D1135" s="2" t="s">
        <v>406</v>
      </c>
      <c r="E1135" s="114">
        <v>1.25</v>
      </c>
      <c r="F1135" s="23">
        <f>VLOOKUP(B1135,'BASE DE DATOS'!$A$5:$E$997,5,FALSE)</f>
        <v>3430</v>
      </c>
      <c r="G1135" s="104">
        <v>1.03</v>
      </c>
      <c r="H1135" s="252">
        <f>IF(G1135&gt;0,(G1135*F1135*E1135),(F1135*E1135))</f>
        <v>4416.125</v>
      </c>
    </row>
    <row r="1136" spans="1:9" x14ac:dyDescent="0.2">
      <c r="A1136" s="936"/>
      <c r="B1136" s="241" t="s">
        <v>1463</v>
      </c>
      <c r="C1136" s="3" t="s">
        <v>593</v>
      </c>
      <c r="D1136" s="2" t="s">
        <v>405</v>
      </c>
      <c r="E1136" s="114">
        <v>2.5</v>
      </c>
      <c r="F1136" s="23">
        <f>VLOOKUP(B1136,'BASE DE DATOS'!$A$5:$E$997,5,FALSE)</f>
        <v>4704</v>
      </c>
      <c r="G1136" s="104">
        <v>0</v>
      </c>
      <c r="H1136" s="252">
        <f t="shared" ref="H1136:H1193" si="85">IF(G1136&gt;0,(G1136*F1136*E1136),(F1136*E1136))</f>
        <v>11760</v>
      </c>
    </row>
    <row r="1137" spans="1:9" x14ac:dyDescent="0.2">
      <c r="A1137" s="936"/>
      <c r="B1137" s="241" t="s">
        <v>1527</v>
      </c>
      <c r="C1137" s="3" t="s">
        <v>1936</v>
      </c>
      <c r="D1137" s="2" t="s">
        <v>97</v>
      </c>
      <c r="E1137" s="114">
        <v>88.7</v>
      </c>
      <c r="F1137" s="23">
        <f>VLOOKUP(B1137,'BASE DE DATOS'!$A$5:$E$997,5,FALSE)</f>
        <v>20.07</v>
      </c>
      <c r="G1137" s="104">
        <v>1.03</v>
      </c>
      <c r="H1137" s="252">
        <f>IF(G1137&gt;0,(G1137*F1137*E1137),(F1137*E1137))</f>
        <v>1833.61527</v>
      </c>
    </row>
    <row r="1138" spans="1:9" x14ac:dyDescent="0.2">
      <c r="A1138" s="936"/>
      <c r="B1138" s="241" t="s">
        <v>1558</v>
      </c>
      <c r="C1138" s="3" t="s">
        <v>603</v>
      </c>
      <c r="D1138" s="2" t="s">
        <v>590</v>
      </c>
      <c r="E1138" s="114">
        <v>0.01</v>
      </c>
      <c r="F1138" s="23">
        <f>VLOOKUP(B1138,'BASE DE DATOS'!$A$5:$E$997,5,FALSE)</f>
        <v>5650</v>
      </c>
      <c r="G1138" s="104">
        <v>0</v>
      </c>
      <c r="H1138" s="252">
        <f t="shared" si="85"/>
        <v>56.5</v>
      </c>
    </row>
    <row r="1139" spans="1:9" x14ac:dyDescent="0.2">
      <c r="A1139" s="936"/>
      <c r="B1139" s="241" t="s">
        <v>1711</v>
      </c>
      <c r="C1139" s="3" t="s">
        <v>632</v>
      </c>
      <c r="D1139" s="2" t="s">
        <v>405</v>
      </c>
      <c r="E1139" s="114">
        <v>1</v>
      </c>
      <c r="F1139" s="23">
        <f>VLOOKUP(B1139,'BASE DE DATOS'!$A$5:$E$997,5,FALSE)</f>
        <v>10991</v>
      </c>
      <c r="G1139" s="104">
        <f>1/3</f>
        <v>0.33333333333333331</v>
      </c>
      <c r="H1139" s="252">
        <f>IF(G1139&gt;0,(G1139*F1139*E1139),(F1139*E1139))</f>
        <v>3663.6666666666665</v>
      </c>
    </row>
    <row r="1140" spans="1:9" ht="14.25" x14ac:dyDescent="0.2">
      <c r="A1140" s="125" t="s">
        <v>3252</v>
      </c>
      <c r="B1140" s="241" t="s">
        <v>810</v>
      </c>
      <c r="C1140" s="3" t="s">
        <v>2097</v>
      </c>
      <c r="D1140" s="2" t="s">
        <v>285</v>
      </c>
      <c r="E1140" s="114">
        <v>0.02</v>
      </c>
      <c r="F1140" s="23">
        <f>F90</f>
        <v>525897</v>
      </c>
      <c r="G1140" s="104">
        <v>1.05</v>
      </c>
      <c r="H1140" s="252">
        <f t="shared" si="85"/>
        <v>11043.837</v>
      </c>
    </row>
    <row r="1141" spans="1:9" x14ac:dyDescent="0.2">
      <c r="A1141" s="81" t="s">
        <v>2555</v>
      </c>
      <c r="B1141" s="241" t="s">
        <v>644</v>
      </c>
      <c r="C1141" s="3" t="s">
        <v>645</v>
      </c>
      <c r="D1141" s="2" t="s">
        <v>585</v>
      </c>
      <c r="E1141" s="114">
        <v>1</v>
      </c>
      <c r="F1141" s="23">
        <f>VLOOKUP(B1141,'BASE DE DATOS'!$A$5:$E$997,5,FALSE)</f>
        <v>248302</v>
      </c>
      <c r="G1141" s="104">
        <f>1/4</f>
        <v>0.25</v>
      </c>
      <c r="H1141" s="252">
        <f t="shared" si="85"/>
        <v>62075.5</v>
      </c>
    </row>
    <row r="1142" spans="1:9" ht="13.5" thickBot="1" x14ac:dyDescent="0.25">
      <c r="A1142" s="94" t="s">
        <v>293</v>
      </c>
      <c r="B1142" s="528" t="s">
        <v>269</v>
      </c>
      <c r="C1142" s="108" t="s">
        <v>284</v>
      </c>
      <c r="D1142" s="109" t="s">
        <v>586</v>
      </c>
      <c r="E1142" s="200">
        <v>0.1</v>
      </c>
      <c r="F1142" s="110">
        <f>H1141</f>
        <v>62075.5</v>
      </c>
      <c r="G1142" s="156">
        <v>0</v>
      </c>
      <c r="H1142" s="479">
        <f t="shared" si="85"/>
        <v>6207.55</v>
      </c>
    </row>
    <row r="1143" spans="1:9" s="42" customFormat="1" ht="30" x14ac:dyDescent="0.2">
      <c r="A1143" s="67" t="s">
        <v>1086</v>
      </c>
      <c r="B1143" s="529"/>
      <c r="C1143" s="388" t="s">
        <v>3606</v>
      </c>
      <c r="D1143" s="389" t="s">
        <v>405</v>
      </c>
      <c r="E1143" s="395"/>
      <c r="F1143" s="391">
        <f>ROUND(SUM(H1143:H1151),0)</f>
        <v>63928</v>
      </c>
      <c r="G1143" s="392"/>
      <c r="H1143" s="393"/>
      <c r="I1143" s="738"/>
    </row>
    <row r="1144" spans="1:9" ht="14.25" x14ac:dyDescent="0.2">
      <c r="A1144" s="936" t="s">
        <v>382</v>
      </c>
      <c r="B1144" s="241" t="s">
        <v>1263</v>
      </c>
      <c r="C1144" s="44" t="s">
        <v>3811</v>
      </c>
      <c r="D1144" s="2" t="s">
        <v>406</v>
      </c>
      <c r="E1144" s="114">
        <v>2</v>
      </c>
      <c r="F1144" s="23">
        <f>VLOOKUP(B1144,'BASE DE DATOS'!$A$5:$E$997,5,FALSE)</f>
        <v>4545</v>
      </c>
      <c r="G1144" s="104">
        <v>0</v>
      </c>
      <c r="H1144" s="252">
        <f t="shared" si="85"/>
        <v>9090</v>
      </c>
    </row>
    <row r="1145" spans="1:9" x14ac:dyDescent="0.2">
      <c r="A1145" s="936"/>
      <c r="B1145" s="241" t="s">
        <v>1418</v>
      </c>
      <c r="C1145" s="3" t="s">
        <v>591</v>
      </c>
      <c r="D1145" s="2" t="s">
        <v>411</v>
      </c>
      <c r="E1145" s="114">
        <v>0.3</v>
      </c>
      <c r="F1145" s="23">
        <f>VLOOKUP(B1145,'BASE DE DATOS'!$A$5:$E$997,5,FALSE)</f>
        <v>5250</v>
      </c>
      <c r="G1145" s="104">
        <f>1/3</f>
        <v>0.33333333333333331</v>
      </c>
      <c r="H1145" s="252">
        <f>IF(G1145&gt;0,(G1145*F1145*E1145),(F1145*E1145))</f>
        <v>525</v>
      </c>
    </row>
    <row r="1146" spans="1:9" x14ac:dyDescent="0.2">
      <c r="A1146" s="936"/>
      <c r="B1146" s="241" t="s">
        <v>1463</v>
      </c>
      <c r="C1146" s="3" t="s">
        <v>593</v>
      </c>
      <c r="D1146" s="2" t="s">
        <v>405</v>
      </c>
      <c r="E1146" s="114">
        <v>1</v>
      </c>
      <c r="F1146" s="23">
        <f>VLOOKUP(B1146,'BASE DE DATOS'!$A$5:$E$997,5,FALSE)</f>
        <v>4704</v>
      </c>
      <c r="G1146" s="104">
        <f>1/3</f>
        <v>0.33333333333333331</v>
      </c>
      <c r="H1146" s="252">
        <f>IF(G1146&gt;0,(G1146*F1146*E1146),(F1146*E1146))</f>
        <v>1568</v>
      </c>
    </row>
    <row r="1147" spans="1:9" x14ac:dyDescent="0.2">
      <c r="A1147" s="936"/>
      <c r="B1147" s="241" t="s">
        <v>1558</v>
      </c>
      <c r="C1147" s="3" t="s">
        <v>603</v>
      </c>
      <c r="D1147" s="2" t="s">
        <v>590</v>
      </c>
      <c r="E1147" s="114">
        <v>0.1</v>
      </c>
      <c r="F1147" s="23">
        <f>VLOOKUP(B1147,'BASE DE DATOS'!$A$5:$E$997,5,FALSE)</f>
        <v>5650</v>
      </c>
      <c r="G1147" s="104">
        <v>0</v>
      </c>
      <c r="H1147" s="252">
        <f>IF(G1147&gt;0,(G1147*F1147*E1147),(F1147*E1147))</f>
        <v>565</v>
      </c>
    </row>
    <row r="1148" spans="1:9" x14ac:dyDescent="0.2">
      <c r="A1148" s="936"/>
      <c r="B1148" s="241" t="s">
        <v>1711</v>
      </c>
      <c r="C1148" s="3" t="s">
        <v>632</v>
      </c>
      <c r="D1148" s="2" t="s">
        <v>405</v>
      </c>
      <c r="E1148" s="114">
        <v>1</v>
      </c>
      <c r="F1148" s="23">
        <f>VLOOKUP(B1148,'BASE DE DATOS'!$A$5:$E$997,5,FALSE)</f>
        <v>10991</v>
      </c>
      <c r="G1148" s="104">
        <f>1/3</f>
        <v>0.33333333333333331</v>
      </c>
      <c r="H1148" s="252">
        <f t="shared" si="85"/>
        <v>3663.6666666666665</v>
      </c>
    </row>
    <row r="1149" spans="1:9" ht="15" thickBot="1" x14ac:dyDescent="0.25">
      <c r="A1149" s="344" t="s">
        <v>3252</v>
      </c>
      <c r="B1149" s="241" t="s">
        <v>799</v>
      </c>
      <c r="C1149" s="3" t="s">
        <v>2089</v>
      </c>
      <c r="D1149" s="2" t="s">
        <v>285</v>
      </c>
      <c r="E1149" s="114">
        <v>0.01</v>
      </c>
      <c r="F1149" s="23">
        <f>F34</f>
        <v>482282</v>
      </c>
      <c r="G1149" s="104">
        <v>1.05</v>
      </c>
      <c r="H1149" s="252">
        <f t="shared" si="85"/>
        <v>5063.9610000000002</v>
      </c>
    </row>
    <row r="1150" spans="1:9" x14ac:dyDescent="0.2">
      <c r="A1150" s="121" t="s">
        <v>2555</v>
      </c>
      <c r="B1150" s="241" t="s">
        <v>644</v>
      </c>
      <c r="C1150" s="3" t="s">
        <v>645</v>
      </c>
      <c r="D1150" s="2" t="s">
        <v>585</v>
      </c>
      <c r="E1150" s="114">
        <v>1</v>
      </c>
      <c r="F1150" s="23">
        <f>VLOOKUP(B1150,'BASE DE DATOS'!$A$5:$E$997,5,FALSE)</f>
        <v>248302</v>
      </c>
      <c r="G1150" s="104">
        <f>1/6</f>
        <v>0.16666666666666666</v>
      </c>
      <c r="H1150" s="252">
        <f t="shared" si="85"/>
        <v>41383.666666666664</v>
      </c>
    </row>
    <row r="1151" spans="1:9" ht="13.5" thickBot="1" x14ac:dyDescent="0.25">
      <c r="A1151" s="94" t="s">
        <v>293</v>
      </c>
      <c r="B1151" s="528" t="s">
        <v>269</v>
      </c>
      <c r="C1151" s="108" t="s">
        <v>284</v>
      </c>
      <c r="D1151" s="109" t="s">
        <v>586</v>
      </c>
      <c r="E1151" s="200">
        <v>0.05</v>
      </c>
      <c r="F1151" s="110">
        <f>H1150</f>
        <v>41383.666666666664</v>
      </c>
      <c r="G1151" s="156">
        <v>0</v>
      </c>
      <c r="H1151" s="479">
        <f t="shared" si="85"/>
        <v>2069.1833333333334</v>
      </c>
    </row>
    <row r="1152" spans="1:9" s="42" customFormat="1" ht="15" x14ac:dyDescent="0.2">
      <c r="A1152" s="67" t="s">
        <v>1087</v>
      </c>
      <c r="B1152" s="529"/>
      <c r="C1152" s="388" t="s">
        <v>118</v>
      </c>
      <c r="D1152" s="389" t="s">
        <v>411</v>
      </c>
      <c r="E1152" s="395"/>
      <c r="F1152" s="391">
        <f>ROUND(SUM(H1152:H1155),0)</f>
        <v>16548</v>
      </c>
      <c r="G1152" s="392"/>
      <c r="H1152" s="393"/>
      <c r="I1152" s="738"/>
    </row>
    <row r="1153" spans="1:9" ht="38.25" x14ac:dyDescent="0.2">
      <c r="A1153" s="82" t="s">
        <v>382</v>
      </c>
      <c r="B1153" s="241" t="s">
        <v>1499</v>
      </c>
      <c r="C1153" s="236" t="s">
        <v>2794</v>
      </c>
      <c r="D1153" s="2" t="s">
        <v>411</v>
      </c>
      <c r="E1153" s="114">
        <v>3.1E-2</v>
      </c>
      <c r="F1153" s="23">
        <f>VLOOKUP(B1153,'BASE DE DATOS'!$A$5:$E$997,5,FALSE)</f>
        <v>99900</v>
      </c>
      <c r="G1153" s="104">
        <v>1.1000000000000001</v>
      </c>
      <c r="H1153" s="252">
        <f t="shared" si="85"/>
        <v>3406.5900000000006</v>
      </c>
    </row>
    <row r="1154" spans="1:9" x14ac:dyDescent="0.2">
      <c r="A1154" s="81" t="s">
        <v>2555</v>
      </c>
      <c r="B1154" s="241" t="s">
        <v>644</v>
      </c>
      <c r="C1154" s="3" t="s">
        <v>645</v>
      </c>
      <c r="D1154" s="2" t="s">
        <v>585</v>
      </c>
      <c r="E1154" s="114">
        <v>1</v>
      </c>
      <c r="F1154" s="23">
        <f>VLOOKUP(B1154,'BASE DE DATOS'!$A$5:$E$997,5,FALSE)</f>
        <v>248302</v>
      </c>
      <c r="G1154" s="104">
        <f>1/30</f>
        <v>3.3333333333333333E-2</v>
      </c>
      <c r="H1154" s="252">
        <f t="shared" si="85"/>
        <v>8276.7333333333336</v>
      </c>
    </row>
    <row r="1155" spans="1:9" ht="13.5" thickBot="1" x14ac:dyDescent="0.25">
      <c r="A1155" s="94" t="s">
        <v>293</v>
      </c>
      <c r="B1155" s="528" t="s">
        <v>344</v>
      </c>
      <c r="C1155" s="143" t="s">
        <v>3116</v>
      </c>
      <c r="D1155" s="109" t="s">
        <v>585</v>
      </c>
      <c r="E1155" s="200">
        <v>1</v>
      </c>
      <c r="F1155" s="90">
        <f>VLOOKUP(B1155,'BASE DE DATOS'!$A$5:$E$997,5,FALSE)</f>
        <v>145950</v>
      </c>
      <c r="G1155" s="153">
        <f>1/30</f>
        <v>3.3333333333333333E-2</v>
      </c>
      <c r="H1155" s="479">
        <f t="shared" si="85"/>
        <v>4865</v>
      </c>
    </row>
    <row r="1156" spans="1:9" s="42" customFormat="1" ht="15.75" thickBot="1" x14ac:dyDescent="0.25">
      <c r="A1156" s="67" t="s">
        <v>3530</v>
      </c>
      <c r="B1156" s="529"/>
      <c r="C1156" s="388" t="s">
        <v>119</v>
      </c>
      <c r="D1156" s="389" t="s">
        <v>411</v>
      </c>
      <c r="E1156" s="395"/>
      <c r="F1156" s="391">
        <f>ROUND(SUM(H1156:H1159),0)</f>
        <v>21164</v>
      </c>
      <c r="G1156" s="392"/>
      <c r="H1156" s="393"/>
      <c r="I1156" s="738"/>
    </row>
    <row r="1157" spans="1:9" ht="38.25" x14ac:dyDescent="0.2">
      <c r="A1157" s="120" t="s">
        <v>382</v>
      </c>
      <c r="B1157" s="241" t="s">
        <v>1499</v>
      </c>
      <c r="C1157" s="236" t="s">
        <v>2794</v>
      </c>
      <c r="D1157" s="2" t="s">
        <v>411</v>
      </c>
      <c r="E1157" s="114">
        <v>7.2999999999999995E-2</v>
      </c>
      <c r="F1157" s="23">
        <f>VLOOKUP(B1157,'BASE DE DATOS'!$A$5:$E$997,5,FALSE)</f>
        <v>99900</v>
      </c>
      <c r="G1157" s="104">
        <v>1.1000000000000001</v>
      </c>
      <c r="H1157" s="252">
        <f t="shared" si="85"/>
        <v>8021.97</v>
      </c>
    </row>
    <row r="1158" spans="1:9" x14ac:dyDescent="0.2">
      <c r="A1158" s="81" t="s">
        <v>2555</v>
      </c>
      <c r="B1158" s="241" t="s">
        <v>644</v>
      </c>
      <c r="C1158" s="3" t="s">
        <v>645</v>
      </c>
      <c r="D1158" s="2" t="s">
        <v>585</v>
      </c>
      <c r="E1158" s="114">
        <v>1</v>
      </c>
      <c r="F1158" s="23">
        <f>VLOOKUP(B1158,'BASE DE DATOS'!$A$5:$E$997,5,FALSE)</f>
        <v>248302</v>
      </c>
      <c r="G1158" s="104">
        <f>1/30</f>
        <v>3.3333333333333333E-2</v>
      </c>
      <c r="H1158" s="252">
        <f t="shared" si="85"/>
        <v>8276.7333333333336</v>
      </c>
    </row>
    <row r="1159" spans="1:9" ht="13.5" thickBot="1" x14ac:dyDescent="0.25">
      <c r="A1159" s="94" t="s">
        <v>293</v>
      </c>
      <c r="B1159" s="528" t="s">
        <v>344</v>
      </c>
      <c r="C1159" s="143" t="s">
        <v>3116</v>
      </c>
      <c r="D1159" s="109" t="s">
        <v>585</v>
      </c>
      <c r="E1159" s="200">
        <v>1</v>
      </c>
      <c r="F1159" s="90">
        <f>VLOOKUP(B1159,'BASE DE DATOS'!$A$5:$E$997,5,FALSE)</f>
        <v>145950</v>
      </c>
      <c r="G1159" s="153">
        <v>3.3333333333333333E-2</v>
      </c>
      <c r="H1159" s="479">
        <f t="shared" si="85"/>
        <v>4865</v>
      </c>
    </row>
    <row r="1160" spans="1:9" s="42" customFormat="1" ht="15.75" thickBot="1" x14ac:dyDescent="0.25">
      <c r="A1160" s="67" t="s">
        <v>3372</v>
      </c>
      <c r="B1160" s="529"/>
      <c r="C1160" s="388" t="s">
        <v>120</v>
      </c>
      <c r="D1160" s="389" t="s">
        <v>411</v>
      </c>
      <c r="E1160" s="395"/>
      <c r="F1160" s="391">
        <f>ROUND(SUM(H1160:H1163),0)</f>
        <v>32292</v>
      </c>
      <c r="G1160" s="392"/>
      <c r="H1160" s="393"/>
      <c r="I1160" s="738"/>
    </row>
    <row r="1161" spans="1:9" ht="38.25" x14ac:dyDescent="0.2">
      <c r="A1161" s="120" t="s">
        <v>382</v>
      </c>
      <c r="B1161" s="241" t="s">
        <v>1499</v>
      </c>
      <c r="C1161" s="236" t="s">
        <v>2794</v>
      </c>
      <c r="D1161" s="2" t="s">
        <v>411</v>
      </c>
      <c r="E1161" s="114">
        <v>0.13</v>
      </c>
      <c r="F1161" s="23">
        <f>VLOOKUP(B1161,'BASE DE DATOS'!$A$5:$E$997,5,FALSE)</f>
        <v>99900</v>
      </c>
      <c r="G1161" s="104">
        <v>1.1000000000000001</v>
      </c>
      <c r="H1161" s="252">
        <f t="shared" si="85"/>
        <v>14285.700000000003</v>
      </c>
    </row>
    <row r="1162" spans="1:9" x14ac:dyDescent="0.2">
      <c r="A1162" s="81" t="s">
        <v>2555</v>
      </c>
      <c r="B1162" s="241" t="s">
        <v>644</v>
      </c>
      <c r="C1162" s="3" t="s">
        <v>645</v>
      </c>
      <c r="D1162" s="2" t="s">
        <v>585</v>
      </c>
      <c r="E1162" s="114">
        <v>1</v>
      </c>
      <c r="F1162" s="23">
        <f>VLOOKUP(B1162,'BASE DE DATOS'!$A$5:$E$997,5,FALSE)</f>
        <v>248302</v>
      </c>
      <c r="G1162" s="104">
        <f>1/30</f>
        <v>3.3333333333333333E-2</v>
      </c>
      <c r="H1162" s="252">
        <f t="shared" si="85"/>
        <v>8276.7333333333336</v>
      </c>
    </row>
    <row r="1163" spans="1:9" ht="13.5" thickBot="1" x14ac:dyDescent="0.25">
      <c r="A1163" s="94" t="s">
        <v>293</v>
      </c>
      <c r="B1163" s="528" t="s">
        <v>344</v>
      </c>
      <c r="C1163" s="143" t="s">
        <v>3116</v>
      </c>
      <c r="D1163" s="109" t="s">
        <v>585</v>
      </c>
      <c r="E1163" s="200">
        <v>1</v>
      </c>
      <c r="F1163" s="90">
        <f>VLOOKUP(B1163,'BASE DE DATOS'!$A$5:$E$997,5,FALSE)</f>
        <v>145950</v>
      </c>
      <c r="G1163" s="153">
        <f>1/15</f>
        <v>6.6666666666666666E-2</v>
      </c>
      <c r="H1163" s="479">
        <f t="shared" si="85"/>
        <v>9730</v>
      </c>
    </row>
    <row r="1164" spans="1:9" s="42" customFormat="1" ht="15" x14ac:dyDescent="0.2">
      <c r="A1164" s="67" t="s">
        <v>3373</v>
      </c>
      <c r="B1164" s="560"/>
      <c r="C1164" s="415" t="s">
        <v>429</v>
      </c>
      <c r="D1164" s="441" t="s">
        <v>405</v>
      </c>
      <c r="E1164" s="390"/>
      <c r="F1164" s="391">
        <f>ROUND(SUM(H1164:H1168),0)</f>
        <v>70548</v>
      </c>
      <c r="G1164" s="437"/>
      <c r="H1164" s="442"/>
      <c r="I1164" s="738"/>
    </row>
    <row r="1165" spans="1:9" x14ac:dyDescent="0.2">
      <c r="A1165" s="936" t="s">
        <v>382</v>
      </c>
      <c r="B1165" s="241" t="s">
        <v>1282</v>
      </c>
      <c r="C1165" s="3" t="s">
        <v>2607</v>
      </c>
      <c r="D1165" s="2" t="s">
        <v>406</v>
      </c>
      <c r="E1165" s="114">
        <v>0.04</v>
      </c>
      <c r="F1165" s="23">
        <f>VLOOKUP(B1165,'BASE DE DATOS'!$A$5:$E$997,5,FALSE)</f>
        <v>7790</v>
      </c>
      <c r="G1165" s="104">
        <v>0</v>
      </c>
      <c r="H1165" s="252">
        <f>IF(G1165&gt;0,(G1165*F1165*E1165),(F1165*E1165))</f>
        <v>311.60000000000002</v>
      </c>
    </row>
    <row r="1166" spans="1:9" x14ac:dyDescent="0.2">
      <c r="A1166" s="936"/>
      <c r="B1166" s="241" t="s">
        <v>1350</v>
      </c>
      <c r="C1166" s="3" t="s">
        <v>429</v>
      </c>
      <c r="D1166" s="2" t="s">
        <v>405</v>
      </c>
      <c r="E1166" s="114">
        <v>1</v>
      </c>
      <c r="F1166" s="23">
        <f>VLOOKUP(B1166,'BASE DE DATOS'!$A$5:$E$997,5,FALSE)</f>
        <v>54630</v>
      </c>
      <c r="G1166" s="104">
        <v>1.03</v>
      </c>
      <c r="H1166" s="252">
        <f>IF(G1166&gt;0,(G1166*F1166*E1166),(F1166*E1166))</f>
        <v>56268.9</v>
      </c>
    </row>
    <row r="1167" spans="1:9" x14ac:dyDescent="0.2">
      <c r="A1167" s="493" t="s">
        <v>2555</v>
      </c>
      <c r="B1167" s="241" t="s">
        <v>599</v>
      </c>
      <c r="C1167" s="218" t="s">
        <v>600</v>
      </c>
      <c r="D1167" s="219" t="s">
        <v>585</v>
      </c>
      <c r="E1167" s="114">
        <v>1</v>
      </c>
      <c r="F1167" s="220">
        <f>VLOOKUP(B1167,'BASE DE DATOS'!$A$5:$E$997,5,FALSE)</f>
        <v>159623</v>
      </c>
      <c r="G1167" s="187">
        <f>1/12</f>
        <v>8.3333333333333329E-2</v>
      </c>
      <c r="H1167" s="252">
        <f>IF(G1167&gt;0,(G1167*F1167*E1167),(F1167*E1167))</f>
        <v>13301.916666666666</v>
      </c>
    </row>
    <row r="1168" spans="1:9" ht="13.5" thickBot="1" x14ac:dyDescent="0.25">
      <c r="A1168" s="490" t="s">
        <v>293</v>
      </c>
      <c r="B1168" s="528" t="s">
        <v>269</v>
      </c>
      <c r="C1168" s="108" t="s">
        <v>284</v>
      </c>
      <c r="D1168" s="109" t="s">
        <v>586</v>
      </c>
      <c r="E1168" s="200">
        <v>0.05</v>
      </c>
      <c r="F1168" s="110">
        <f>H1167</f>
        <v>13301.916666666666</v>
      </c>
      <c r="G1168" s="156">
        <v>0</v>
      </c>
      <c r="H1168" s="479">
        <f>IF(G1168&gt;0,(G1168*F1168*E1168),(F1168*E1168))</f>
        <v>665.0958333333333</v>
      </c>
    </row>
    <row r="1169" spans="1:9" s="42" customFormat="1" ht="15" x14ac:dyDescent="0.2">
      <c r="A1169" s="67" t="s">
        <v>3374</v>
      </c>
      <c r="B1169" s="560"/>
      <c r="C1169" s="415" t="s">
        <v>428</v>
      </c>
      <c r="D1169" s="441" t="s">
        <v>405</v>
      </c>
      <c r="E1169" s="390"/>
      <c r="F1169" s="391">
        <f>ROUND(SUM(H1169:H1173),0)</f>
        <v>45897</v>
      </c>
      <c r="G1169" s="437"/>
      <c r="H1169" s="442"/>
      <c r="I1169" s="738"/>
    </row>
    <row r="1170" spans="1:9" x14ac:dyDescent="0.2">
      <c r="A1170" s="936" t="s">
        <v>382</v>
      </c>
      <c r="B1170" s="241" t="s">
        <v>1282</v>
      </c>
      <c r="C1170" s="3" t="s">
        <v>2605</v>
      </c>
      <c r="D1170" s="2" t="s">
        <v>406</v>
      </c>
      <c r="E1170" s="114">
        <v>0.04</v>
      </c>
      <c r="F1170" s="23">
        <f>VLOOKUP(B1170,'BASE DE DATOS'!$A$5:$E$997,5,FALSE)</f>
        <v>7790</v>
      </c>
      <c r="G1170" s="104">
        <v>0</v>
      </c>
      <c r="H1170" s="252">
        <f>IF(G1170&gt;0,(G1170*F1170*E1170),(F1170*E1170))</f>
        <v>311.60000000000002</v>
      </c>
    </row>
    <row r="1171" spans="1:9" x14ac:dyDescent="0.2">
      <c r="A1171" s="936"/>
      <c r="B1171" s="241" t="s">
        <v>1349</v>
      </c>
      <c r="C1171" s="3" t="s">
        <v>428</v>
      </c>
      <c r="D1171" s="2" t="s">
        <v>405</v>
      </c>
      <c r="E1171" s="114">
        <v>1</v>
      </c>
      <c r="F1171" s="23">
        <f>VLOOKUP(B1171,'BASE DE DATOS'!$A$5:$E$997,5,FALSE)</f>
        <v>30697</v>
      </c>
      <c r="G1171" s="104">
        <v>1.03</v>
      </c>
      <c r="H1171" s="252">
        <f t="shared" si="85"/>
        <v>31617.91</v>
      </c>
    </row>
    <row r="1172" spans="1:9" x14ac:dyDescent="0.2">
      <c r="A1172" s="81" t="s">
        <v>2555</v>
      </c>
      <c r="B1172" s="241" t="s">
        <v>599</v>
      </c>
      <c r="C1172" s="3" t="s">
        <v>600</v>
      </c>
      <c r="D1172" s="2" t="s">
        <v>585</v>
      </c>
      <c r="E1172" s="114">
        <v>1</v>
      </c>
      <c r="F1172" s="23">
        <f>VLOOKUP(B1172,'BASE DE DATOS'!$A$5:$E$997,5,FALSE)</f>
        <v>159623</v>
      </c>
      <c r="G1172" s="104">
        <f>1/12</f>
        <v>8.3333333333333329E-2</v>
      </c>
      <c r="H1172" s="252">
        <f t="shared" si="85"/>
        <v>13301.916666666666</v>
      </c>
    </row>
    <row r="1173" spans="1:9" ht="13.5" thickBot="1" x14ac:dyDescent="0.25">
      <c r="A1173" s="94" t="s">
        <v>293</v>
      </c>
      <c r="B1173" s="528" t="s">
        <v>269</v>
      </c>
      <c r="C1173" s="108" t="s">
        <v>284</v>
      </c>
      <c r="D1173" s="109" t="s">
        <v>586</v>
      </c>
      <c r="E1173" s="200">
        <v>0.05</v>
      </c>
      <c r="F1173" s="110">
        <f>H1172</f>
        <v>13301.916666666666</v>
      </c>
      <c r="G1173" s="156">
        <v>0</v>
      </c>
      <c r="H1173" s="479">
        <f t="shared" si="85"/>
        <v>665.0958333333333</v>
      </c>
    </row>
    <row r="1174" spans="1:9" s="42" customFormat="1" ht="17.25" x14ac:dyDescent="0.2">
      <c r="A1174" s="67" t="s">
        <v>3375</v>
      </c>
      <c r="B1174" s="529"/>
      <c r="C1174" s="388" t="s">
        <v>1988</v>
      </c>
      <c r="D1174" s="389" t="s">
        <v>3251</v>
      </c>
      <c r="E1174" s="390"/>
      <c r="F1174" s="391">
        <f>ROUND(SUM(H1174:H1177),0)</f>
        <v>181482</v>
      </c>
      <c r="G1174" s="392"/>
      <c r="H1174" s="393"/>
      <c r="I1174" s="738"/>
    </row>
    <row r="1175" spans="1:9" ht="14.25" x14ac:dyDescent="0.2">
      <c r="A1175" s="82" t="s">
        <v>382</v>
      </c>
      <c r="B1175" s="241" t="s">
        <v>1407</v>
      </c>
      <c r="C1175" s="3" t="s">
        <v>1988</v>
      </c>
      <c r="D1175" s="2" t="s">
        <v>288</v>
      </c>
      <c r="E1175" s="114">
        <v>1</v>
      </c>
      <c r="F1175" s="23">
        <f>VLOOKUP(B1175,'BASE DE DATOS'!$A$5:$E$997,5,FALSE)</f>
        <v>158315</v>
      </c>
      <c r="G1175" s="104">
        <v>0</v>
      </c>
      <c r="H1175" s="252">
        <f t="shared" si="85"/>
        <v>158315</v>
      </c>
    </row>
    <row r="1176" spans="1:9" x14ac:dyDescent="0.2">
      <c r="A1176" s="81" t="s">
        <v>2555</v>
      </c>
      <c r="B1176" s="241" t="s">
        <v>607</v>
      </c>
      <c r="C1176" s="3" t="s">
        <v>608</v>
      </c>
      <c r="D1176" s="2" t="s">
        <v>585</v>
      </c>
      <c r="E1176" s="114">
        <v>1</v>
      </c>
      <c r="F1176" s="23">
        <f>VLOOKUP(B1176,'BASE DE DATOS'!$A$5:$E$997,5,FALSE)</f>
        <v>336981</v>
      </c>
      <c r="G1176" s="104">
        <f>1/16</f>
        <v>6.25E-2</v>
      </c>
      <c r="H1176" s="252">
        <f t="shared" si="85"/>
        <v>21061.3125</v>
      </c>
    </row>
    <row r="1177" spans="1:9" ht="13.5" thickBot="1" x14ac:dyDescent="0.25">
      <c r="A1177" s="94" t="s">
        <v>293</v>
      </c>
      <c r="B1177" s="528" t="s">
        <v>269</v>
      </c>
      <c r="C1177" s="108" t="s">
        <v>284</v>
      </c>
      <c r="D1177" s="109" t="s">
        <v>586</v>
      </c>
      <c r="E1177" s="200">
        <v>0.1</v>
      </c>
      <c r="F1177" s="110">
        <f>H1176</f>
        <v>21061.3125</v>
      </c>
      <c r="G1177" s="156">
        <v>0</v>
      </c>
      <c r="H1177" s="479">
        <f t="shared" si="85"/>
        <v>2106.1312499999999</v>
      </c>
    </row>
    <row r="1178" spans="1:9" s="42" customFormat="1" ht="17.25" x14ac:dyDescent="0.2">
      <c r="A1178" s="67" t="s">
        <v>3376</v>
      </c>
      <c r="B1178" s="529"/>
      <c r="C1178" s="388" t="s">
        <v>1987</v>
      </c>
      <c r="D1178" s="389" t="s">
        <v>3251</v>
      </c>
      <c r="E1178" s="390"/>
      <c r="F1178" s="391">
        <f>ROUND(SUM(H1178:H1181),0)</f>
        <v>121637</v>
      </c>
      <c r="G1178" s="392"/>
      <c r="H1178" s="393"/>
      <c r="I1178" s="738"/>
    </row>
    <row r="1179" spans="1:9" ht="14.25" x14ac:dyDescent="0.2">
      <c r="A1179" s="82" t="s">
        <v>382</v>
      </c>
      <c r="B1179" s="241" t="s">
        <v>1406</v>
      </c>
      <c r="C1179" s="3" t="s">
        <v>1987</v>
      </c>
      <c r="D1179" s="2" t="s">
        <v>288</v>
      </c>
      <c r="E1179" s="114">
        <v>1</v>
      </c>
      <c r="F1179" s="23">
        <f>VLOOKUP(B1179,'BASE DE DATOS'!$A$5:$E$997,5,FALSE)</f>
        <v>103103</v>
      </c>
      <c r="G1179" s="104">
        <v>0</v>
      </c>
      <c r="H1179" s="252">
        <f t="shared" si="85"/>
        <v>103103</v>
      </c>
    </row>
    <row r="1180" spans="1:9" x14ac:dyDescent="0.2">
      <c r="A1180" s="81" t="s">
        <v>2555</v>
      </c>
      <c r="B1180" s="241" t="s">
        <v>607</v>
      </c>
      <c r="C1180" s="3" t="s">
        <v>608</v>
      </c>
      <c r="D1180" s="2" t="s">
        <v>585</v>
      </c>
      <c r="E1180" s="114">
        <v>1</v>
      </c>
      <c r="F1180" s="23">
        <f>VLOOKUP(B1180,'BASE DE DATOS'!$A$5:$E$997,5,FALSE)</f>
        <v>336981</v>
      </c>
      <c r="G1180" s="104">
        <f>1/20</f>
        <v>0.05</v>
      </c>
      <c r="H1180" s="252">
        <f t="shared" si="85"/>
        <v>16849.05</v>
      </c>
    </row>
    <row r="1181" spans="1:9" ht="13.5" thickBot="1" x14ac:dyDescent="0.25">
      <c r="A1181" s="94" t="s">
        <v>293</v>
      </c>
      <c r="B1181" s="528" t="s">
        <v>269</v>
      </c>
      <c r="C1181" s="108" t="s">
        <v>284</v>
      </c>
      <c r="D1181" s="109" t="s">
        <v>586</v>
      </c>
      <c r="E1181" s="200">
        <v>0.1</v>
      </c>
      <c r="F1181" s="110">
        <f>H1180</f>
        <v>16849.05</v>
      </c>
      <c r="G1181" s="156">
        <v>0</v>
      </c>
      <c r="H1181" s="479">
        <f t="shared" si="85"/>
        <v>1684.905</v>
      </c>
    </row>
    <row r="1182" spans="1:9" s="42" customFormat="1" ht="17.25" x14ac:dyDescent="0.2">
      <c r="A1182" s="67" t="s">
        <v>3527</v>
      </c>
      <c r="B1182" s="529"/>
      <c r="C1182" s="388" t="s">
        <v>1985</v>
      </c>
      <c r="D1182" s="389" t="s">
        <v>3251</v>
      </c>
      <c r="E1182" s="390"/>
      <c r="F1182" s="391">
        <f>ROUND(SUM(H1182:H1185),0)</f>
        <v>91073</v>
      </c>
      <c r="G1182" s="392"/>
      <c r="H1182" s="393"/>
      <c r="I1182" s="738"/>
    </row>
    <row r="1183" spans="1:9" ht="14.25" x14ac:dyDescent="0.2">
      <c r="A1183" s="82" t="s">
        <v>382</v>
      </c>
      <c r="B1183" s="241" t="s">
        <v>1405</v>
      </c>
      <c r="C1183" s="3" t="s">
        <v>1985</v>
      </c>
      <c r="D1183" s="2" t="s">
        <v>288</v>
      </c>
      <c r="E1183" s="114">
        <v>1</v>
      </c>
      <c r="F1183" s="23">
        <f>VLOOKUP(B1183,'BASE DE DATOS'!$A$5:$E$997,5,FALSE)</f>
        <v>81806</v>
      </c>
      <c r="G1183" s="104">
        <v>0</v>
      </c>
      <c r="H1183" s="252">
        <f t="shared" si="85"/>
        <v>81806</v>
      </c>
    </row>
    <row r="1184" spans="1:9" x14ac:dyDescent="0.2">
      <c r="A1184" s="81" t="s">
        <v>2555</v>
      </c>
      <c r="B1184" s="241" t="s">
        <v>607</v>
      </c>
      <c r="C1184" s="3" t="s">
        <v>608</v>
      </c>
      <c r="D1184" s="2" t="s">
        <v>585</v>
      </c>
      <c r="E1184" s="114">
        <v>1</v>
      </c>
      <c r="F1184" s="23">
        <f>VLOOKUP(B1184,'BASE DE DATOS'!$A$5:$E$997,5,FALSE)</f>
        <v>336981</v>
      </c>
      <c r="G1184" s="104">
        <f>1/40</f>
        <v>2.5000000000000001E-2</v>
      </c>
      <c r="H1184" s="252">
        <f t="shared" si="85"/>
        <v>8424.5249999999996</v>
      </c>
    </row>
    <row r="1185" spans="1:9" ht="13.5" thickBot="1" x14ac:dyDescent="0.25">
      <c r="A1185" s="94" t="s">
        <v>293</v>
      </c>
      <c r="B1185" s="528" t="s">
        <v>269</v>
      </c>
      <c r="C1185" s="108" t="s">
        <v>284</v>
      </c>
      <c r="D1185" s="109" t="s">
        <v>586</v>
      </c>
      <c r="E1185" s="200">
        <v>0.1</v>
      </c>
      <c r="F1185" s="110">
        <f>H1184</f>
        <v>8424.5249999999996</v>
      </c>
      <c r="G1185" s="156">
        <v>0</v>
      </c>
      <c r="H1185" s="479">
        <f t="shared" si="85"/>
        <v>842.45249999999999</v>
      </c>
    </row>
    <row r="1186" spans="1:9" s="42" customFormat="1" ht="17.25" x14ac:dyDescent="0.2">
      <c r="A1186" s="67" t="s">
        <v>3528</v>
      </c>
      <c r="B1186" s="529"/>
      <c r="C1186" s="388" t="s">
        <v>2012</v>
      </c>
      <c r="D1186" s="389" t="s">
        <v>3251</v>
      </c>
      <c r="E1186" s="390"/>
      <c r="F1186" s="391">
        <f>ROUND(SUM(H1186:H1189),0)</f>
        <v>109618</v>
      </c>
      <c r="G1186" s="392"/>
      <c r="H1186" s="393"/>
      <c r="I1186" s="738"/>
    </row>
    <row r="1187" spans="1:9" ht="14.25" x14ac:dyDescent="0.2">
      <c r="A1187" s="82" t="s">
        <v>382</v>
      </c>
      <c r="B1187" s="241" t="s">
        <v>1404</v>
      </c>
      <c r="C1187" s="3" t="s">
        <v>1986</v>
      </c>
      <c r="D1187" s="2" t="s">
        <v>288</v>
      </c>
      <c r="E1187" s="114">
        <v>1</v>
      </c>
      <c r="F1187" s="23">
        <f>VLOOKUP(B1187,'BASE DE DATOS'!$A$5:$E$997,5,FALSE)</f>
        <v>100351</v>
      </c>
      <c r="G1187" s="104">
        <v>0</v>
      </c>
      <c r="H1187" s="252">
        <f t="shared" si="85"/>
        <v>100351</v>
      </c>
    </row>
    <row r="1188" spans="1:9" x14ac:dyDescent="0.2">
      <c r="A1188" s="81" t="s">
        <v>2555</v>
      </c>
      <c r="B1188" s="241" t="s">
        <v>607</v>
      </c>
      <c r="C1188" s="3" t="s">
        <v>608</v>
      </c>
      <c r="D1188" s="2" t="s">
        <v>585</v>
      </c>
      <c r="E1188" s="114">
        <v>1</v>
      </c>
      <c r="F1188" s="23">
        <f>VLOOKUP(B1188,'BASE DE DATOS'!$A$5:$E$997,5,FALSE)</f>
        <v>336981</v>
      </c>
      <c r="G1188" s="104">
        <f>1/40</f>
        <v>2.5000000000000001E-2</v>
      </c>
      <c r="H1188" s="252">
        <f t="shared" si="85"/>
        <v>8424.5249999999996</v>
      </c>
    </row>
    <row r="1189" spans="1:9" ht="13.5" thickBot="1" x14ac:dyDescent="0.25">
      <c r="A1189" s="94" t="s">
        <v>293</v>
      </c>
      <c r="B1189" s="528" t="s">
        <v>269</v>
      </c>
      <c r="C1189" s="108" t="s">
        <v>284</v>
      </c>
      <c r="D1189" s="109" t="s">
        <v>586</v>
      </c>
      <c r="E1189" s="200">
        <v>0.1</v>
      </c>
      <c r="F1189" s="110">
        <f>H1188</f>
        <v>8424.5249999999996</v>
      </c>
      <c r="G1189" s="156">
        <v>0</v>
      </c>
      <c r="H1189" s="479">
        <f t="shared" si="85"/>
        <v>842.45249999999999</v>
      </c>
    </row>
    <row r="1190" spans="1:9" s="42" customFormat="1" ht="17.25" x14ac:dyDescent="0.2">
      <c r="A1190" s="67" t="s">
        <v>3377</v>
      </c>
      <c r="B1190" s="529"/>
      <c r="C1190" s="388" t="s">
        <v>1989</v>
      </c>
      <c r="D1190" s="389" t="s">
        <v>3251</v>
      </c>
      <c r="E1190" s="390"/>
      <c r="F1190" s="391">
        <f>ROUND(SUM(H1190:H1193),0)</f>
        <v>39563</v>
      </c>
      <c r="G1190" s="392"/>
      <c r="H1190" s="393"/>
      <c r="I1190" s="738"/>
    </row>
    <row r="1191" spans="1:9" ht="14.25" x14ac:dyDescent="0.2">
      <c r="A1191" s="82" t="s">
        <v>382</v>
      </c>
      <c r="B1191" s="241" t="s">
        <v>1408</v>
      </c>
      <c r="C1191" s="3" t="s">
        <v>1989</v>
      </c>
      <c r="D1191" s="2" t="s">
        <v>288</v>
      </c>
      <c r="E1191" s="114">
        <v>1</v>
      </c>
      <c r="F1191" s="23">
        <f>VLOOKUP(B1191,'BASE DE DATOS'!$A$5:$E$997,5,FALSE)</f>
        <v>32149</v>
      </c>
      <c r="G1191" s="104">
        <v>0</v>
      </c>
      <c r="H1191" s="252">
        <f t="shared" si="85"/>
        <v>32149</v>
      </c>
    </row>
    <row r="1192" spans="1:9" x14ac:dyDescent="0.2">
      <c r="A1192" s="81" t="s">
        <v>2555</v>
      </c>
      <c r="B1192" s="241" t="s">
        <v>607</v>
      </c>
      <c r="C1192" s="3" t="s">
        <v>608</v>
      </c>
      <c r="D1192" s="2" t="s">
        <v>585</v>
      </c>
      <c r="E1192" s="114">
        <v>1</v>
      </c>
      <c r="F1192" s="23">
        <f>VLOOKUP(B1192,'BASE DE DATOS'!$A$5:$E$997,5,FALSE)</f>
        <v>336981</v>
      </c>
      <c r="G1192" s="104">
        <f>1/50</f>
        <v>0.02</v>
      </c>
      <c r="H1192" s="252">
        <f t="shared" si="85"/>
        <v>6739.62</v>
      </c>
    </row>
    <row r="1193" spans="1:9" ht="13.5" thickBot="1" x14ac:dyDescent="0.25">
      <c r="A1193" s="94" t="s">
        <v>293</v>
      </c>
      <c r="B1193" s="528" t="s">
        <v>269</v>
      </c>
      <c r="C1193" s="108" t="s">
        <v>284</v>
      </c>
      <c r="D1193" s="109" t="s">
        <v>586</v>
      </c>
      <c r="E1193" s="200">
        <v>0.1</v>
      </c>
      <c r="F1193" s="110">
        <f>H1192</f>
        <v>6739.62</v>
      </c>
      <c r="G1193" s="156">
        <v>0</v>
      </c>
      <c r="H1193" s="479">
        <f t="shared" si="85"/>
        <v>673.96199999999999</v>
      </c>
    </row>
    <row r="1194" spans="1:9" s="42" customFormat="1" ht="30" x14ac:dyDescent="0.2">
      <c r="A1194" s="67" t="s">
        <v>3529</v>
      </c>
      <c r="B1194" s="529"/>
      <c r="C1194" s="388" t="s">
        <v>3725</v>
      </c>
      <c r="D1194" s="389" t="s">
        <v>617</v>
      </c>
      <c r="E1194" s="390"/>
      <c r="F1194" s="391">
        <f>ROUND(SUM(H1194:H1199),0)</f>
        <v>14694</v>
      </c>
      <c r="G1194" s="392"/>
      <c r="H1194" s="393"/>
      <c r="I1194" s="738">
        <v>64</v>
      </c>
    </row>
    <row r="1195" spans="1:9" x14ac:dyDescent="0.2">
      <c r="A1195" s="936" t="s">
        <v>382</v>
      </c>
      <c r="B1195" s="241" t="s">
        <v>1279</v>
      </c>
      <c r="C1195" s="3" t="s">
        <v>349</v>
      </c>
      <c r="D1195" s="2" t="s">
        <v>617</v>
      </c>
      <c r="E1195" s="114">
        <f>4.8/30</f>
        <v>0.16</v>
      </c>
      <c r="F1195" s="23">
        <f>VLOOKUP(B1195,'BASE DE DATOS'!$A$5:$E$997,5,FALSE)</f>
        <v>19</v>
      </c>
      <c r="G1195" s="104">
        <v>1.06</v>
      </c>
      <c r="H1195" s="252">
        <f t="shared" ref="H1195" si="86">IF(G1195&gt;0,(G1195*F1195*E1195),(F1195*E1195))</f>
        <v>3.2224000000000004</v>
      </c>
    </row>
    <row r="1196" spans="1:9" x14ac:dyDescent="0.2">
      <c r="A1196" s="936"/>
      <c r="B1196" s="241" t="s">
        <v>2570</v>
      </c>
      <c r="C1196" s="3" t="s">
        <v>2795</v>
      </c>
      <c r="D1196" s="2" t="s">
        <v>406</v>
      </c>
      <c r="E1196" s="114">
        <v>1</v>
      </c>
      <c r="F1196" s="23">
        <f>VLOOKUP(B1196,'BASE DE DATOS'!$A$5:$E$997,5,FALSE)</f>
        <v>13045</v>
      </c>
      <c r="G1196" s="104">
        <v>0.01</v>
      </c>
      <c r="H1196" s="252">
        <f>IF(G1196&gt;0,(G1196*F1196*E1196),(F1196*E1196))</f>
        <v>130.44999999999999</v>
      </c>
    </row>
    <row r="1197" spans="1:9" ht="27" x14ac:dyDescent="0.2">
      <c r="A1197" s="936"/>
      <c r="B1197" s="241" t="s">
        <v>2788</v>
      </c>
      <c r="C1197" s="3" t="s">
        <v>3724</v>
      </c>
      <c r="D1197" s="2" t="s">
        <v>406</v>
      </c>
      <c r="E1197" s="114">
        <v>1.85</v>
      </c>
      <c r="F1197" s="23">
        <f>VLOOKUP(B1197,'BASE DE DATOS'!$A$5:$E$997,5,FALSE)</f>
        <v>6430</v>
      </c>
      <c r="G1197" s="104">
        <v>1.06</v>
      </c>
      <c r="H1197" s="252">
        <f t="shared" ref="H1197:H1199" si="87">IF(G1197&gt;0,(G1197*F1197*E1197),(F1197*E1197))</f>
        <v>12609.230000000001</v>
      </c>
    </row>
    <row r="1198" spans="1:9" x14ac:dyDescent="0.2">
      <c r="A1198" s="627" t="s">
        <v>2555</v>
      </c>
      <c r="B1198" s="241" t="s">
        <v>583</v>
      </c>
      <c r="C1198" s="3" t="s">
        <v>584</v>
      </c>
      <c r="D1198" s="2" t="s">
        <v>585</v>
      </c>
      <c r="E1198" s="114">
        <v>1</v>
      </c>
      <c r="F1198" s="23">
        <f>VLOOKUP(B1198,'BASE DE DATOS'!$A$5:$E$997,5,FALSE)</f>
        <v>88679</v>
      </c>
      <c r="G1198" s="104">
        <f>1/50</f>
        <v>0.02</v>
      </c>
      <c r="H1198" s="252">
        <f t="shared" si="87"/>
        <v>1773.58</v>
      </c>
    </row>
    <row r="1199" spans="1:9" ht="13.5" thickBot="1" x14ac:dyDescent="0.25">
      <c r="A1199" s="626" t="s">
        <v>293</v>
      </c>
      <c r="B1199" s="528" t="s">
        <v>269</v>
      </c>
      <c r="C1199" s="108" t="s">
        <v>284</v>
      </c>
      <c r="D1199" s="109" t="s">
        <v>586</v>
      </c>
      <c r="E1199" s="200">
        <v>0.1</v>
      </c>
      <c r="F1199" s="110">
        <f>H1198</f>
        <v>1773.58</v>
      </c>
      <c r="G1199" s="156">
        <v>0</v>
      </c>
      <c r="H1199" s="252">
        <f t="shared" si="87"/>
        <v>177.358</v>
      </c>
    </row>
    <row r="1200" spans="1:9" s="33" customFormat="1" ht="15.75" thickBot="1" x14ac:dyDescent="0.25">
      <c r="A1200" s="950" t="s">
        <v>3491</v>
      </c>
      <c r="B1200" s="951"/>
      <c r="C1200" s="951"/>
      <c r="D1200" s="951"/>
      <c r="E1200" s="951"/>
      <c r="F1200" s="951"/>
      <c r="G1200" s="951"/>
      <c r="H1200" s="952"/>
    </row>
    <row r="1201" spans="1:9" ht="45.75" thickBot="1" x14ac:dyDescent="0.25">
      <c r="A1201" s="72" t="s">
        <v>2044</v>
      </c>
      <c r="B1201" s="72" t="s">
        <v>265</v>
      </c>
      <c r="C1201" s="72" t="s">
        <v>402</v>
      </c>
      <c r="D1201" s="354" t="s">
        <v>346</v>
      </c>
      <c r="E1201" s="192" t="s">
        <v>2173</v>
      </c>
      <c r="F1201" s="162" t="s">
        <v>3165</v>
      </c>
      <c r="G1201" s="290" t="s">
        <v>281</v>
      </c>
      <c r="H1201" s="74" t="s">
        <v>3164</v>
      </c>
    </row>
    <row r="1202" spans="1:9" s="42" customFormat="1" ht="17.25" x14ac:dyDescent="0.2">
      <c r="A1202" s="67" t="s">
        <v>868</v>
      </c>
      <c r="B1202" s="527"/>
      <c r="C1202" s="388" t="s">
        <v>500</v>
      </c>
      <c r="D1202" s="389" t="s">
        <v>3251</v>
      </c>
      <c r="E1202" s="395"/>
      <c r="F1202" s="391">
        <f>ROUND(SUM(H1202:H1208),0)</f>
        <v>64344</v>
      </c>
      <c r="G1202" s="392"/>
      <c r="H1202" s="393"/>
      <c r="I1202" s="738"/>
    </row>
    <row r="1203" spans="1:9" x14ac:dyDescent="0.2">
      <c r="A1203" s="936" t="s">
        <v>382</v>
      </c>
      <c r="B1203" s="241" t="s">
        <v>1279</v>
      </c>
      <c r="C1203" s="3" t="s">
        <v>349</v>
      </c>
      <c r="D1203" s="2" t="s">
        <v>617</v>
      </c>
      <c r="E1203" s="114">
        <v>50</v>
      </c>
      <c r="F1203" s="23">
        <f>VLOOKUP(B1203,'BASE DE DATOS'!$A$5:$E$997,5,FALSE)</f>
        <v>19</v>
      </c>
      <c r="G1203" s="104">
        <v>0</v>
      </c>
      <c r="H1203" s="252">
        <f>IF(G1203&gt;0,(G1203*F1203*E1203),(F1203*E1203))</f>
        <v>950</v>
      </c>
    </row>
    <row r="1204" spans="1:9" x14ac:dyDescent="0.2">
      <c r="A1204" s="936"/>
      <c r="B1204" s="241" t="s">
        <v>1441</v>
      </c>
      <c r="C1204" s="3" t="s">
        <v>2724</v>
      </c>
      <c r="D1204" s="2" t="s">
        <v>411</v>
      </c>
      <c r="E1204" s="114">
        <v>15</v>
      </c>
      <c r="F1204" s="23">
        <f>VLOOKUP(B1204,'BASE DE DATOS'!$A$5:$E$997,5,FALSE)</f>
        <v>1800</v>
      </c>
      <c r="G1204" s="104">
        <v>1.05</v>
      </c>
      <c r="H1204" s="252">
        <f t="shared" ref="H1204:H1208" si="88">IF(G1204&gt;0,(G1204*F1204*E1204),(F1204*E1204))</f>
        <v>28350</v>
      </c>
    </row>
    <row r="1205" spans="1:9" s="33" customFormat="1" ht="14.25" x14ac:dyDescent="0.2">
      <c r="A1205" s="64" t="s">
        <v>3252</v>
      </c>
      <c r="B1205" s="241" t="s">
        <v>810</v>
      </c>
      <c r="C1205" s="3" t="s">
        <v>2097</v>
      </c>
      <c r="D1205" s="2" t="s">
        <v>285</v>
      </c>
      <c r="E1205" s="114">
        <v>1.4E-2</v>
      </c>
      <c r="F1205" s="23">
        <f>F90</f>
        <v>525897</v>
      </c>
      <c r="G1205" s="104">
        <v>1.05</v>
      </c>
      <c r="H1205" s="252">
        <f t="shared" si="88"/>
        <v>7730.6858999999995</v>
      </c>
    </row>
    <row r="1206" spans="1:9" x14ac:dyDescent="0.2">
      <c r="A1206" s="81" t="s">
        <v>2555</v>
      </c>
      <c r="B1206" s="241" t="s">
        <v>644</v>
      </c>
      <c r="C1206" s="3" t="s">
        <v>645</v>
      </c>
      <c r="D1206" s="2" t="s">
        <v>585</v>
      </c>
      <c r="E1206" s="114">
        <v>1</v>
      </c>
      <c r="F1206" s="23">
        <f>VLOOKUP(B1206,'BASE DE DATOS'!$A$5:$E$997,5,FALSE)</f>
        <v>248302</v>
      </c>
      <c r="G1206" s="104">
        <f>1/10</f>
        <v>0.1</v>
      </c>
      <c r="H1206" s="252">
        <f t="shared" si="88"/>
        <v>24830.2</v>
      </c>
    </row>
    <row r="1207" spans="1:9" x14ac:dyDescent="0.2">
      <c r="A1207" s="944" t="s">
        <v>293</v>
      </c>
      <c r="B1207" s="241" t="s">
        <v>598</v>
      </c>
      <c r="C1207" s="218" t="s">
        <v>3362</v>
      </c>
      <c r="D1207" s="219" t="s">
        <v>586</v>
      </c>
      <c r="E1207" s="114">
        <v>0.05</v>
      </c>
      <c r="F1207" s="220">
        <f>H1206</f>
        <v>24830.2</v>
      </c>
      <c r="G1207" s="187">
        <v>0</v>
      </c>
      <c r="H1207" s="252">
        <f>IF(G1207&gt;0,(G1207*F1207*E1207),(F1207*E1207))</f>
        <v>1241.5100000000002</v>
      </c>
    </row>
    <row r="1208" spans="1:9" ht="13.5" thickBot="1" x14ac:dyDescent="0.25">
      <c r="A1208" s="945"/>
      <c r="B1208" s="528" t="s">
        <v>269</v>
      </c>
      <c r="C1208" s="88" t="s">
        <v>284</v>
      </c>
      <c r="D1208" s="89" t="s">
        <v>586</v>
      </c>
      <c r="E1208" s="193">
        <v>0.05</v>
      </c>
      <c r="F1208" s="90">
        <f>H1206</f>
        <v>24830.2</v>
      </c>
      <c r="G1208" s="153">
        <v>0</v>
      </c>
      <c r="H1208" s="255">
        <f t="shared" si="88"/>
        <v>1241.5100000000002</v>
      </c>
    </row>
    <row r="1209" spans="1:9" s="42" customFormat="1" ht="17.25" x14ac:dyDescent="0.2">
      <c r="A1209" s="67" t="s">
        <v>869</v>
      </c>
      <c r="B1209" s="529"/>
      <c r="C1209" s="388" t="s">
        <v>501</v>
      </c>
      <c r="D1209" s="389" t="s">
        <v>3251</v>
      </c>
      <c r="E1209" s="395"/>
      <c r="F1209" s="391">
        <f>ROUND(SUM(H1209:H1215),0)</f>
        <v>71714</v>
      </c>
      <c r="G1209" s="392"/>
      <c r="H1209" s="393"/>
      <c r="I1209" s="738"/>
    </row>
    <row r="1210" spans="1:9" x14ac:dyDescent="0.2">
      <c r="A1210" s="936" t="s">
        <v>382</v>
      </c>
      <c r="B1210" s="241" t="s">
        <v>1279</v>
      </c>
      <c r="C1210" s="3" t="s">
        <v>358</v>
      </c>
      <c r="D1210" s="2" t="s">
        <v>617</v>
      </c>
      <c r="E1210" s="114">
        <v>50</v>
      </c>
      <c r="F1210" s="23">
        <f>VLOOKUP(B1210,'BASE DE DATOS'!$A$5:$E$997,5,FALSE)</f>
        <v>19</v>
      </c>
      <c r="G1210" s="104">
        <v>0</v>
      </c>
      <c r="H1210" s="252">
        <f>IF(G1210&gt;0,(G1210*F1210*E1210),(F1210*E1210))</f>
        <v>950</v>
      </c>
    </row>
    <row r="1211" spans="1:9" s="33" customFormat="1" x14ac:dyDescent="0.2">
      <c r="A1211" s="936"/>
      <c r="B1211" s="241" t="s">
        <v>1442</v>
      </c>
      <c r="C1211" s="3" t="s">
        <v>176</v>
      </c>
      <c r="D1211" s="2" t="s">
        <v>411</v>
      </c>
      <c r="E1211" s="114">
        <v>15</v>
      </c>
      <c r="F1211" s="23">
        <f>VLOOKUP(B1211,'BASE DE DATOS'!$A$5:$E$997,5,FALSE)</f>
        <v>1900</v>
      </c>
      <c r="G1211" s="104">
        <v>1.05</v>
      </c>
      <c r="H1211" s="252">
        <f t="shared" ref="H1211:H1215" si="89">IF(G1211&gt;0,(G1211*F1211*E1211),(F1211*E1211))</f>
        <v>29925</v>
      </c>
    </row>
    <row r="1212" spans="1:9" ht="14.25" x14ac:dyDescent="0.2">
      <c r="A1212" s="64" t="s">
        <v>3252</v>
      </c>
      <c r="B1212" s="241" t="s">
        <v>810</v>
      </c>
      <c r="C1212" s="3" t="s">
        <v>2097</v>
      </c>
      <c r="D1212" s="2" t="s">
        <v>285</v>
      </c>
      <c r="E1212" s="114">
        <v>1.7999999999999999E-2</v>
      </c>
      <c r="F1212" s="23">
        <f>F90</f>
        <v>525897</v>
      </c>
      <c r="G1212" s="104">
        <v>1.05</v>
      </c>
      <c r="H1212" s="252">
        <f t="shared" si="89"/>
        <v>9939.4532999999992</v>
      </c>
    </row>
    <row r="1213" spans="1:9" x14ac:dyDescent="0.2">
      <c r="A1213" s="81" t="s">
        <v>2555</v>
      </c>
      <c r="B1213" s="241" t="s">
        <v>644</v>
      </c>
      <c r="C1213" s="3" t="s">
        <v>645</v>
      </c>
      <c r="D1213" s="2" t="s">
        <v>585</v>
      </c>
      <c r="E1213" s="114">
        <v>1</v>
      </c>
      <c r="F1213" s="23">
        <f>VLOOKUP(B1213,'BASE DE DATOS'!$A$5:$E$997,5,FALSE)</f>
        <v>248302</v>
      </c>
      <c r="G1213" s="104">
        <f>1/9</f>
        <v>0.1111111111111111</v>
      </c>
      <c r="H1213" s="252">
        <f t="shared" si="89"/>
        <v>27589.111111111109</v>
      </c>
    </row>
    <row r="1214" spans="1:9" x14ac:dyDescent="0.2">
      <c r="A1214" s="944" t="s">
        <v>293</v>
      </c>
      <c r="B1214" s="241" t="s">
        <v>598</v>
      </c>
      <c r="C1214" s="218" t="s">
        <v>3362</v>
      </c>
      <c r="D1214" s="219" t="s">
        <v>586</v>
      </c>
      <c r="E1214" s="114">
        <v>0.02</v>
      </c>
      <c r="F1214" s="220">
        <f>H1213</f>
        <v>27589.111111111109</v>
      </c>
      <c r="G1214" s="187">
        <v>0</v>
      </c>
      <c r="H1214" s="252">
        <f>IF(G1214&gt;0,(G1214*F1214*E1214),(F1214*E1214))</f>
        <v>551.78222222222223</v>
      </c>
    </row>
    <row r="1215" spans="1:9" ht="13.5" thickBot="1" x14ac:dyDescent="0.25">
      <c r="A1215" s="945"/>
      <c r="B1215" s="528" t="s">
        <v>269</v>
      </c>
      <c r="C1215" s="88" t="s">
        <v>284</v>
      </c>
      <c r="D1215" s="89" t="s">
        <v>586</v>
      </c>
      <c r="E1215" s="193">
        <v>0.1</v>
      </c>
      <c r="F1215" s="90">
        <f>H1213</f>
        <v>27589.111111111109</v>
      </c>
      <c r="G1215" s="153">
        <v>0</v>
      </c>
      <c r="H1215" s="255">
        <f t="shared" si="89"/>
        <v>2758.911111111111</v>
      </c>
    </row>
    <row r="1216" spans="1:9" s="42" customFormat="1" ht="17.25" x14ac:dyDescent="0.2">
      <c r="A1216" s="67" t="s">
        <v>870</v>
      </c>
      <c r="B1216" s="529"/>
      <c r="C1216" s="388" t="s">
        <v>504</v>
      </c>
      <c r="D1216" s="389" t="s">
        <v>3251</v>
      </c>
      <c r="E1216" s="395"/>
      <c r="F1216" s="391">
        <f>ROUND(SUM(H1216:H1222),0)</f>
        <v>107029</v>
      </c>
      <c r="G1216" s="392"/>
      <c r="H1216" s="393"/>
      <c r="I1216" s="738"/>
    </row>
    <row r="1217" spans="1:9" s="33" customFormat="1" x14ac:dyDescent="0.2">
      <c r="A1217" s="936" t="s">
        <v>382</v>
      </c>
      <c r="B1217" s="241" t="s">
        <v>1279</v>
      </c>
      <c r="C1217" s="3" t="s">
        <v>358</v>
      </c>
      <c r="D1217" s="2" t="s">
        <v>617</v>
      </c>
      <c r="E1217" s="114">
        <v>50</v>
      </c>
      <c r="F1217" s="23">
        <f>VLOOKUP(B1217,'BASE DE DATOS'!$A$5:$E$997,5,FALSE)</f>
        <v>19</v>
      </c>
      <c r="G1217" s="104">
        <v>0</v>
      </c>
      <c r="H1217" s="252">
        <f>IF(G1217&gt;0,(G1217*F1217*E1217),(F1217*E1217))</f>
        <v>950</v>
      </c>
    </row>
    <row r="1218" spans="1:9" x14ac:dyDescent="0.2">
      <c r="A1218" s="936"/>
      <c r="B1218" s="241" t="s">
        <v>1443</v>
      </c>
      <c r="C1218" s="3" t="s">
        <v>665</v>
      </c>
      <c r="D1218" s="2" t="s">
        <v>411</v>
      </c>
      <c r="E1218" s="114">
        <v>55</v>
      </c>
      <c r="F1218" s="23">
        <f>VLOOKUP(B1218,'BASE DE DATOS'!$A$5:$E$997,5,FALSE)</f>
        <v>800</v>
      </c>
      <c r="G1218" s="104">
        <v>1.05</v>
      </c>
      <c r="H1218" s="252">
        <f t="shared" ref="H1218:H1294" si="90">IF(G1218&gt;0,(G1218*F1218*E1218),(F1218*E1218))</f>
        <v>46200</v>
      </c>
    </row>
    <row r="1219" spans="1:9" ht="14.25" x14ac:dyDescent="0.2">
      <c r="A1219" s="64" t="s">
        <v>3252</v>
      </c>
      <c r="B1219" s="241" t="s">
        <v>810</v>
      </c>
      <c r="C1219" s="3" t="s">
        <v>2097</v>
      </c>
      <c r="D1219" s="2" t="s">
        <v>285</v>
      </c>
      <c r="E1219" s="114">
        <v>2.5999999999999999E-2</v>
      </c>
      <c r="F1219" s="23">
        <f>F90</f>
        <v>525897</v>
      </c>
      <c r="G1219" s="104">
        <v>1.05</v>
      </c>
      <c r="H1219" s="252">
        <f t="shared" si="90"/>
        <v>14356.988099999999</v>
      </c>
    </row>
    <row r="1220" spans="1:9" x14ac:dyDescent="0.2">
      <c r="A1220" s="81" t="s">
        <v>2555</v>
      </c>
      <c r="B1220" s="241" t="s">
        <v>644</v>
      </c>
      <c r="C1220" s="3" t="s">
        <v>645</v>
      </c>
      <c r="D1220" s="2" t="s">
        <v>585</v>
      </c>
      <c r="E1220" s="114">
        <v>1</v>
      </c>
      <c r="F1220" s="23">
        <f>VLOOKUP(B1220,'BASE DE DATOS'!$A$5:$E$997,5,FALSE)</f>
        <v>248302</v>
      </c>
      <c r="G1220" s="104">
        <f>1/6</f>
        <v>0.16666666666666666</v>
      </c>
      <c r="H1220" s="252">
        <f t="shared" si="90"/>
        <v>41383.666666666664</v>
      </c>
    </row>
    <row r="1221" spans="1:9" s="33" customFormat="1" x14ac:dyDescent="0.2">
      <c r="A1221" s="944" t="s">
        <v>293</v>
      </c>
      <c r="B1221" s="241" t="s">
        <v>598</v>
      </c>
      <c r="C1221" s="218" t="s">
        <v>3362</v>
      </c>
      <c r="D1221" s="219" t="s">
        <v>586</v>
      </c>
      <c r="E1221" s="114">
        <v>0.05</v>
      </c>
      <c r="F1221" s="220">
        <f>H1220</f>
        <v>41383.666666666664</v>
      </c>
      <c r="G1221" s="187">
        <v>0</v>
      </c>
      <c r="H1221" s="252">
        <f>IF(G1221&gt;0,(G1221*F1221*E1221),(F1221*E1221))</f>
        <v>2069.1833333333334</v>
      </c>
    </row>
    <row r="1222" spans="1:9" ht="13.5" thickBot="1" x14ac:dyDescent="0.25">
      <c r="A1222" s="945"/>
      <c r="B1222" s="528" t="s">
        <v>269</v>
      </c>
      <c r="C1222" s="88" t="s">
        <v>284</v>
      </c>
      <c r="D1222" s="89" t="s">
        <v>586</v>
      </c>
      <c r="E1222" s="193">
        <v>0.05</v>
      </c>
      <c r="F1222" s="90">
        <f>H1220</f>
        <v>41383.666666666664</v>
      </c>
      <c r="G1222" s="153">
        <v>0</v>
      </c>
      <c r="H1222" s="255">
        <f t="shared" si="90"/>
        <v>2069.1833333333334</v>
      </c>
    </row>
    <row r="1223" spans="1:9" s="407" customFormat="1" ht="17.25" x14ac:dyDescent="0.2">
      <c r="A1223" s="67" t="s">
        <v>871</v>
      </c>
      <c r="B1223" s="529"/>
      <c r="C1223" s="388" t="s">
        <v>503</v>
      </c>
      <c r="D1223" s="389" t="s">
        <v>3251</v>
      </c>
      <c r="E1223" s="395"/>
      <c r="F1223" s="391">
        <f>ROUND(SUM(H1223:H1229),0)</f>
        <v>67853</v>
      </c>
      <c r="G1223" s="392"/>
      <c r="H1223" s="393"/>
      <c r="I1223" s="33"/>
    </row>
    <row r="1224" spans="1:9" x14ac:dyDescent="0.2">
      <c r="A1224" s="936" t="s">
        <v>382</v>
      </c>
      <c r="B1224" s="241" t="s">
        <v>1279</v>
      </c>
      <c r="C1224" s="3" t="s">
        <v>349</v>
      </c>
      <c r="D1224" s="2" t="s">
        <v>617</v>
      </c>
      <c r="E1224" s="114">
        <v>50</v>
      </c>
      <c r="F1224" s="23">
        <f>VLOOKUP(B1224,'BASE DE DATOS'!$A$5:$E$997,5,FALSE)</f>
        <v>19</v>
      </c>
      <c r="G1224" s="104">
        <v>0</v>
      </c>
      <c r="H1224" s="252">
        <f>IF(G1224&gt;0,(G1224*F1224*E1224),(F1224*E1224))</f>
        <v>950</v>
      </c>
    </row>
    <row r="1225" spans="1:9" x14ac:dyDescent="0.2">
      <c r="A1225" s="936"/>
      <c r="B1225" s="241" t="s">
        <v>1443</v>
      </c>
      <c r="C1225" s="3" t="s">
        <v>665</v>
      </c>
      <c r="D1225" s="2" t="s">
        <v>411</v>
      </c>
      <c r="E1225" s="114">
        <v>33</v>
      </c>
      <c r="F1225" s="23">
        <f>VLOOKUP(B1225,'BASE DE DATOS'!$A$5:$E$997,5,FALSE)</f>
        <v>800</v>
      </c>
      <c r="G1225" s="104">
        <v>1.05</v>
      </c>
      <c r="H1225" s="252">
        <f t="shared" si="90"/>
        <v>27720</v>
      </c>
    </row>
    <row r="1226" spans="1:9" ht="14.25" x14ac:dyDescent="0.2">
      <c r="A1226" s="64" t="s">
        <v>3252</v>
      </c>
      <c r="B1226" s="241" t="s">
        <v>810</v>
      </c>
      <c r="C1226" s="3" t="s">
        <v>2097</v>
      </c>
      <c r="D1226" s="2" t="s">
        <v>285</v>
      </c>
      <c r="E1226" s="114">
        <v>1.6E-2</v>
      </c>
      <c r="F1226" s="23">
        <f>F90</f>
        <v>525897</v>
      </c>
      <c r="G1226" s="104">
        <v>1.05</v>
      </c>
      <c r="H1226" s="252">
        <f t="shared" si="90"/>
        <v>8835.0696000000007</v>
      </c>
    </row>
    <row r="1227" spans="1:9" x14ac:dyDescent="0.2">
      <c r="A1227" s="81" t="s">
        <v>2555</v>
      </c>
      <c r="B1227" s="241" t="s">
        <v>644</v>
      </c>
      <c r="C1227" s="3" t="s">
        <v>645</v>
      </c>
      <c r="D1227" s="2" t="s">
        <v>585</v>
      </c>
      <c r="E1227" s="114">
        <v>1</v>
      </c>
      <c r="F1227" s="23">
        <f>VLOOKUP(B1227,'BASE DE DATOS'!$A$5:$E$997,5,FALSE)</f>
        <v>248302</v>
      </c>
      <c r="G1227" s="104">
        <f>1/9</f>
        <v>0.1111111111111111</v>
      </c>
      <c r="H1227" s="252">
        <f t="shared" si="90"/>
        <v>27589.111111111109</v>
      </c>
    </row>
    <row r="1228" spans="1:9" s="33" customFormat="1" x14ac:dyDescent="0.2">
      <c r="A1228" s="944" t="s">
        <v>293</v>
      </c>
      <c r="B1228" s="241" t="s">
        <v>598</v>
      </c>
      <c r="C1228" s="218" t="s">
        <v>3362</v>
      </c>
      <c r="D1228" s="219" t="s">
        <v>586</v>
      </c>
      <c r="E1228" s="114">
        <v>0.05</v>
      </c>
      <c r="F1228" s="220">
        <f>H1227</f>
        <v>27589.111111111109</v>
      </c>
      <c r="G1228" s="187">
        <v>0</v>
      </c>
      <c r="H1228" s="252">
        <f>IF(G1228&gt;0,(G1228*F1228*E1228),(F1228*E1228))</f>
        <v>1379.4555555555555</v>
      </c>
    </row>
    <row r="1229" spans="1:9" ht="13.5" thickBot="1" x14ac:dyDescent="0.25">
      <c r="A1229" s="945"/>
      <c r="B1229" s="528" t="s">
        <v>269</v>
      </c>
      <c r="C1229" s="88" t="s">
        <v>284</v>
      </c>
      <c r="D1229" s="89" t="s">
        <v>586</v>
      </c>
      <c r="E1229" s="193">
        <v>0.05</v>
      </c>
      <c r="F1229" s="90">
        <f>H1227</f>
        <v>27589.111111111109</v>
      </c>
      <c r="G1229" s="153">
        <v>0</v>
      </c>
      <c r="H1229" s="255">
        <f t="shared" si="90"/>
        <v>1379.4555555555555</v>
      </c>
    </row>
    <row r="1230" spans="1:9" s="407" customFormat="1" ht="30" x14ac:dyDescent="0.2">
      <c r="A1230" s="67" t="s">
        <v>872</v>
      </c>
      <c r="B1230" s="529"/>
      <c r="C1230" s="388" t="s">
        <v>3507</v>
      </c>
      <c r="D1230" s="389" t="s">
        <v>3251</v>
      </c>
      <c r="E1230" s="395"/>
      <c r="F1230" s="391">
        <f>ROUND(SUM(H1230:H1236),0)</f>
        <v>71955</v>
      </c>
      <c r="G1230" s="392"/>
      <c r="H1230" s="393"/>
      <c r="I1230" s="33"/>
    </row>
    <row r="1231" spans="1:9" x14ac:dyDescent="0.2">
      <c r="A1231" s="936" t="s">
        <v>382</v>
      </c>
      <c r="B1231" s="241" t="s">
        <v>1279</v>
      </c>
      <c r="C1231" s="3" t="s">
        <v>349</v>
      </c>
      <c r="D1231" s="2" t="s">
        <v>617</v>
      </c>
      <c r="E1231" s="114">
        <v>50</v>
      </c>
      <c r="F1231" s="23">
        <f>VLOOKUP(B1231,'BASE DE DATOS'!$A$5:$E$997,5,FALSE)</f>
        <v>19</v>
      </c>
      <c r="G1231" s="104">
        <v>0</v>
      </c>
      <c r="H1231" s="252">
        <f t="shared" ref="H1231:H1236" si="91">IF(G1231&gt;0,(G1231*F1231*E1231),(F1231*E1231))</f>
        <v>950</v>
      </c>
    </row>
    <row r="1232" spans="1:9" x14ac:dyDescent="0.2">
      <c r="A1232" s="936"/>
      <c r="B1232" s="241" t="s">
        <v>1443</v>
      </c>
      <c r="C1232" s="3" t="s">
        <v>665</v>
      </c>
      <c r="D1232" s="2" t="s">
        <v>411</v>
      </c>
      <c r="E1232" s="114">
        <v>33</v>
      </c>
      <c r="F1232" s="23">
        <f>VLOOKUP(B1232,'BASE DE DATOS'!$A$5:$E$997,5,FALSE)</f>
        <v>800</v>
      </c>
      <c r="G1232" s="104">
        <v>1.05</v>
      </c>
      <c r="H1232" s="252">
        <f t="shared" si="91"/>
        <v>27720</v>
      </c>
    </row>
    <row r="1233" spans="1:9" ht="14.25" x14ac:dyDescent="0.2">
      <c r="A1233" s="131" t="s">
        <v>3252</v>
      </c>
      <c r="B1233" s="241" t="s">
        <v>820</v>
      </c>
      <c r="C1233" s="3" t="s">
        <v>2100</v>
      </c>
      <c r="D1233" s="2" t="s">
        <v>285</v>
      </c>
      <c r="E1233" s="114">
        <v>1.6E-2</v>
      </c>
      <c r="F1233" s="23">
        <f>F108</f>
        <v>843974</v>
      </c>
      <c r="G1233" s="104">
        <v>1.05</v>
      </c>
      <c r="H1233" s="252">
        <f>IF(G1233&gt;0,(G1233*F1233*E1233),(F1233*E1233))</f>
        <v>14178.763200000001</v>
      </c>
    </row>
    <row r="1234" spans="1:9" x14ac:dyDescent="0.2">
      <c r="A1234" s="500" t="s">
        <v>2555</v>
      </c>
      <c r="B1234" s="244" t="s">
        <v>644</v>
      </c>
      <c r="C1234" s="20" t="s">
        <v>645</v>
      </c>
      <c r="D1234" s="19" t="s">
        <v>585</v>
      </c>
      <c r="E1234" s="194">
        <v>1</v>
      </c>
      <c r="F1234" s="23">
        <f>VLOOKUP(B1234,'BASE DE DATOS'!$A$5:$E$997,5,FALSE)</f>
        <v>248302</v>
      </c>
      <c r="G1234" s="58">
        <f>1/9</f>
        <v>0.1111111111111111</v>
      </c>
      <c r="H1234" s="252">
        <f t="shared" si="91"/>
        <v>27589.111111111109</v>
      </c>
    </row>
    <row r="1235" spans="1:9" x14ac:dyDescent="0.2">
      <c r="A1235" s="944" t="s">
        <v>293</v>
      </c>
      <c r="B1235" s="244" t="s">
        <v>598</v>
      </c>
      <c r="C1235" s="214" t="s">
        <v>3362</v>
      </c>
      <c r="D1235" s="215" t="s">
        <v>586</v>
      </c>
      <c r="E1235" s="194">
        <v>5.0000000000000001E-3</v>
      </c>
      <c r="F1235" s="598">
        <f>H1234</f>
        <v>27589.111111111109</v>
      </c>
      <c r="G1235" s="216">
        <v>0</v>
      </c>
      <c r="H1235" s="252">
        <f>IF(G1235&gt;0,(G1235*F1235*E1235),(F1235*E1235))</f>
        <v>137.94555555555556</v>
      </c>
    </row>
    <row r="1236" spans="1:9" s="33" customFormat="1" ht="13.5" thickBot="1" x14ac:dyDescent="0.25">
      <c r="A1236" s="945"/>
      <c r="B1236" s="543" t="s">
        <v>269</v>
      </c>
      <c r="C1236" s="70" t="s">
        <v>284</v>
      </c>
      <c r="D1236" s="49" t="s">
        <v>586</v>
      </c>
      <c r="E1236" s="195">
        <v>0.05</v>
      </c>
      <c r="F1236" s="100">
        <f>H1234</f>
        <v>27589.111111111109</v>
      </c>
      <c r="G1236" s="154">
        <v>0</v>
      </c>
      <c r="H1236" s="255">
        <f t="shared" si="91"/>
        <v>1379.4555555555555</v>
      </c>
    </row>
    <row r="1237" spans="1:9" s="407" customFormat="1" ht="30" x14ac:dyDescent="0.2">
      <c r="A1237" s="67" t="s">
        <v>873</v>
      </c>
      <c r="B1237" s="529"/>
      <c r="C1237" s="388" t="s">
        <v>2477</v>
      </c>
      <c r="D1237" s="389" t="s">
        <v>3251</v>
      </c>
      <c r="E1237" s="395"/>
      <c r="F1237" s="391">
        <f>ROUND(SUM(H1237:H1243),0)</f>
        <v>138992</v>
      </c>
      <c r="G1237" s="392"/>
      <c r="H1237" s="393"/>
      <c r="I1237" s="33"/>
    </row>
    <row r="1238" spans="1:9" x14ac:dyDescent="0.2">
      <c r="A1238" s="936" t="s">
        <v>382</v>
      </c>
      <c r="B1238" s="241" t="s">
        <v>1279</v>
      </c>
      <c r="C1238" s="3" t="s">
        <v>349</v>
      </c>
      <c r="D1238" s="2" t="s">
        <v>617</v>
      </c>
      <c r="E1238" s="114">
        <v>50</v>
      </c>
      <c r="F1238" s="23">
        <f>VLOOKUP(B1238,'BASE DE DATOS'!$A$5:$E$997,5,FALSE)</f>
        <v>19</v>
      </c>
      <c r="G1238" s="104">
        <v>0</v>
      </c>
      <c r="H1238" s="252">
        <f t="shared" si="90"/>
        <v>950</v>
      </c>
    </row>
    <row r="1239" spans="1:9" x14ac:dyDescent="0.2">
      <c r="A1239" s="936"/>
      <c r="B1239" s="241" t="s">
        <v>1443</v>
      </c>
      <c r="C1239" s="3" t="s">
        <v>665</v>
      </c>
      <c r="D1239" s="2" t="s">
        <v>689</v>
      </c>
      <c r="E1239" s="114">
        <v>33</v>
      </c>
      <c r="F1239" s="23">
        <f>VLOOKUP(B1239,'BASE DE DATOS'!$A$5:$E$997,5,FALSE)</f>
        <v>800</v>
      </c>
      <c r="G1239" s="104">
        <v>1.05</v>
      </c>
      <c r="H1239" s="252">
        <f t="shared" si="90"/>
        <v>27720</v>
      </c>
    </row>
    <row r="1240" spans="1:9" ht="14.25" x14ac:dyDescent="0.2">
      <c r="A1240" s="131" t="s">
        <v>3252</v>
      </c>
      <c r="B1240" s="241" t="s">
        <v>820</v>
      </c>
      <c r="C1240" s="3" t="s">
        <v>2100</v>
      </c>
      <c r="D1240" s="2" t="s">
        <v>285</v>
      </c>
      <c r="E1240" s="114">
        <v>5.6000000000000001E-2</v>
      </c>
      <c r="F1240" s="23">
        <f>F108</f>
        <v>843974</v>
      </c>
      <c r="G1240" s="104">
        <v>1.05</v>
      </c>
      <c r="H1240" s="252">
        <f t="shared" si="90"/>
        <v>49625.671200000004</v>
      </c>
    </row>
    <row r="1241" spans="1:9" x14ac:dyDescent="0.2">
      <c r="A1241" s="81" t="s">
        <v>2555</v>
      </c>
      <c r="B1241" s="244" t="s">
        <v>644</v>
      </c>
      <c r="C1241" s="20" t="s">
        <v>645</v>
      </c>
      <c r="D1241" s="19" t="s">
        <v>585</v>
      </c>
      <c r="E1241" s="194">
        <v>1</v>
      </c>
      <c r="F1241" s="23">
        <f>VLOOKUP(B1241,'BASE DE DATOS'!$A$5:$E$997,5,FALSE)</f>
        <v>248302</v>
      </c>
      <c r="G1241" s="58">
        <f>1/4.5</f>
        <v>0.22222222222222221</v>
      </c>
      <c r="H1241" s="252">
        <f t="shared" si="90"/>
        <v>55178.222222222219</v>
      </c>
    </row>
    <row r="1242" spans="1:9" x14ac:dyDescent="0.2">
      <c r="A1242" s="944" t="s">
        <v>293</v>
      </c>
      <c r="B1242" s="244" t="s">
        <v>598</v>
      </c>
      <c r="C1242" s="214" t="s">
        <v>3362</v>
      </c>
      <c r="D1242" s="215" t="s">
        <v>586</v>
      </c>
      <c r="E1242" s="194">
        <v>0.05</v>
      </c>
      <c r="F1242" s="598">
        <f>H1241</f>
        <v>55178.222222222219</v>
      </c>
      <c r="G1242" s="216">
        <v>0</v>
      </c>
      <c r="H1242" s="252">
        <f>IF(G1242&gt;0,(G1242*F1242*E1242),(F1242*E1242))</f>
        <v>2758.911111111111</v>
      </c>
    </row>
    <row r="1243" spans="1:9" s="33" customFormat="1" ht="13.5" thickBot="1" x14ac:dyDescent="0.25">
      <c r="A1243" s="945"/>
      <c r="B1243" s="543" t="s">
        <v>269</v>
      </c>
      <c r="C1243" s="70" t="s">
        <v>284</v>
      </c>
      <c r="D1243" s="49" t="s">
        <v>586</v>
      </c>
      <c r="E1243" s="195">
        <v>0.05</v>
      </c>
      <c r="F1243" s="100">
        <f>H1241</f>
        <v>55178.222222222219</v>
      </c>
      <c r="G1243" s="154">
        <v>0</v>
      </c>
      <c r="H1243" s="255">
        <f t="shared" si="90"/>
        <v>2758.911111111111</v>
      </c>
    </row>
    <row r="1244" spans="1:9" s="42" customFormat="1" ht="17.25" x14ac:dyDescent="0.2">
      <c r="A1244" s="67" t="s">
        <v>874</v>
      </c>
      <c r="B1244" s="526"/>
      <c r="C1244" s="399" t="s">
        <v>79</v>
      </c>
      <c r="D1244" s="326" t="s">
        <v>3251</v>
      </c>
      <c r="E1244" s="400"/>
      <c r="F1244" s="401">
        <f>ROUND(SUM(H1244:H1250),0)</f>
        <v>149364</v>
      </c>
      <c r="G1244" s="402"/>
      <c r="H1244" s="330"/>
      <c r="I1244" s="738"/>
    </row>
    <row r="1245" spans="1:9" x14ac:dyDescent="0.2">
      <c r="A1245" s="936" t="s">
        <v>382</v>
      </c>
      <c r="B1245" s="244" t="s">
        <v>1279</v>
      </c>
      <c r="C1245" s="20" t="s">
        <v>349</v>
      </c>
      <c r="D1245" s="19" t="s">
        <v>617</v>
      </c>
      <c r="E1245" s="194">
        <v>50</v>
      </c>
      <c r="F1245" s="23">
        <f>VLOOKUP(B1245,'BASE DE DATOS'!$A$5:$E$997,5,FALSE)</f>
        <v>19</v>
      </c>
      <c r="G1245" s="58">
        <v>0</v>
      </c>
      <c r="H1245" s="252">
        <f>IF(G1245&gt;0,(G1245*F1245*E1245),(F1245*E1245))</f>
        <v>950</v>
      </c>
    </row>
    <row r="1246" spans="1:9" x14ac:dyDescent="0.2">
      <c r="A1246" s="936"/>
      <c r="B1246" s="244" t="s">
        <v>1756</v>
      </c>
      <c r="C1246" s="20" t="s">
        <v>163</v>
      </c>
      <c r="D1246" s="19" t="s">
        <v>411</v>
      </c>
      <c r="E1246" s="194">
        <v>55</v>
      </c>
      <c r="F1246" s="23">
        <f>VLOOKUP(B1246,'BASE DE DATOS'!$A$5:$E$997,5,FALSE)</f>
        <v>1600</v>
      </c>
      <c r="G1246" s="58">
        <v>1.05</v>
      </c>
      <c r="H1246" s="252">
        <f t="shared" si="90"/>
        <v>92400</v>
      </c>
    </row>
    <row r="1247" spans="1:9" ht="14.25" x14ac:dyDescent="0.2">
      <c r="A1247" s="64" t="s">
        <v>3252</v>
      </c>
      <c r="B1247" s="244" t="s">
        <v>810</v>
      </c>
      <c r="C1247" s="20" t="s">
        <v>2097</v>
      </c>
      <c r="D1247" s="19" t="s">
        <v>285</v>
      </c>
      <c r="E1247" s="194">
        <v>1.9E-2</v>
      </c>
      <c r="F1247" s="23">
        <f>F90</f>
        <v>525897</v>
      </c>
      <c r="G1247" s="58">
        <v>1.05</v>
      </c>
      <c r="H1247" s="252">
        <f t="shared" si="90"/>
        <v>10491.645149999998</v>
      </c>
    </row>
    <row r="1248" spans="1:9" s="33" customFormat="1" x14ac:dyDescent="0.2">
      <c r="A1248" s="81" t="s">
        <v>2555</v>
      </c>
      <c r="B1248" s="244" t="s">
        <v>644</v>
      </c>
      <c r="C1248" s="20" t="s">
        <v>645</v>
      </c>
      <c r="D1248" s="19" t="s">
        <v>585</v>
      </c>
      <c r="E1248" s="194">
        <v>1</v>
      </c>
      <c r="F1248" s="23">
        <f>VLOOKUP(B1248,'BASE DE DATOS'!$A$5:$E$997,5,FALSE)</f>
        <v>248302</v>
      </c>
      <c r="G1248" s="58">
        <f>1/6</f>
        <v>0.16666666666666666</v>
      </c>
      <c r="H1248" s="252">
        <f t="shared" si="90"/>
        <v>41383.666666666664</v>
      </c>
    </row>
    <row r="1249" spans="1:9" x14ac:dyDescent="0.2">
      <c r="A1249" s="944" t="s">
        <v>293</v>
      </c>
      <c r="B1249" s="244" t="s">
        <v>598</v>
      </c>
      <c r="C1249" s="214" t="s">
        <v>3362</v>
      </c>
      <c r="D1249" s="215" t="s">
        <v>586</v>
      </c>
      <c r="E1249" s="194">
        <v>0.05</v>
      </c>
      <c r="F1249" s="598">
        <f>H1248</f>
        <v>41383.666666666664</v>
      </c>
      <c r="G1249" s="216">
        <v>0</v>
      </c>
      <c r="H1249" s="252">
        <f>IF(G1249&gt;0,(G1249*F1249*E1249),(F1249*E1249))</f>
        <v>2069.1833333333334</v>
      </c>
    </row>
    <row r="1250" spans="1:9" ht="13.5" thickBot="1" x14ac:dyDescent="0.25">
      <c r="A1250" s="945"/>
      <c r="B1250" s="543" t="s">
        <v>269</v>
      </c>
      <c r="C1250" s="70" t="s">
        <v>284</v>
      </c>
      <c r="D1250" s="49" t="s">
        <v>586</v>
      </c>
      <c r="E1250" s="195">
        <v>0.05</v>
      </c>
      <c r="F1250" s="100">
        <f>H1248</f>
        <v>41383.666666666664</v>
      </c>
      <c r="G1250" s="154">
        <v>0</v>
      </c>
      <c r="H1250" s="255">
        <f t="shared" si="90"/>
        <v>2069.1833333333334</v>
      </c>
    </row>
    <row r="1251" spans="1:9" s="42" customFormat="1" ht="30" x14ac:dyDescent="0.2">
      <c r="A1251" s="67" t="s">
        <v>875</v>
      </c>
      <c r="B1251" s="526"/>
      <c r="C1251" s="399" t="s">
        <v>3607</v>
      </c>
      <c r="D1251" s="326" t="s">
        <v>3251</v>
      </c>
      <c r="E1251" s="400"/>
      <c r="F1251" s="401">
        <f>ROUND(SUM(H1251:H1256),0)</f>
        <v>122094</v>
      </c>
      <c r="G1251" s="402"/>
      <c r="H1251" s="330"/>
      <c r="I1251" s="738"/>
    </row>
    <row r="1252" spans="1:9" x14ac:dyDescent="0.2">
      <c r="A1252" s="82" t="s">
        <v>382</v>
      </c>
      <c r="B1252" s="244" t="s">
        <v>1300</v>
      </c>
      <c r="C1252" s="20" t="s">
        <v>173</v>
      </c>
      <c r="D1252" s="19" t="s">
        <v>411</v>
      </c>
      <c r="E1252" s="194">
        <v>12.5</v>
      </c>
      <c r="F1252" s="23">
        <f>VLOOKUP(B1252,'BASE DE DATOS'!$A$5:$E$997,5,FALSE)</f>
        <v>4900</v>
      </c>
      <c r="G1252" s="58">
        <v>1.05</v>
      </c>
      <c r="H1252" s="252">
        <f t="shared" si="90"/>
        <v>64312.5</v>
      </c>
    </row>
    <row r="1253" spans="1:9" ht="14.25" x14ac:dyDescent="0.2">
      <c r="A1253" s="64" t="s">
        <v>3252</v>
      </c>
      <c r="B1253" s="244" t="s">
        <v>810</v>
      </c>
      <c r="C1253" s="20" t="s">
        <v>2097</v>
      </c>
      <c r="D1253" s="19" t="s">
        <v>285</v>
      </c>
      <c r="E1253" s="194">
        <v>0.04</v>
      </c>
      <c r="F1253" s="23">
        <f>F90</f>
        <v>525897</v>
      </c>
      <c r="G1253" s="58">
        <v>1.05</v>
      </c>
      <c r="H1253" s="252">
        <f t="shared" si="90"/>
        <v>22087.673999999999</v>
      </c>
    </row>
    <row r="1254" spans="1:9" x14ac:dyDescent="0.2">
      <c r="A1254" s="81" t="s">
        <v>2555</v>
      </c>
      <c r="B1254" s="244" t="s">
        <v>644</v>
      </c>
      <c r="C1254" s="20" t="s">
        <v>645</v>
      </c>
      <c r="D1254" s="19" t="s">
        <v>585</v>
      </c>
      <c r="E1254" s="194">
        <v>1</v>
      </c>
      <c r="F1254" s="23">
        <f>VLOOKUP(B1254,'BASE DE DATOS'!$A$5:$E$997,5,FALSE)</f>
        <v>248302</v>
      </c>
      <c r="G1254" s="58">
        <f>1/8</f>
        <v>0.125</v>
      </c>
      <c r="H1254" s="252">
        <f t="shared" si="90"/>
        <v>31037.75</v>
      </c>
    </row>
    <row r="1255" spans="1:9" s="33" customFormat="1" x14ac:dyDescent="0.2">
      <c r="A1255" s="944" t="s">
        <v>293</v>
      </c>
      <c r="B1255" s="244" t="s">
        <v>598</v>
      </c>
      <c r="C1255" s="214" t="s">
        <v>3362</v>
      </c>
      <c r="D1255" s="215" t="s">
        <v>586</v>
      </c>
      <c r="E1255" s="194">
        <v>0.05</v>
      </c>
      <c r="F1255" s="598">
        <f>H1254</f>
        <v>31037.75</v>
      </c>
      <c r="G1255" s="216">
        <v>0</v>
      </c>
      <c r="H1255" s="252">
        <f>IF(G1255&gt;0,(G1255*F1255*E1255),(F1255*E1255))</f>
        <v>1551.8875</v>
      </c>
    </row>
    <row r="1256" spans="1:9" s="33" customFormat="1" ht="13.5" thickBot="1" x14ac:dyDescent="0.25">
      <c r="A1256" s="945"/>
      <c r="B1256" s="543" t="s">
        <v>269</v>
      </c>
      <c r="C1256" s="70" t="s">
        <v>284</v>
      </c>
      <c r="D1256" s="49" t="s">
        <v>586</v>
      </c>
      <c r="E1256" s="195">
        <v>0.1</v>
      </c>
      <c r="F1256" s="100">
        <f>H1254</f>
        <v>31037.75</v>
      </c>
      <c r="G1256" s="154">
        <v>0</v>
      </c>
      <c r="H1256" s="255">
        <f t="shared" si="90"/>
        <v>3103.7750000000001</v>
      </c>
    </row>
    <row r="1257" spans="1:9" s="42" customFormat="1" ht="30" x14ac:dyDescent="0.2">
      <c r="A1257" s="67" t="s">
        <v>876</v>
      </c>
      <c r="B1257" s="526"/>
      <c r="C1257" s="325" t="s">
        <v>2046</v>
      </c>
      <c r="D1257" s="326" t="s">
        <v>3251</v>
      </c>
      <c r="E1257" s="400"/>
      <c r="F1257" s="401">
        <f>ROUND(SUM(H1257:H1263),0)</f>
        <v>158872</v>
      </c>
      <c r="G1257" s="402"/>
      <c r="H1257" s="330"/>
      <c r="I1257" s="738"/>
    </row>
    <row r="1258" spans="1:9" x14ac:dyDescent="0.2">
      <c r="A1258" s="82" t="s">
        <v>382</v>
      </c>
      <c r="B1258" s="244" t="s">
        <v>1301</v>
      </c>
      <c r="C1258" s="102" t="s">
        <v>179</v>
      </c>
      <c r="D1258" s="19" t="s">
        <v>411</v>
      </c>
      <c r="E1258" s="194">
        <v>12.5</v>
      </c>
      <c r="F1258" s="23">
        <f>VLOOKUP(B1258,'BASE DE DATOS'!$A$5:$E$997,5,FALSE)</f>
        <v>7208</v>
      </c>
      <c r="G1258" s="58">
        <v>1.05</v>
      </c>
      <c r="H1258" s="252">
        <f t="shared" si="90"/>
        <v>94605</v>
      </c>
    </row>
    <row r="1259" spans="1:9" ht="14.25" x14ac:dyDescent="0.2">
      <c r="A1259" s="946" t="s">
        <v>3252</v>
      </c>
      <c r="B1259" s="244" t="s">
        <v>808</v>
      </c>
      <c r="C1259" s="142" t="s">
        <v>2047</v>
      </c>
      <c r="D1259" s="19" t="s">
        <v>285</v>
      </c>
      <c r="E1259" s="194">
        <v>0.04</v>
      </c>
      <c r="F1259" s="23">
        <f>F79</f>
        <v>548852</v>
      </c>
      <c r="G1259" s="58">
        <v>1.05</v>
      </c>
      <c r="H1259" s="252">
        <f>IF(G1259&gt;0,(G1259*F1259*E1259),(F1259*E1259))</f>
        <v>23051.784</v>
      </c>
    </row>
    <row r="1260" spans="1:9" ht="14.25" x14ac:dyDescent="0.2">
      <c r="A1260" s="946"/>
      <c r="B1260" s="244" t="s">
        <v>810</v>
      </c>
      <c r="C1260" s="20" t="s">
        <v>2097</v>
      </c>
      <c r="D1260" s="19" t="s">
        <v>285</v>
      </c>
      <c r="E1260" s="194">
        <v>0.01</v>
      </c>
      <c r="F1260" s="23">
        <f>F90</f>
        <v>525897</v>
      </c>
      <c r="G1260" s="58">
        <v>1.05</v>
      </c>
      <c r="H1260" s="252">
        <f t="shared" si="90"/>
        <v>5521.9184999999998</v>
      </c>
    </row>
    <row r="1261" spans="1:9" x14ac:dyDescent="0.2">
      <c r="A1261" s="81" t="s">
        <v>2555</v>
      </c>
      <c r="B1261" s="244" t="s">
        <v>644</v>
      </c>
      <c r="C1261" s="20" t="s">
        <v>645</v>
      </c>
      <c r="D1261" s="19" t="s">
        <v>585</v>
      </c>
      <c r="E1261" s="194">
        <v>1</v>
      </c>
      <c r="F1261" s="23">
        <f>VLOOKUP(B1261,'BASE DE DATOS'!$A$5:$E$997,5,FALSE)</f>
        <v>248302</v>
      </c>
      <c r="G1261" s="58">
        <f>1/8</f>
        <v>0.125</v>
      </c>
      <c r="H1261" s="252">
        <f t="shared" si="90"/>
        <v>31037.75</v>
      </c>
    </row>
    <row r="1262" spans="1:9" s="33" customFormat="1" x14ac:dyDescent="0.2">
      <c r="A1262" s="937" t="s">
        <v>293</v>
      </c>
      <c r="B1262" s="241" t="s">
        <v>598</v>
      </c>
      <c r="C1262" s="218" t="s">
        <v>3362</v>
      </c>
      <c r="D1262" s="219" t="s">
        <v>586</v>
      </c>
      <c r="E1262" s="114">
        <v>0.05</v>
      </c>
      <c r="F1262" s="220">
        <f>H1261</f>
        <v>31037.75</v>
      </c>
      <c r="G1262" s="187">
        <v>0</v>
      </c>
      <c r="H1262" s="252">
        <f>IF(G1262&gt;0,(G1262*F1262*E1262),(F1262*E1262))</f>
        <v>1551.8875</v>
      </c>
    </row>
    <row r="1263" spans="1:9" ht="13.5" thickBot="1" x14ac:dyDescent="0.25">
      <c r="A1263" s="938"/>
      <c r="B1263" s="528" t="s">
        <v>269</v>
      </c>
      <c r="C1263" s="88" t="s">
        <v>284</v>
      </c>
      <c r="D1263" s="89" t="s">
        <v>586</v>
      </c>
      <c r="E1263" s="193">
        <v>0.1</v>
      </c>
      <c r="F1263" s="90">
        <f>H1261</f>
        <v>31037.75</v>
      </c>
      <c r="G1263" s="153">
        <v>0</v>
      </c>
      <c r="H1263" s="255">
        <f t="shared" si="90"/>
        <v>3103.7750000000001</v>
      </c>
    </row>
    <row r="1264" spans="1:9" s="42" customFormat="1" ht="45" x14ac:dyDescent="0.2">
      <c r="A1264" s="67" t="s">
        <v>877</v>
      </c>
      <c r="B1264" s="529"/>
      <c r="C1264" s="388" t="s">
        <v>3912</v>
      </c>
      <c r="D1264" s="389" t="s">
        <v>3251</v>
      </c>
      <c r="E1264" s="395"/>
      <c r="F1264" s="391">
        <f>ROUND(SUM(H1264:H1270),0)</f>
        <v>129777</v>
      </c>
      <c r="G1264" s="392"/>
      <c r="H1264" s="393"/>
      <c r="I1264" s="738"/>
    </row>
    <row r="1265" spans="1:9" s="33" customFormat="1" x14ac:dyDescent="0.2">
      <c r="A1265" s="82" t="s">
        <v>382</v>
      </c>
      <c r="B1265" s="241" t="s">
        <v>1306</v>
      </c>
      <c r="C1265" s="3" t="s">
        <v>3816</v>
      </c>
      <c r="D1265" s="2" t="s">
        <v>411</v>
      </c>
      <c r="E1265" s="114">
        <v>12.5</v>
      </c>
      <c r="F1265" s="23">
        <f>VLOOKUP(B1265,'BASE DE DATOS'!$A$5:$E$997,5,FALSE)</f>
        <v>3800</v>
      </c>
      <c r="G1265" s="104">
        <v>1.05</v>
      </c>
      <c r="H1265" s="252">
        <f>IF(G1265&gt;0,(G1265*F1265*E1265),(F1265*E1265))</f>
        <v>49875</v>
      </c>
    </row>
    <row r="1266" spans="1:9" ht="14.25" x14ac:dyDescent="0.2">
      <c r="A1266" s="946" t="s">
        <v>3252</v>
      </c>
      <c r="B1266" s="244" t="s">
        <v>808</v>
      </c>
      <c r="C1266" s="142" t="s">
        <v>2047</v>
      </c>
      <c r="D1266" s="19" t="s">
        <v>285</v>
      </c>
      <c r="E1266" s="194">
        <v>0.04</v>
      </c>
      <c r="F1266" s="23">
        <f>F79</f>
        <v>548852</v>
      </c>
      <c r="G1266" s="58">
        <v>1.05</v>
      </c>
      <c r="H1266" s="252">
        <f t="shared" ref="H1266" si="92">IF(G1266&gt;0,(G1266*F1266*E1266),(F1266*E1266))</f>
        <v>23051.784</v>
      </c>
    </row>
    <row r="1267" spans="1:9" ht="14.25" x14ac:dyDescent="0.2">
      <c r="A1267" s="946"/>
      <c r="B1267" s="241" t="s">
        <v>810</v>
      </c>
      <c r="C1267" s="3" t="s">
        <v>2097</v>
      </c>
      <c r="D1267" s="2" t="s">
        <v>285</v>
      </c>
      <c r="E1267" s="114">
        <v>0.04</v>
      </c>
      <c r="F1267" s="23">
        <f>F90</f>
        <v>525897</v>
      </c>
      <c r="G1267" s="104">
        <v>1.05</v>
      </c>
      <c r="H1267" s="252">
        <f>IF(G1267&gt;0,(G1267*F1267*E1267),(F1267*E1267))</f>
        <v>22087.673999999999</v>
      </c>
    </row>
    <row r="1268" spans="1:9" x14ac:dyDescent="0.2">
      <c r="A1268" s="81" t="s">
        <v>2555</v>
      </c>
      <c r="B1268" s="241" t="s">
        <v>644</v>
      </c>
      <c r="C1268" s="3" t="s">
        <v>645</v>
      </c>
      <c r="D1268" s="2" t="s">
        <v>585</v>
      </c>
      <c r="E1268" s="114">
        <v>1</v>
      </c>
      <c r="F1268" s="23">
        <f>VLOOKUP(B1268,'BASE DE DATOS'!$A$5:$E$997,5,FALSE)</f>
        <v>248302</v>
      </c>
      <c r="G1268" s="104">
        <f>1/8</f>
        <v>0.125</v>
      </c>
      <c r="H1268" s="252">
        <f>IF(G1268&gt;0,(G1268*F1268*E1268),(F1268*E1268))</f>
        <v>31037.75</v>
      </c>
    </row>
    <row r="1269" spans="1:9" x14ac:dyDescent="0.2">
      <c r="A1269" s="937" t="s">
        <v>293</v>
      </c>
      <c r="B1269" s="241" t="s">
        <v>598</v>
      </c>
      <c r="C1269" s="218" t="s">
        <v>3362</v>
      </c>
      <c r="D1269" s="219" t="s">
        <v>586</v>
      </c>
      <c r="E1269" s="114">
        <v>0.02</v>
      </c>
      <c r="F1269" s="220">
        <f>H1268</f>
        <v>31037.75</v>
      </c>
      <c r="G1269" s="187">
        <v>0</v>
      </c>
      <c r="H1269" s="252">
        <f>IF(G1269&gt;0,(G1269*F1269*E1269),(F1269*E1269))</f>
        <v>620.755</v>
      </c>
    </row>
    <row r="1270" spans="1:9" ht="13.5" thickBot="1" x14ac:dyDescent="0.25">
      <c r="A1270" s="938"/>
      <c r="B1270" s="528" t="s">
        <v>269</v>
      </c>
      <c r="C1270" s="88" t="s">
        <v>284</v>
      </c>
      <c r="D1270" s="89" t="s">
        <v>586</v>
      </c>
      <c r="E1270" s="193">
        <v>0.1</v>
      </c>
      <c r="F1270" s="90">
        <f>H1268</f>
        <v>31037.75</v>
      </c>
      <c r="G1270" s="153">
        <v>0</v>
      </c>
      <c r="H1270" s="255">
        <f>IF(G1270&gt;0,(G1270*F1270*E1270),(F1270*E1270))</f>
        <v>3103.7750000000001</v>
      </c>
    </row>
    <row r="1271" spans="1:9" s="407" customFormat="1" ht="17.25" x14ac:dyDescent="0.2">
      <c r="A1271" s="67" t="s">
        <v>878</v>
      </c>
      <c r="B1271" s="529"/>
      <c r="C1271" s="388" t="s">
        <v>3285</v>
      </c>
      <c r="D1271" s="389" t="s">
        <v>3251</v>
      </c>
      <c r="E1271" s="390"/>
      <c r="F1271" s="391">
        <f>ROUND(SUM(H1271:H1283),0)</f>
        <v>115685</v>
      </c>
      <c r="G1271" s="392"/>
      <c r="H1271" s="393"/>
      <c r="I1271" s="33"/>
    </row>
    <row r="1272" spans="1:9" ht="13.15" customHeight="1" x14ac:dyDescent="0.2">
      <c r="A1272" s="939" t="s">
        <v>295</v>
      </c>
      <c r="B1272" s="568" t="s">
        <v>1763</v>
      </c>
      <c r="C1272" s="44" t="s">
        <v>2704</v>
      </c>
      <c r="D1272" s="136" t="s">
        <v>411</v>
      </c>
      <c r="E1272" s="196">
        <v>0.3</v>
      </c>
      <c r="F1272" s="23">
        <f>VLOOKUP(B1272,'BASE DE DATOS'!$A$5:$E$997,5,FALSE)</f>
        <v>15000</v>
      </c>
      <c r="G1272" s="104">
        <v>1.1000000000000001</v>
      </c>
      <c r="H1272" s="252">
        <f t="shared" si="90"/>
        <v>4950</v>
      </c>
    </row>
    <row r="1273" spans="1:9" s="33" customFormat="1" x14ac:dyDescent="0.2">
      <c r="A1273" s="939"/>
      <c r="B1273" s="241" t="s">
        <v>1345</v>
      </c>
      <c r="C1273" s="44" t="s">
        <v>2855</v>
      </c>
      <c r="D1273" s="136" t="s">
        <v>405</v>
      </c>
      <c r="E1273" s="196">
        <v>4</v>
      </c>
      <c r="F1273" s="23">
        <f>VLOOKUP(B1273,'BASE DE DATOS'!$A$5:$E$997,5,FALSE)</f>
        <v>132</v>
      </c>
      <c r="G1273" s="104">
        <v>0</v>
      </c>
      <c r="H1273" s="252">
        <f>IF(G1273&gt;0,(G1273*F1273*E1273),(F1273*E1273))</f>
        <v>528</v>
      </c>
    </row>
    <row r="1274" spans="1:9" x14ac:dyDescent="0.2">
      <c r="A1274" s="939"/>
      <c r="B1274" s="241" t="s">
        <v>1386</v>
      </c>
      <c r="C1274" s="44" t="s">
        <v>3131</v>
      </c>
      <c r="D1274" s="136" t="s">
        <v>406</v>
      </c>
      <c r="E1274" s="196">
        <v>0.66</v>
      </c>
      <c r="F1274" s="23">
        <f>VLOOKUP(B1274,'BASE DE DATOS'!$A$5:$E$997,5,FALSE)</f>
        <v>1716</v>
      </c>
      <c r="G1274" s="104">
        <v>1.05</v>
      </c>
      <c r="H1274" s="252">
        <f>IF(G1274&gt;0,(G1274*F1274*E1274),(F1274*E1274))</f>
        <v>1189.1880000000001</v>
      </c>
    </row>
    <row r="1275" spans="1:9" ht="14.25" x14ac:dyDescent="0.2">
      <c r="A1275" s="939"/>
      <c r="B1275" s="241" t="s">
        <v>1785</v>
      </c>
      <c r="C1275" s="44" t="s">
        <v>33</v>
      </c>
      <c r="D1275" s="136" t="s">
        <v>288</v>
      </c>
      <c r="E1275" s="196">
        <v>2</v>
      </c>
      <c r="F1275" s="23">
        <f>VLOOKUP(B1275,'BASE DE DATOS'!$A$5:$E$997,5,FALSE)</f>
        <v>15318</v>
      </c>
      <c r="G1275" s="104">
        <v>1.1000000000000001</v>
      </c>
      <c r="H1275" s="252">
        <f>IF(G1275&gt;0,(G1275*F1275*E1275),(F1275*E1275))</f>
        <v>33699.600000000006</v>
      </c>
    </row>
    <row r="1276" spans="1:9" x14ac:dyDescent="0.2">
      <c r="A1276" s="939"/>
      <c r="B1276" s="241" t="s">
        <v>1459</v>
      </c>
      <c r="C1276" s="44" t="s">
        <v>0</v>
      </c>
      <c r="D1276" s="136" t="s">
        <v>411</v>
      </c>
      <c r="E1276" s="196">
        <v>0.5</v>
      </c>
      <c r="F1276" s="23">
        <f>VLOOKUP(B1276,'BASE DE DATOS'!$A$5:$E$997,5,FALSE)</f>
        <v>1700</v>
      </c>
      <c r="G1276" s="104">
        <v>0</v>
      </c>
      <c r="H1276" s="252">
        <f>IF(G1276&gt;0,(G1276*F1276*E1276),(F1276*E1276))</f>
        <v>850</v>
      </c>
    </row>
    <row r="1277" spans="1:9" x14ac:dyDescent="0.2">
      <c r="A1277" s="939"/>
      <c r="B1277" s="241" t="s">
        <v>1735</v>
      </c>
      <c r="C1277" s="44" t="s">
        <v>102</v>
      </c>
      <c r="D1277" s="136" t="s">
        <v>411</v>
      </c>
      <c r="E1277" s="196">
        <v>0.7</v>
      </c>
      <c r="F1277" s="23">
        <f>VLOOKUP(B1277,'BASE DE DATOS'!$A$5:$E$997,5,FALSE)</f>
        <v>6851</v>
      </c>
      <c r="G1277" s="104">
        <v>1.1000000000000001</v>
      </c>
      <c r="H1277" s="252">
        <f t="shared" si="90"/>
        <v>5275.2699999999995</v>
      </c>
    </row>
    <row r="1278" spans="1:9" x14ac:dyDescent="0.2">
      <c r="A1278" s="939"/>
      <c r="B1278" s="241" t="s">
        <v>1529</v>
      </c>
      <c r="C1278" s="44" t="s">
        <v>3867</v>
      </c>
      <c r="D1278" s="136" t="s">
        <v>642</v>
      </c>
      <c r="E1278" s="196">
        <v>0.2</v>
      </c>
      <c r="F1278" s="23">
        <f>VLOOKUP(B1278,'BASE DE DATOS'!$A$5:$E$997,5,FALSE)</f>
        <v>91980</v>
      </c>
      <c r="G1278" s="104">
        <v>1.05</v>
      </c>
      <c r="H1278" s="252">
        <f>IF(G1278&gt;0,(G1278*F1278*E1278),(F1278*E1278))</f>
        <v>19315.8</v>
      </c>
    </row>
    <row r="1279" spans="1:9" x14ac:dyDescent="0.2">
      <c r="A1279" s="939"/>
      <c r="B1279" s="241" t="s">
        <v>1607</v>
      </c>
      <c r="C1279" s="44" t="s">
        <v>100</v>
      </c>
      <c r="D1279" s="136" t="s">
        <v>411</v>
      </c>
      <c r="E1279" s="196">
        <v>33</v>
      </c>
      <c r="F1279" s="23">
        <f>VLOOKUP(B1279,'BASE DE DATOS'!$A$5:$E$997,5,FALSE)</f>
        <v>38</v>
      </c>
      <c r="G1279" s="104">
        <v>0</v>
      </c>
      <c r="H1279" s="252">
        <f t="shared" si="90"/>
        <v>1254</v>
      </c>
    </row>
    <row r="1280" spans="1:9" x14ac:dyDescent="0.2">
      <c r="A1280" s="939"/>
      <c r="B1280" s="241" t="s">
        <v>1608</v>
      </c>
      <c r="C1280" s="44" t="s">
        <v>101</v>
      </c>
      <c r="D1280" s="136" t="s">
        <v>411</v>
      </c>
      <c r="E1280" s="196">
        <v>12</v>
      </c>
      <c r="F1280" s="23">
        <f>VLOOKUP(B1280,'BASE DE DATOS'!$A$5:$E$997,5,FALSE)</f>
        <v>86</v>
      </c>
      <c r="G1280" s="104">
        <v>0</v>
      </c>
      <c r="H1280" s="252">
        <f t="shared" si="90"/>
        <v>1032</v>
      </c>
    </row>
    <row r="1281" spans="1:9" x14ac:dyDescent="0.2">
      <c r="A1281" s="81" t="s">
        <v>2555</v>
      </c>
      <c r="B1281" s="241" t="s">
        <v>644</v>
      </c>
      <c r="C1281" s="3" t="s">
        <v>645</v>
      </c>
      <c r="D1281" s="2" t="s">
        <v>585</v>
      </c>
      <c r="E1281" s="114">
        <v>1</v>
      </c>
      <c r="F1281" s="23">
        <f>VLOOKUP(B1281,'BASE DE DATOS'!$A$5:$E$997,5,FALSE)</f>
        <v>248302</v>
      </c>
      <c r="G1281" s="104">
        <f>1/6</f>
        <v>0.16666666666666666</v>
      </c>
      <c r="H1281" s="252">
        <f t="shared" si="90"/>
        <v>41383.666666666664</v>
      </c>
    </row>
    <row r="1282" spans="1:9" x14ac:dyDescent="0.2">
      <c r="A1282" s="944" t="s">
        <v>293</v>
      </c>
      <c r="B1282" s="241" t="s">
        <v>598</v>
      </c>
      <c r="C1282" s="3" t="s">
        <v>3362</v>
      </c>
      <c r="D1282" s="2" t="s">
        <v>586</v>
      </c>
      <c r="E1282" s="114">
        <v>0.05</v>
      </c>
      <c r="F1282" s="23">
        <f>H1281</f>
        <v>41383.666666666664</v>
      </c>
      <c r="G1282" s="104">
        <v>0</v>
      </c>
      <c r="H1282" s="252">
        <f t="shared" si="90"/>
        <v>2069.1833333333334</v>
      </c>
    </row>
    <row r="1283" spans="1:9" ht="13.5" thickBot="1" x14ac:dyDescent="0.25">
      <c r="A1283" s="945"/>
      <c r="B1283" s="528" t="s">
        <v>269</v>
      </c>
      <c r="C1283" s="108" t="s">
        <v>284</v>
      </c>
      <c r="D1283" s="109" t="s">
        <v>586</v>
      </c>
      <c r="E1283" s="200">
        <v>0.1</v>
      </c>
      <c r="F1283" s="110">
        <f>H1281</f>
        <v>41383.666666666664</v>
      </c>
      <c r="G1283" s="156">
        <v>0</v>
      </c>
      <c r="H1283" s="479">
        <f t="shared" si="90"/>
        <v>4138.3666666666668</v>
      </c>
    </row>
    <row r="1284" spans="1:9" s="407" customFormat="1" ht="17.25" x14ac:dyDescent="0.2">
      <c r="A1284" s="67" t="s">
        <v>879</v>
      </c>
      <c r="B1284" s="529"/>
      <c r="C1284" s="388" t="s">
        <v>3284</v>
      </c>
      <c r="D1284" s="389" t="s">
        <v>3251</v>
      </c>
      <c r="E1284" s="390"/>
      <c r="F1284" s="391">
        <f>ROUND(SUM(H1284:H1296),0)</f>
        <v>75062</v>
      </c>
      <c r="G1284" s="392"/>
      <c r="H1284" s="393"/>
      <c r="I1284" s="33"/>
    </row>
    <row r="1285" spans="1:9" ht="13.15" customHeight="1" x14ac:dyDescent="0.2">
      <c r="A1285" s="939" t="s">
        <v>295</v>
      </c>
      <c r="B1285" s="568" t="s">
        <v>1763</v>
      </c>
      <c r="C1285" s="44" t="s">
        <v>2704</v>
      </c>
      <c r="D1285" s="136" t="s">
        <v>411</v>
      </c>
      <c r="E1285" s="196">
        <v>0.3</v>
      </c>
      <c r="F1285" s="23">
        <f>VLOOKUP(B1285,'BASE DE DATOS'!$A$5:$E$997,5,FALSE)</f>
        <v>15000</v>
      </c>
      <c r="G1285" s="104">
        <v>1.1000000000000001</v>
      </c>
      <c r="H1285" s="252">
        <f t="shared" si="90"/>
        <v>4950</v>
      </c>
    </row>
    <row r="1286" spans="1:9" s="33" customFormat="1" x14ac:dyDescent="0.2">
      <c r="A1286" s="939"/>
      <c r="B1286" s="241" t="s">
        <v>1345</v>
      </c>
      <c r="C1286" s="44" t="s">
        <v>2855</v>
      </c>
      <c r="D1286" s="136" t="s">
        <v>405</v>
      </c>
      <c r="E1286" s="196">
        <v>2</v>
      </c>
      <c r="F1286" s="23">
        <f>VLOOKUP(B1286,'BASE DE DATOS'!$A$5:$E$997,5,FALSE)</f>
        <v>132</v>
      </c>
      <c r="G1286" s="104">
        <v>0</v>
      </c>
      <c r="H1286" s="252">
        <f>IF(G1286&gt;0,(G1286*F1286*E1286),(F1286*E1286))</f>
        <v>264</v>
      </c>
    </row>
    <row r="1287" spans="1:9" x14ac:dyDescent="0.2">
      <c r="A1287" s="939"/>
      <c r="B1287" s="241" t="s">
        <v>1386</v>
      </c>
      <c r="C1287" s="44" t="s">
        <v>3131</v>
      </c>
      <c r="D1287" s="136" t="s">
        <v>406</v>
      </c>
      <c r="E1287" s="196">
        <v>0.33</v>
      </c>
      <c r="F1287" s="23">
        <f>VLOOKUP(B1287,'BASE DE DATOS'!$A$5:$E$997,5,FALSE)</f>
        <v>1716</v>
      </c>
      <c r="G1287" s="104">
        <v>1.05</v>
      </c>
      <c r="H1287" s="252">
        <f>IF(G1287&gt;0,(G1287*F1287*E1287),(F1287*E1287))</f>
        <v>594.59400000000005</v>
      </c>
    </row>
    <row r="1288" spans="1:9" ht="14.25" x14ac:dyDescent="0.2">
      <c r="A1288" s="939"/>
      <c r="B1288" s="241" t="s">
        <v>1785</v>
      </c>
      <c r="C1288" s="44" t="s">
        <v>33</v>
      </c>
      <c r="D1288" s="136" t="s">
        <v>288</v>
      </c>
      <c r="E1288" s="196">
        <v>1</v>
      </c>
      <c r="F1288" s="23">
        <f>VLOOKUP(B1288,'BASE DE DATOS'!$A$5:$E$997,5,FALSE)</f>
        <v>15318</v>
      </c>
      <c r="G1288" s="104">
        <v>1.1000000000000001</v>
      </c>
      <c r="H1288" s="252">
        <f>IF(G1288&gt;0,(G1288*F1288*E1288),(F1288*E1288))</f>
        <v>16849.800000000003</v>
      </c>
    </row>
    <row r="1289" spans="1:9" x14ac:dyDescent="0.2">
      <c r="A1289" s="939"/>
      <c r="B1289" s="241" t="s">
        <v>1459</v>
      </c>
      <c r="C1289" s="44" t="s">
        <v>0</v>
      </c>
      <c r="D1289" s="136" t="s">
        <v>411</v>
      </c>
      <c r="E1289" s="196">
        <v>0.25</v>
      </c>
      <c r="F1289" s="23">
        <f>VLOOKUP(B1289,'BASE DE DATOS'!$A$5:$E$997,5,FALSE)</f>
        <v>1700</v>
      </c>
      <c r="G1289" s="104">
        <v>0</v>
      </c>
      <c r="H1289" s="252">
        <f>IF(G1289&gt;0,(G1289*F1289*E1289),(F1289*E1289))</f>
        <v>425</v>
      </c>
    </row>
    <row r="1290" spans="1:9" x14ac:dyDescent="0.2">
      <c r="A1290" s="939"/>
      <c r="B1290" s="241" t="s">
        <v>1735</v>
      </c>
      <c r="C1290" s="44" t="s">
        <v>102</v>
      </c>
      <c r="D1290" s="136" t="s">
        <v>411</v>
      </c>
      <c r="E1290" s="196">
        <v>0.7</v>
      </c>
      <c r="F1290" s="23">
        <f>VLOOKUP(B1290,'BASE DE DATOS'!$A$5:$E$997,5,FALSE)</f>
        <v>6851</v>
      </c>
      <c r="G1290" s="104">
        <v>1.1000000000000001</v>
      </c>
      <c r="H1290" s="252">
        <f t="shared" si="90"/>
        <v>5275.2699999999995</v>
      </c>
    </row>
    <row r="1291" spans="1:9" x14ac:dyDescent="0.2">
      <c r="A1291" s="939"/>
      <c r="B1291" s="241" t="s">
        <v>1529</v>
      </c>
      <c r="C1291" s="44" t="s">
        <v>3867</v>
      </c>
      <c r="D1291" s="136" t="s">
        <v>642</v>
      </c>
      <c r="E1291" s="196">
        <v>0.1</v>
      </c>
      <c r="F1291" s="23">
        <f>VLOOKUP(B1291,'BASE DE DATOS'!$A$5:$E$997,5,FALSE)</f>
        <v>91980</v>
      </c>
      <c r="G1291" s="104">
        <v>1.05</v>
      </c>
      <c r="H1291" s="252">
        <f>IF(G1291&gt;0,(G1291*F1291*E1291),(F1291*E1291))</f>
        <v>9657.9</v>
      </c>
    </row>
    <row r="1292" spans="1:9" x14ac:dyDescent="0.2">
      <c r="A1292" s="939"/>
      <c r="B1292" s="241" t="s">
        <v>1607</v>
      </c>
      <c r="C1292" s="44" t="s">
        <v>100</v>
      </c>
      <c r="D1292" s="136" t="s">
        <v>411</v>
      </c>
      <c r="E1292" s="196">
        <v>22</v>
      </c>
      <c r="F1292" s="23">
        <f>VLOOKUP(B1292,'BASE DE DATOS'!$A$5:$E$997,5,FALSE)</f>
        <v>38</v>
      </c>
      <c r="G1292" s="104">
        <v>0</v>
      </c>
      <c r="H1292" s="252">
        <f t="shared" si="90"/>
        <v>836</v>
      </c>
    </row>
    <row r="1293" spans="1:9" x14ac:dyDescent="0.2">
      <c r="A1293" s="939"/>
      <c r="B1293" s="241" t="s">
        <v>1608</v>
      </c>
      <c r="C1293" s="44" t="s">
        <v>101</v>
      </c>
      <c r="D1293" s="136" t="s">
        <v>411</v>
      </c>
      <c r="E1293" s="196">
        <v>6</v>
      </c>
      <c r="F1293" s="23">
        <f>VLOOKUP(B1293,'BASE DE DATOS'!$A$5:$E$997,5,FALSE)</f>
        <v>86</v>
      </c>
      <c r="G1293" s="104">
        <v>0</v>
      </c>
      <c r="H1293" s="252">
        <f t="shared" si="90"/>
        <v>516</v>
      </c>
    </row>
    <row r="1294" spans="1:9" x14ac:dyDescent="0.2">
      <c r="A1294" s="477" t="s">
        <v>2555</v>
      </c>
      <c r="B1294" s="241" t="s">
        <v>644</v>
      </c>
      <c r="C1294" s="3" t="s">
        <v>645</v>
      </c>
      <c r="D1294" s="2" t="s">
        <v>585</v>
      </c>
      <c r="E1294" s="114">
        <v>1</v>
      </c>
      <c r="F1294" s="23">
        <f>VLOOKUP(B1294,'BASE DE DATOS'!$A$5:$E$997,5,FALSE)</f>
        <v>248302</v>
      </c>
      <c r="G1294" s="104">
        <f>1/8</f>
        <v>0.125</v>
      </c>
      <c r="H1294" s="252">
        <f t="shared" si="90"/>
        <v>31037.75</v>
      </c>
    </row>
    <row r="1295" spans="1:9" x14ac:dyDescent="0.2">
      <c r="A1295" s="944" t="s">
        <v>293</v>
      </c>
      <c r="B1295" s="241" t="s">
        <v>598</v>
      </c>
      <c r="C1295" s="3" t="s">
        <v>3362</v>
      </c>
      <c r="D1295" s="2" t="s">
        <v>586</v>
      </c>
      <c r="E1295" s="114">
        <v>0.05</v>
      </c>
      <c r="F1295" s="23">
        <f>H1294</f>
        <v>31037.75</v>
      </c>
      <c r="G1295" s="104">
        <v>0</v>
      </c>
      <c r="H1295" s="252">
        <f t="shared" ref="H1295:H1296" si="93">IF(G1295&gt;0,(G1295*F1295*E1295),(F1295*E1295))</f>
        <v>1551.8875</v>
      </c>
    </row>
    <row r="1296" spans="1:9" ht="13.5" thickBot="1" x14ac:dyDescent="0.25">
      <c r="A1296" s="945"/>
      <c r="B1296" s="528" t="s">
        <v>269</v>
      </c>
      <c r="C1296" s="108" t="s">
        <v>284</v>
      </c>
      <c r="D1296" s="109" t="s">
        <v>586</v>
      </c>
      <c r="E1296" s="200">
        <v>0.1</v>
      </c>
      <c r="F1296" s="110">
        <f>H1294</f>
        <v>31037.75</v>
      </c>
      <c r="G1296" s="156">
        <v>0</v>
      </c>
      <c r="H1296" s="479">
        <f t="shared" si="93"/>
        <v>3103.7750000000001</v>
      </c>
    </row>
    <row r="1297" spans="1:9" s="42" customFormat="1" ht="30" x14ac:dyDescent="0.2">
      <c r="A1297" s="67" t="s">
        <v>880</v>
      </c>
      <c r="B1297" s="529"/>
      <c r="C1297" s="388" t="s">
        <v>3608</v>
      </c>
      <c r="D1297" s="389" t="s">
        <v>3251</v>
      </c>
      <c r="E1297" s="390"/>
      <c r="F1297" s="391">
        <f>ROUND(SUM(H1297:H1308),0)</f>
        <v>140778</v>
      </c>
      <c r="G1297" s="392"/>
      <c r="H1297" s="393"/>
      <c r="I1297" s="738"/>
    </row>
    <row r="1298" spans="1:9" ht="13.15" customHeight="1" x14ac:dyDescent="0.2">
      <c r="A1298" s="939" t="s">
        <v>295</v>
      </c>
      <c r="B1298" s="568" t="s">
        <v>1763</v>
      </c>
      <c r="C1298" s="44" t="s">
        <v>2704</v>
      </c>
      <c r="D1298" s="136" t="s">
        <v>411</v>
      </c>
      <c r="E1298" s="196">
        <v>0.42</v>
      </c>
      <c r="F1298" s="23">
        <f>VLOOKUP(B1298,'BASE DE DATOS'!$A$5:$E$997,5,FALSE)</f>
        <v>15000</v>
      </c>
      <c r="G1298" s="104">
        <v>1.1000000000000001</v>
      </c>
      <c r="H1298" s="252">
        <f t="shared" ref="H1298:H1358" si="94">IF(G1298&gt;0,(G1298*F1298*E1298),(F1298*E1298))</f>
        <v>6930</v>
      </c>
    </row>
    <row r="1299" spans="1:9" x14ac:dyDescent="0.2">
      <c r="A1299" s="939"/>
      <c r="B1299" s="241" t="s">
        <v>1345</v>
      </c>
      <c r="C1299" s="44" t="s">
        <v>2855</v>
      </c>
      <c r="D1299" s="136" t="s">
        <v>405</v>
      </c>
      <c r="E1299" s="196">
        <f>2.5*2</f>
        <v>5</v>
      </c>
      <c r="F1299" s="23">
        <f>VLOOKUP(B1299,'BASE DE DATOS'!$A$5:$E$997,5,FALSE)</f>
        <v>132</v>
      </c>
      <c r="G1299" s="104">
        <v>0</v>
      </c>
      <c r="H1299" s="252">
        <f>IF(G1299&gt;0,(G1299*F1299*E1299),(F1299*E1299))</f>
        <v>660</v>
      </c>
    </row>
    <row r="1300" spans="1:9" x14ac:dyDescent="0.2">
      <c r="A1300" s="939"/>
      <c r="B1300" s="241" t="s">
        <v>1386</v>
      </c>
      <c r="C1300" s="44" t="s">
        <v>3131</v>
      </c>
      <c r="D1300" s="136" t="s">
        <v>406</v>
      </c>
      <c r="E1300" s="196">
        <f>0.45*2</f>
        <v>0.9</v>
      </c>
      <c r="F1300" s="23">
        <f>VLOOKUP(B1300,'BASE DE DATOS'!$A$5:$E$997,5,FALSE)</f>
        <v>1716</v>
      </c>
      <c r="G1300" s="104">
        <v>1.05</v>
      </c>
      <c r="H1300" s="252">
        <f>IF(G1300&gt;0,(G1300*F1300*E1300),(F1300*E1300))</f>
        <v>1621.6200000000001</v>
      </c>
    </row>
    <row r="1301" spans="1:9" s="33" customFormat="1" ht="14.25" x14ac:dyDescent="0.2">
      <c r="A1301" s="939"/>
      <c r="B1301" s="241" t="s">
        <v>1446</v>
      </c>
      <c r="C1301" s="44" t="s">
        <v>1968</v>
      </c>
      <c r="D1301" s="19" t="s">
        <v>288</v>
      </c>
      <c r="E1301" s="196">
        <v>2</v>
      </c>
      <c r="F1301" s="23">
        <f>VLOOKUP(B1301,'BASE DE DATOS'!$A$5:$E$997,5,FALSE)</f>
        <v>26268</v>
      </c>
      <c r="G1301" s="104">
        <v>1.1000000000000001</v>
      </c>
      <c r="H1301" s="252">
        <f>IF(G1301&gt;0,(G1301*F1301*E1301),(F1301*E1301))</f>
        <v>57789.600000000006</v>
      </c>
    </row>
    <row r="1302" spans="1:9" x14ac:dyDescent="0.2">
      <c r="A1302" s="939"/>
      <c r="B1302" s="241" t="s">
        <v>1735</v>
      </c>
      <c r="C1302" s="44" t="s">
        <v>102</v>
      </c>
      <c r="D1302" s="136" t="s">
        <v>411</v>
      </c>
      <c r="E1302" s="196">
        <v>0.42</v>
      </c>
      <c r="F1302" s="23">
        <f>VLOOKUP(B1302,'BASE DE DATOS'!$A$5:$E$997,5,FALSE)</f>
        <v>6851</v>
      </c>
      <c r="G1302" s="104">
        <v>1.1000000000000001</v>
      </c>
      <c r="H1302" s="252">
        <f t="shared" si="94"/>
        <v>3165.1620000000003</v>
      </c>
    </row>
    <row r="1303" spans="1:9" x14ac:dyDescent="0.2">
      <c r="A1303" s="939"/>
      <c r="B1303" s="241" t="s">
        <v>1529</v>
      </c>
      <c r="C1303" s="44" t="s">
        <v>3867</v>
      </c>
      <c r="D1303" s="136" t="s">
        <v>642</v>
      </c>
      <c r="E1303" s="196">
        <f>0.1*2</f>
        <v>0.2</v>
      </c>
      <c r="F1303" s="23">
        <f>VLOOKUP(B1303,'BASE DE DATOS'!$A$5:$E$997,5,FALSE)</f>
        <v>91980</v>
      </c>
      <c r="G1303" s="104">
        <v>0</v>
      </c>
      <c r="H1303" s="252">
        <f>IF(G1303&gt;0,(G1303*F1303*E1303),(F1303*E1303))</f>
        <v>18396</v>
      </c>
    </row>
    <row r="1304" spans="1:9" x14ac:dyDescent="0.2">
      <c r="A1304" s="939"/>
      <c r="B1304" s="241" t="s">
        <v>1607</v>
      </c>
      <c r="C1304" s="44" t="s">
        <v>100</v>
      </c>
      <c r="D1304" s="136" t="s">
        <v>411</v>
      </c>
      <c r="E1304" s="196">
        <f>35+12</f>
        <v>47</v>
      </c>
      <c r="F1304" s="23">
        <f>VLOOKUP(B1304,'BASE DE DATOS'!$A$5:$E$997,5,FALSE)</f>
        <v>38</v>
      </c>
      <c r="G1304" s="104">
        <v>0</v>
      </c>
      <c r="H1304" s="252">
        <f t="shared" si="94"/>
        <v>1786</v>
      </c>
    </row>
    <row r="1305" spans="1:9" x14ac:dyDescent="0.2">
      <c r="A1305" s="939"/>
      <c r="B1305" s="241" t="s">
        <v>1608</v>
      </c>
      <c r="C1305" s="44" t="s">
        <v>150</v>
      </c>
      <c r="D1305" s="136" t="s">
        <v>411</v>
      </c>
      <c r="E1305" s="196">
        <f>25+8</f>
        <v>33</v>
      </c>
      <c r="F1305" s="23">
        <f>VLOOKUP(B1305,'BASE DE DATOS'!$A$5:$E$997,5,FALSE)</f>
        <v>86</v>
      </c>
      <c r="G1305" s="104">
        <v>0</v>
      </c>
      <c r="H1305" s="252">
        <f t="shared" si="94"/>
        <v>2838</v>
      </c>
    </row>
    <row r="1306" spans="1:9" x14ac:dyDescent="0.2">
      <c r="A1306" s="478" t="s">
        <v>2555</v>
      </c>
      <c r="B1306" s="241" t="s">
        <v>644</v>
      </c>
      <c r="C1306" s="3" t="s">
        <v>645</v>
      </c>
      <c r="D1306" s="2" t="s">
        <v>585</v>
      </c>
      <c r="E1306" s="114">
        <v>1</v>
      </c>
      <c r="F1306" s="23">
        <f>VLOOKUP(B1306,'BASE DE DATOS'!$A$5:$E$997,5,FALSE)</f>
        <v>248302</v>
      </c>
      <c r="G1306" s="104">
        <f>1/6</f>
        <v>0.16666666666666666</v>
      </c>
      <c r="H1306" s="252">
        <f t="shared" si="94"/>
        <v>41383.666666666664</v>
      </c>
    </row>
    <row r="1307" spans="1:9" x14ac:dyDescent="0.2">
      <c r="A1307" s="944" t="s">
        <v>293</v>
      </c>
      <c r="B1307" s="241" t="s">
        <v>598</v>
      </c>
      <c r="C1307" s="3" t="s">
        <v>3362</v>
      </c>
      <c r="D1307" s="2" t="s">
        <v>586</v>
      </c>
      <c r="E1307" s="114">
        <v>0.05</v>
      </c>
      <c r="F1307" s="23">
        <f>H1306</f>
        <v>41383.666666666664</v>
      </c>
      <c r="G1307" s="104">
        <v>0</v>
      </c>
      <c r="H1307" s="252">
        <f t="shared" si="94"/>
        <v>2069.1833333333334</v>
      </c>
    </row>
    <row r="1308" spans="1:9" ht="13.5" thickBot="1" x14ac:dyDescent="0.25">
      <c r="A1308" s="945"/>
      <c r="B1308" s="528" t="s">
        <v>269</v>
      </c>
      <c r="C1308" s="108" t="s">
        <v>284</v>
      </c>
      <c r="D1308" s="109" t="s">
        <v>586</v>
      </c>
      <c r="E1308" s="200">
        <v>0.1</v>
      </c>
      <c r="F1308" s="110">
        <f>H1306</f>
        <v>41383.666666666664</v>
      </c>
      <c r="G1308" s="156">
        <v>0</v>
      </c>
      <c r="H1308" s="479">
        <f t="shared" si="94"/>
        <v>4138.3666666666668</v>
      </c>
    </row>
    <row r="1309" spans="1:9" s="42" customFormat="1" ht="30" x14ac:dyDescent="0.2">
      <c r="A1309" s="67" t="s">
        <v>881</v>
      </c>
      <c r="B1309" s="529"/>
      <c r="C1309" s="388" t="s">
        <v>3609</v>
      </c>
      <c r="D1309" s="389" t="s">
        <v>3251</v>
      </c>
      <c r="E1309" s="390"/>
      <c r="F1309" s="391">
        <f>ROUND(SUM(H1309:H1320),0)</f>
        <v>88502</v>
      </c>
      <c r="G1309" s="392"/>
      <c r="H1309" s="393"/>
      <c r="I1309" s="738"/>
    </row>
    <row r="1310" spans="1:9" ht="13.15" customHeight="1" x14ac:dyDescent="0.2">
      <c r="A1310" s="939" t="s">
        <v>295</v>
      </c>
      <c r="B1310" s="568" t="s">
        <v>1763</v>
      </c>
      <c r="C1310" s="44" t="s">
        <v>2704</v>
      </c>
      <c r="D1310" s="136" t="s">
        <v>411</v>
      </c>
      <c r="E1310" s="196">
        <v>0.42</v>
      </c>
      <c r="F1310" s="23">
        <f>VLOOKUP(B1310,'BASE DE DATOS'!$A$5:$E$997,5,FALSE)</f>
        <v>15000</v>
      </c>
      <c r="G1310" s="104">
        <v>1.1000000000000001</v>
      </c>
      <c r="H1310" s="252">
        <f t="shared" si="94"/>
        <v>6930</v>
      </c>
    </row>
    <row r="1311" spans="1:9" x14ac:dyDescent="0.2">
      <c r="A1311" s="939"/>
      <c r="B1311" s="241" t="s">
        <v>1345</v>
      </c>
      <c r="C1311" s="44" t="s">
        <v>2855</v>
      </c>
      <c r="D1311" s="136" t="s">
        <v>405</v>
      </c>
      <c r="E1311" s="196">
        <v>2.5</v>
      </c>
      <c r="F1311" s="23">
        <f>VLOOKUP(B1311,'BASE DE DATOS'!$A$5:$E$997,5,FALSE)</f>
        <v>132</v>
      </c>
      <c r="G1311" s="104">
        <v>0</v>
      </c>
      <c r="H1311" s="252">
        <f>IF(G1311&gt;0,(G1311*F1311*E1311),(F1311*E1311))</f>
        <v>330</v>
      </c>
    </row>
    <row r="1312" spans="1:9" x14ac:dyDescent="0.2">
      <c r="A1312" s="939"/>
      <c r="B1312" s="241" t="s">
        <v>1386</v>
      </c>
      <c r="C1312" s="44" t="s">
        <v>3131</v>
      </c>
      <c r="D1312" s="136" t="s">
        <v>406</v>
      </c>
      <c r="E1312" s="196">
        <v>0.45</v>
      </c>
      <c r="F1312" s="23">
        <f>VLOOKUP(B1312,'BASE DE DATOS'!$A$5:$E$997,5,FALSE)</f>
        <v>1716</v>
      </c>
      <c r="G1312" s="104">
        <v>1.05</v>
      </c>
      <c r="H1312" s="252">
        <f>IF(G1312&gt;0,(G1312*F1312*E1312),(F1312*E1312))</f>
        <v>810.81000000000006</v>
      </c>
    </row>
    <row r="1313" spans="1:9" s="33" customFormat="1" ht="14.25" x14ac:dyDescent="0.2">
      <c r="A1313" s="939"/>
      <c r="B1313" s="241" t="s">
        <v>1446</v>
      </c>
      <c r="C1313" s="44" t="s">
        <v>1968</v>
      </c>
      <c r="D1313" s="19" t="s">
        <v>288</v>
      </c>
      <c r="E1313" s="196">
        <v>1</v>
      </c>
      <c r="F1313" s="23">
        <f>VLOOKUP(B1313,'BASE DE DATOS'!$A$5:$E$997,5,FALSE)</f>
        <v>26268</v>
      </c>
      <c r="G1313" s="104">
        <v>1.1000000000000001</v>
      </c>
      <c r="H1313" s="252">
        <f>IF(G1313&gt;0,(G1313*F1313*E1313),(F1313*E1313))</f>
        <v>28894.800000000003</v>
      </c>
    </row>
    <row r="1314" spans="1:9" x14ac:dyDescent="0.2">
      <c r="A1314" s="939"/>
      <c r="B1314" s="241" t="s">
        <v>1735</v>
      </c>
      <c r="C1314" s="44" t="s">
        <v>102</v>
      </c>
      <c r="D1314" s="136" t="s">
        <v>411</v>
      </c>
      <c r="E1314" s="196">
        <v>0.42</v>
      </c>
      <c r="F1314" s="23">
        <f>VLOOKUP(B1314,'BASE DE DATOS'!$A$5:$E$997,5,FALSE)</f>
        <v>6851</v>
      </c>
      <c r="G1314" s="104">
        <v>1.1000000000000001</v>
      </c>
      <c r="H1314" s="252">
        <f t="shared" si="94"/>
        <v>3165.1620000000003</v>
      </c>
    </row>
    <row r="1315" spans="1:9" x14ac:dyDescent="0.2">
      <c r="A1315" s="939"/>
      <c r="B1315" s="241" t="s">
        <v>1529</v>
      </c>
      <c r="C1315" s="44" t="s">
        <v>3867</v>
      </c>
      <c r="D1315" s="136" t="s">
        <v>642</v>
      </c>
      <c r="E1315" s="196">
        <v>0.1</v>
      </c>
      <c r="F1315" s="23">
        <f>VLOOKUP(B1315,'BASE DE DATOS'!$A$5:$E$997,5,FALSE)</f>
        <v>91980</v>
      </c>
      <c r="G1315" s="104">
        <v>0</v>
      </c>
      <c r="H1315" s="252">
        <f>IF(G1315&gt;0,(G1315*F1315*E1315),(F1315*E1315))</f>
        <v>9198</v>
      </c>
    </row>
    <row r="1316" spans="1:9" x14ac:dyDescent="0.2">
      <c r="A1316" s="939"/>
      <c r="B1316" s="241" t="s">
        <v>1607</v>
      </c>
      <c r="C1316" s="44" t="s">
        <v>100</v>
      </c>
      <c r="D1316" s="136" t="s">
        <v>411</v>
      </c>
      <c r="E1316" s="196">
        <v>35</v>
      </c>
      <c r="F1316" s="23">
        <f>VLOOKUP(B1316,'BASE DE DATOS'!$A$5:$E$997,5,FALSE)</f>
        <v>38</v>
      </c>
      <c r="G1316" s="104">
        <v>0</v>
      </c>
      <c r="H1316" s="252">
        <f t="shared" si="94"/>
        <v>1330</v>
      </c>
    </row>
    <row r="1317" spans="1:9" x14ac:dyDescent="0.2">
      <c r="A1317" s="939"/>
      <c r="B1317" s="241" t="s">
        <v>1608</v>
      </c>
      <c r="C1317" s="44" t="s">
        <v>150</v>
      </c>
      <c r="D1317" s="136" t="s">
        <v>411</v>
      </c>
      <c r="E1317" s="196">
        <v>25</v>
      </c>
      <c r="F1317" s="23">
        <f>VLOOKUP(B1317,'BASE DE DATOS'!$A$5:$E$997,5,FALSE)</f>
        <v>86</v>
      </c>
      <c r="G1317" s="104">
        <v>0</v>
      </c>
      <c r="H1317" s="252">
        <f t="shared" si="94"/>
        <v>2150</v>
      </c>
    </row>
    <row r="1318" spans="1:9" x14ac:dyDescent="0.2">
      <c r="A1318" s="81" t="s">
        <v>2555</v>
      </c>
      <c r="B1318" s="241" t="s">
        <v>644</v>
      </c>
      <c r="C1318" s="3" t="s">
        <v>645</v>
      </c>
      <c r="D1318" s="2" t="s">
        <v>585</v>
      </c>
      <c r="E1318" s="114">
        <v>1</v>
      </c>
      <c r="F1318" s="23">
        <f>VLOOKUP(B1318,'BASE DE DATOS'!$A$5:$E$997,5,FALSE)</f>
        <v>248302</v>
      </c>
      <c r="G1318" s="104">
        <f>1/8</f>
        <v>0.125</v>
      </c>
      <c r="H1318" s="252">
        <f t="shared" si="94"/>
        <v>31037.75</v>
      </c>
    </row>
    <row r="1319" spans="1:9" x14ac:dyDescent="0.2">
      <c r="A1319" s="944" t="s">
        <v>293</v>
      </c>
      <c r="B1319" s="241" t="s">
        <v>598</v>
      </c>
      <c r="C1319" s="3" t="s">
        <v>3362</v>
      </c>
      <c r="D1319" s="2" t="s">
        <v>586</v>
      </c>
      <c r="E1319" s="114">
        <v>0.05</v>
      </c>
      <c r="F1319" s="23">
        <f>H1318</f>
        <v>31037.75</v>
      </c>
      <c r="G1319" s="104">
        <v>0</v>
      </c>
      <c r="H1319" s="252">
        <f t="shared" si="94"/>
        <v>1551.8875</v>
      </c>
    </row>
    <row r="1320" spans="1:9" ht="13.5" thickBot="1" x14ac:dyDescent="0.25">
      <c r="A1320" s="945"/>
      <c r="B1320" s="528" t="s">
        <v>269</v>
      </c>
      <c r="C1320" s="108" t="s">
        <v>284</v>
      </c>
      <c r="D1320" s="109" t="s">
        <v>586</v>
      </c>
      <c r="E1320" s="200">
        <v>0.1</v>
      </c>
      <c r="F1320" s="110">
        <f>H1318</f>
        <v>31037.75</v>
      </c>
      <c r="G1320" s="156">
        <v>0</v>
      </c>
      <c r="H1320" s="479">
        <f t="shared" si="94"/>
        <v>3103.7750000000001</v>
      </c>
    </row>
    <row r="1321" spans="1:9" s="42" customFormat="1" ht="30" x14ac:dyDescent="0.2">
      <c r="A1321" s="67" t="s">
        <v>882</v>
      </c>
      <c r="B1321" s="529"/>
      <c r="C1321" s="388" t="s">
        <v>3288</v>
      </c>
      <c r="D1321" s="389" t="s">
        <v>3251</v>
      </c>
      <c r="E1321" s="390"/>
      <c r="F1321" s="391">
        <f>ROUND(SUM(H1321:H1332),0)</f>
        <v>154968</v>
      </c>
      <c r="G1321" s="392"/>
      <c r="H1321" s="393"/>
      <c r="I1321" s="738"/>
    </row>
    <row r="1322" spans="1:9" ht="13.15" customHeight="1" x14ac:dyDescent="0.2">
      <c r="A1322" s="939" t="s">
        <v>295</v>
      </c>
      <c r="B1322" s="568" t="s">
        <v>1763</v>
      </c>
      <c r="C1322" s="44" t="s">
        <v>2704</v>
      </c>
      <c r="D1322" s="136" t="s">
        <v>411</v>
      </c>
      <c r="E1322" s="196">
        <v>0.42</v>
      </c>
      <c r="F1322" s="23">
        <f>VLOOKUP(B1322,'BASE DE DATOS'!$A$5:$E$997,5,FALSE)</f>
        <v>15000</v>
      </c>
      <c r="G1322" s="104">
        <v>1.1000000000000001</v>
      </c>
      <c r="H1322" s="252">
        <f t="shared" si="94"/>
        <v>6930</v>
      </c>
    </row>
    <row r="1323" spans="1:9" x14ac:dyDescent="0.2">
      <c r="A1323" s="939"/>
      <c r="B1323" s="241" t="s">
        <v>1345</v>
      </c>
      <c r="C1323" s="44" t="s">
        <v>2855</v>
      </c>
      <c r="D1323" s="136" t="s">
        <v>405</v>
      </c>
      <c r="E1323" s="196">
        <f>2.5*2</f>
        <v>5</v>
      </c>
      <c r="F1323" s="23">
        <f>VLOOKUP(B1323,'BASE DE DATOS'!$A$5:$E$997,5,FALSE)</f>
        <v>132</v>
      </c>
      <c r="G1323" s="104">
        <v>0</v>
      </c>
      <c r="H1323" s="252">
        <f>IF(G1323&gt;0,(G1323*F1323*E1323),(F1323*E1323))</f>
        <v>660</v>
      </c>
    </row>
    <row r="1324" spans="1:9" s="33" customFormat="1" x14ac:dyDescent="0.2">
      <c r="A1324" s="939"/>
      <c r="B1324" s="241" t="s">
        <v>1386</v>
      </c>
      <c r="C1324" s="44" t="s">
        <v>3131</v>
      </c>
      <c r="D1324" s="136" t="s">
        <v>406</v>
      </c>
      <c r="E1324" s="196">
        <f>0.45*2</f>
        <v>0.9</v>
      </c>
      <c r="F1324" s="23">
        <f>VLOOKUP(B1324,'BASE DE DATOS'!$A$5:$E$997,5,FALSE)</f>
        <v>1716</v>
      </c>
      <c r="G1324" s="104">
        <v>1.05</v>
      </c>
      <c r="H1324" s="252">
        <f>IF(G1324&gt;0,(G1324*F1324*E1324),(F1324*E1324))</f>
        <v>1621.6200000000001</v>
      </c>
    </row>
    <row r="1325" spans="1:9" ht="14.25" x14ac:dyDescent="0.2">
      <c r="A1325" s="939"/>
      <c r="B1325" s="241" t="s">
        <v>1445</v>
      </c>
      <c r="C1325" s="44" t="s">
        <v>2611</v>
      </c>
      <c r="D1325" s="19" t="s">
        <v>288</v>
      </c>
      <c r="E1325" s="196">
        <f>1*2</f>
        <v>2</v>
      </c>
      <c r="F1325" s="23">
        <f>VLOOKUP(B1325,'BASE DE DATOS'!$A$5:$E$997,5,FALSE)</f>
        <v>32718</v>
      </c>
      <c r="G1325" s="104">
        <v>1.1000000000000001</v>
      </c>
      <c r="H1325" s="252">
        <f>IF(G1325&gt;0,(G1325*F1325*E1325),(F1325*E1325))</f>
        <v>71979.600000000006</v>
      </c>
    </row>
    <row r="1326" spans="1:9" x14ac:dyDescent="0.2">
      <c r="A1326" s="939"/>
      <c r="B1326" s="241" t="s">
        <v>1529</v>
      </c>
      <c r="C1326" s="44" t="s">
        <v>3867</v>
      </c>
      <c r="D1326" s="136" t="s">
        <v>642</v>
      </c>
      <c r="E1326" s="196">
        <f>0.1*2</f>
        <v>0.2</v>
      </c>
      <c r="F1326" s="23">
        <f>VLOOKUP(B1326,'BASE DE DATOS'!$A$5:$E$997,5,FALSE)</f>
        <v>91980</v>
      </c>
      <c r="G1326" s="104">
        <v>0</v>
      </c>
      <c r="H1326" s="252">
        <f>IF(G1326&gt;0,(G1326*F1326*E1326),(F1326*E1326))</f>
        <v>18396</v>
      </c>
    </row>
    <row r="1327" spans="1:9" x14ac:dyDescent="0.2">
      <c r="A1327" s="939"/>
      <c r="B1327" s="241" t="s">
        <v>1735</v>
      </c>
      <c r="C1327" s="44" t="s">
        <v>102</v>
      </c>
      <c r="D1327" s="136" t="s">
        <v>411</v>
      </c>
      <c r="E1327" s="196">
        <v>0.42</v>
      </c>
      <c r="F1327" s="23">
        <f>VLOOKUP(B1327,'BASE DE DATOS'!$A$5:$E$997,5,FALSE)</f>
        <v>6851</v>
      </c>
      <c r="G1327" s="104">
        <v>1.1000000000000001</v>
      </c>
      <c r="H1327" s="252">
        <f t="shared" si="94"/>
        <v>3165.1620000000003</v>
      </c>
    </row>
    <row r="1328" spans="1:9" x14ac:dyDescent="0.2">
      <c r="A1328" s="939"/>
      <c r="B1328" s="241" t="s">
        <v>1607</v>
      </c>
      <c r="C1328" s="44" t="s">
        <v>100</v>
      </c>
      <c r="D1328" s="136" t="s">
        <v>411</v>
      </c>
      <c r="E1328" s="196">
        <f>35+12</f>
        <v>47</v>
      </c>
      <c r="F1328" s="23">
        <f>VLOOKUP(B1328,'BASE DE DATOS'!$A$5:$E$997,5,FALSE)</f>
        <v>38</v>
      </c>
      <c r="G1328" s="104">
        <v>0</v>
      </c>
      <c r="H1328" s="252">
        <f t="shared" si="94"/>
        <v>1786</v>
      </c>
    </row>
    <row r="1329" spans="1:9" x14ac:dyDescent="0.2">
      <c r="A1329" s="939"/>
      <c r="B1329" s="241" t="s">
        <v>1608</v>
      </c>
      <c r="C1329" s="44" t="s">
        <v>101</v>
      </c>
      <c r="D1329" s="136" t="s">
        <v>411</v>
      </c>
      <c r="E1329" s="196">
        <f>25+8</f>
        <v>33</v>
      </c>
      <c r="F1329" s="23">
        <f>VLOOKUP(B1329,'BASE DE DATOS'!$A$5:$E$997,5,FALSE)</f>
        <v>86</v>
      </c>
      <c r="G1329" s="104">
        <v>0</v>
      </c>
      <c r="H1329" s="252">
        <f t="shared" si="94"/>
        <v>2838</v>
      </c>
    </row>
    <row r="1330" spans="1:9" x14ac:dyDescent="0.2">
      <c r="A1330" s="478" t="s">
        <v>2555</v>
      </c>
      <c r="B1330" s="241" t="s">
        <v>644</v>
      </c>
      <c r="C1330" s="3" t="s">
        <v>645</v>
      </c>
      <c r="D1330" s="2" t="s">
        <v>585</v>
      </c>
      <c r="E1330" s="114">
        <v>1</v>
      </c>
      <c r="F1330" s="23">
        <f>VLOOKUP(B1330,'BASE DE DATOS'!$A$5:$E$997,5,FALSE)</f>
        <v>248302</v>
      </c>
      <c r="G1330" s="104">
        <f>1/6</f>
        <v>0.16666666666666666</v>
      </c>
      <c r="H1330" s="252">
        <f t="shared" si="94"/>
        <v>41383.666666666664</v>
      </c>
    </row>
    <row r="1331" spans="1:9" x14ac:dyDescent="0.2">
      <c r="A1331" s="937" t="s">
        <v>293</v>
      </c>
      <c r="B1331" s="241" t="s">
        <v>598</v>
      </c>
      <c r="C1331" s="3" t="s">
        <v>3362</v>
      </c>
      <c r="D1331" s="2" t="s">
        <v>586</v>
      </c>
      <c r="E1331" s="114">
        <v>0.05</v>
      </c>
      <c r="F1331" s="23">
        <f>H1330</f>
        <v>41383.666666666664</v>
      </c>
      <c r="G1331" s="104">
        <v>0</v>
      </c>
      <c r="H1331" s="252">
        <f t="shared" ref="H1331" si="95">IF(G1331&gt;0,(G1331*F1331*E1331),(F1331*E1331))</f>
        <v>2069.1833333333334</v>
      </c>
    </row>
    <row r="1332" spans="1:9" ht="13.5" thickBot="1" x14ac:dyDescent="0.25">
      <c r="A1332" s="938"/>
      <c r="B1332" s="528" t="s">
        <v>269</v>
      </c>
      <c r="C1332" s="108" t="s">
        <v>284</v>
      </c>
      <c r="D1332" s="109" t="s">
        <v>586</v>
      </c>
      <c r="E1332" s="200">
        <v>0.1</v>
      </c>
      <c r="F1332" s="110">
        <f>H1330</f>
        <v>41383.666666666664</v>
      </c>
      <c r="G1332" s="156">
        <v>0</v>
      </c>
      <c r="H1332" s="479">
        <f t="shared" si="94"/>
        <v>4138.3666666666668</v>
      </c>
    </row>
    <row r="1333" spans="1:9" s="42" customFormat="1" ht="30" x14ac:dyDescent="0.2">
      <c r="A1333" s="67" t="s">
        <v>883</v>
      </c>
      <c r="B1333" s="529"/>
      <c r="C1333" s="388" t="s">
        <v>3287</v>
      </c>
      <c r="D1333" s="389" t="s">
        <v>3251</v>
      </c>
      <c r="E1333" s="390"/>
      <c r="F1333" s="391">
        <f>ROUND(SUM(H1333:H1344),0)</f>
        <v>95597</v>
      </c>
      <c r="G1333" s="392"/>
      <c r="H1333" s="393"/>
      <c r="I1333" s="738"/>
    </row>
    <row r="1334" spans="1:9" ht="13.15" customHeight="1" x14ac:dyDescent="0.2">
      <c r="A1334" s="939" t="s">
        <v>295</v>
      </c>
      <c r="B1334" s="568" t="s">
        <v>1763</v>
      </c>
      <c r="C1334" s="44" t="s">
        <v>2704</v>
      </c>
      <c r="D1334" s="136" t="s">
        <v>411</v>
      </c>
      <c r="E1334" s="196">
        <v>0.42</v>
      </c>
      <c r="F1334" s="23">
        <f>VLOOKUP(B1334,'BASE DE DATOS'!$A$5:$E$997,5,FALSE)</f>
        <v>15000</v>
      </c>
      <c r="G1334" s="104">
        <v>1.1000000000000001</v>
      </c>
      <c r="H1334" s="252">
        <f t="shared" si="94"/>
        <v>6930</v>
      </c>
    </row>
    <row r="1335" spans="1:9" x14ac:dyDescent="0.2">
      <c r="A1335" s="939"/>
      <c r="B1335" s="241" t="s">
        <v>1345</v>
      </c>
      <c r="C1335" s="44" t="s">
        <v>2855</v>
      </c>
      <c r="D1335" s="136" t="s">
        <v>405</v>
      </c>
      <c r="E1335" s="196">
        <v>2.5</v>
      </c>
      <c r="F1335" s="23">
        <f>VLOOKUP(B1335,'BASE DE DATOS'!$A$5:$E$997,5,FALSE)</f>
        <v>132</v>
      </c>
      <c r="G1335" s="104">
        <v>0</v>
      </c>
      <c r="H1335" s="252">
        <f>IF(G1335&gt;0,(G1335*F1335*E1335),(F1335*E1335))</f>
        <v>330</v>
      </c>
    </row>
    <row r="1336" spans="1:9" s="33" customFormat="1" x14ac:dyDescent="0.2">
      <c r="A1336" s="939"/>
      <c r="B1336" s="241" t="s">
        <v>1386</v>
      </c>
      <c r="C1336" s="44" t="s">
        <v>3131</v>
      </c>
      <c r="D1336" s="136" t="s">
        <v>406</v>
      </c>
      <c r="E1336" s="196">
        <v>0.45</v>
      </c>
      <c r="F1336" s="23">
        <f>VLOOKUP(B1336,'BASE DE DATOS'!$A$5:$E$997,5,FALSE)</f>
        <v>1716</v>
      </c>
      <c r="G1336" s="104">
        <v>1.05</v>
      </c>
      <c r="H1336" s="252">
        <f>IF(G1336&gt;0,(G1336*F1336*E1336),(F1336*E1336))</f>
        <v>810.81000000000006</v>
      </c>
    </row>
    <row r="1337" spans="1:9" ht="14.25" x14ac:dyDescent="0.2">
      <c r="A1337" s="939"/>
      <c r="B1337" s="241" t="s">
        <v>1445</v>
      </c>
      <c r="C1337" s="44" t="s">
        <v>2611</v>
      </c>
      <c r="D1337" s="19" t="s">
        <v>288</v>
      </c>
      <c r="E1337" s="196">
        <v>1</v>
      </c>
      <c r="F1337" s="23">
        <f>VLOOKUP(B1337,'BASE DE DATOS'!$A$5:$E$997,5,FALSE)</f>
        <v>32718</v>
      </c>
      <c r="G1337" s="104">
        <v>1.1000000000000001</v>
      </c>
      <c r="H1337" s="252">
        <f>IF(G1337&gt;0,(G1337*F1337*E1337),(F1337*E1337))</f>
        <v>35989.800000000003</v>
      </c>
    </row>
    <row r="1338" spans="1:9" x14ac:dyDescent="0.2">
      <c r="A1338" s="939"/>
      <c r="B1338" s="241" t="s">
        <v>1735</v>
      </c>
      <c r="C1338" s="44" t="s">
        <v>102</v>
      </c>
      <c r="D1338" s="136" t="s">
        <v>411</v>
      </c>
      <c r="E1338" s="196">
        <v>0.42</v>
      </c>
      <c r="F1338" s="23">
        <f>VLOOKUP(B1338,'BASE DE DATOS'!$A$5:$E$997,5,FALSE)</f>
        <v>6851</v>
      </c>
      <c r="G1338" s="104">
        <v>1.1000000000000001</v>
      </c>
      <c r="H1338" s="252">
        <f t="shared" si="94"/>
        <v>3165.1620000000003</v>
      </c>
    </row>
    <row r="1339" spans="1:9" x14ac:dyDescent="0.2">
      <c r="A1339" s="939"/>
      <c r="B1339" s="241" t="s">
        <v>1529</v>
      </c>
      <c r="C1339" s="44" t="s">
        <v>3867</v>
      </c>
      <c r="D1339" s="136" t="s">
        <v>642</v>
      </c>
      <c r="E1339" s="196">
        <v>0.1</v>
      </c>
      <c r="F1339" s="23">
        <f>VLOOKUP(B1339,'BASE DE DATOS'!$A$5:$E$997,5,FALSE)</f>
        <v>91980</v>
      </c>
      <c r="G1339" s="104">
        <v>0</v>
      </c>
      <c r="H1339" s="252">
        <f>IF(G1339&gt;0,(G1339*F1339*E1339),(F1339*E1339))</f>
        <v>9198</v>
      </c>
    </row>
    <row r="1340" spans="1:9" x14ac:dyDescent="0.2">
      <c r="A1340" s="939"/>
      <c r="B1340" s="241" t="s">
        <v>1607</v>
      </c>
      <c r="C1340" s="44" t="s">
        <v>100</v>
      </c>
      <c r="D1340" s="136" t="s">
        <v>411</v>
      </c>
      <c r="E1340" s="196">
        <v>35</v>
      </c>
      <c r="F1340" s="23">
        <f>VLOOKUP(B1340,'BASE DE DATOS'!$A$5:$E$997,5,FALSE)</f>
        <v>38</v>
      </c>
      <c r="G1340" s="104">
        <v>0</v>
      </c>
      <c r="H1340" s="252">
        <f t="shared" si="94"/>
        <v>1330</v>
      </c>
    </row>
    <row r="1341" spans="1:9" x14ac:dyDescent="0.2">
      <c r="A1341" s="939"/>
      <c r="B1341" s="241" t="s">
        <v>1608</v>
      </c>
      <c r="C1341" s="44" t="s">
        <v>101</v>
      </c>
      <c r="D1341" s="136" t="s">
        <v>411</v>
      </c>
      <c r="E1341" s="196">
        <v>25</v>
      </c>
      <c r="F1341" s="23">
        <f>VLOOKUP(B1341,'BASE DE DATOS'!$A$5:$E$997,5,FALSE)</f>
        <v>86</v>
      </c>
      <c r="G1341" s="104">
        <v>0</v>
      </c>
      <c r="H1341" s="252">
        <f t="shared" si="94"/>
        <v>2150</v>
      </c>
    </row>
    <row r="1342" spans="1:9" x14ac:dyDescent="0.2">
      <c r="A1342" s="81" t="s">
        <v>2555</v>
      </c>
      <c r="B1342" s="241" t="s">
        <v>644</v>
      </c>
      <c r="C1342" s="3" t="s">
        <v>645</v>
      </c>
      <c r="D1342" s="2" t="s">
        <v>585</v>
      </c>
      <c r="E1342" s="114">
        <v>1</v>
      </c>
      <c r="F1342" s="23">
        <f>VLOOKUP(B1342,'BASE DE DATOS'!$A$5:$E$997,5,FALSE)</f>
        <v>248302</v>
      </c>
      <c r="G1342" s="104">
        <f>1/8</f>
        <v>0.125</v>
      </c>
      <c r="H1342" s="252">
        <f t="shared" si="94"/>
        <v>31037.75</v>
      </c>
    </row>
    <row r="1343" spans="1:9" x14ac:dyDescent="0.2">
      <c r="A1343" s="937" t="s">
        <v>293</v>
      </c>
      <c r="B1343" s="241" t="s">
        <v>598</v>
      </c>
      <c r="C1343" s="3" t="s">
        <v>3362</v>
      </c>
      <c r="D1343" s="2" t="s">
        <v>586</v>
      </c>
      <c r="E1343" s="114">
        <v>0.05</v>
      </c>
      <c r="F1343" s="23">
        <f>H1342</f>
        <v>31037.75</v>
      </c>
      <c r="G1343" s="104">
        <v>0</v>
      </c>
      <c r="H1343" s="252">
        <f t="shared" si="94"/>
        <v>1551.8875</v>
      </c>
    </row>
    <row r="1344" spans="1:9" ht="13.5" thickBot="1" x14ac:dyDescent="0.25">
      <c r="A1344" s="938"/>
      <c r="B1344" s="528" t="s">
        <v>269</v>
      </c>
      <c r="C1344" s="108" t="s">
        <v>284</v>
      </c>
      <c r="D1344" s="109" t="s">
        <v>586</v>
      </c>
      <c r="E1344" s="200">
        <v>0.1</v>
      </c>
      <c r="F1344" s="110">
        <f>H1342</f>
        <v>31037.75</v>
      </c>
      <c r="G1344" s="156">
        <v>0</v>
      </c>
      <c r="H1344" s="479">
        <f t="shared" si="94"/>
        <v>3103.7750000000001</v>
      </c>
    </row>
    <row r="1345" spans="1:9" s="42" customFormat="1" ht="17.25" x14ac:dyDescent="0.2">
      <c r="A1345" s="67" t="s">
        <v>884</v>
      </c>
      <c r="B1345" s="529"/>
      <c r="C1345" s="388" t="s">
        <v>116</v>
      </c>
      <c r="D1345" s="389" t="s">
        <v>3251</v>
      </c>
      <c r="E1345" s="395"/>
      <c r="F1345" s="391">
        <f>ROUND(SUM(H1345:H1356),0)</f>
        <v>541385</v>
      </c>
      <c r="G1345" s="392"/>
      <c r="H1345" s="393"/>
      <c r="I1345" s="738"/>
    </row>
    <row r="1346" spans="1:9" ht="14.25" x14ac:dyDescent="0.2">
      <c r="A1346" s="939" t="s">
        <v>295</v>
      </c>
      <c r="B1346" s="241" t="s">
        <v>1263</v>
      </c>
      <c r="C1346" s="44" t="s">
        <v>3811</v>
      </c>
      <c r="D1346" s="2" t="s">
        <v>406</v>
      </c>
      <c r="E1346" s="114">
        <v>2.2400000000000002</v>
      </c>
      <c r="F1346" s="23">
        <f>VLOOKUP(B1346,'BASE DE DATOS'!$A$5:$E$997,5,FALSE)</f>
        <v>4545</v>
      </c>
      <c r="G1346" s="104">
        <v>1.03</v>
      </c>
      <c r="H1346" s="252">
        <f>IF(G1346&gt;0,(G1346*F1346*E1346),(F1346*E1346))</f>
        <v>10486.224000000002</v>
      </c>
    </row>
    <row r="1347" spans="1:9" ht="14.25" x14ac:dyDescent="0.2">
      <c r="A1347" s="939"/>
      <c r="B1347" s="241" t="s">
        <v>1262</v>
      </c>
      <c r="C1347" s="44" t="s">
        <v>3809</v>
      </c>
      <c r="D1347" s="2" t="s">
        <v>406</v>
      </c>
      <c r="E1347" s="114">
        <v>2</v>
      </c>
      <c r="F1347" s="23">
        <f>VLOOKUP(B1347,'BASE DE DATOS'!$A$5:$E$997,5,FALSE)</f>
        <v>4500</v>
      </c>
      <c r="G1347" s="104">
        <v>1.03</v>
      </c>
      <c r="H1347" s="252">
        <f>IF(G1347&gt;0,(G1347*F1347*E1347),(F1347*E1347))</f>
        <v>9270</v>
      </c>
    </row>
    <row r="1348" spans="1:9" ht="38.25" x14ac:dyDescent="0.2">
      <c r="A1348" s="939"/>
      <c r="B1348" s="241" t="s">
        <v>1499</v>
      </c>
      <c r="C1348" s="236" t="s">
        <v>2794</v>
      </c>
      <c r="D1348" s="2" t="s">
        <v>411</v>
      </c>
      <c r="E1348" s="114">
        <v>0.1</v>
      </c>
      <c r="F1348" s="23">
        <f>VLOOKUP(B1348,'BASE DE DATOS'!$A$5:$E$997,5,FALSE)</f>
        <v>99900</v>
      </c>
      <c r="G1348" s="104">
        <v>1.05</v>
      </c>
      <c r="H1348" s="252">
        <f>IF(G1348&gt;0,(G1348*F1348*E1348),(F1348*E1348))</f>
        <v>10489.5</v>
      </c>
    </row>
    <row r="1349" spans="1:9" x14ac:dyDescent="0.2">
      <c r="A1349" s="939"/>
      <c r="B1349" s="241" t="s">
        <v>1279</v>
      </c>
      <c r="C1349" s="44" t="s">
        <v>349</v>
      </c>
      <c r="D1349" s="2" t="s">
        <v>617</v>
      </c>
      <c r="E1349" s="114">
        <v>3</v>
      </c>
      <c r="F1349" s="23">
        <f>VLOOKUP(B1349,'BASE DE DATOS'!$A$5:$E$997,5,FALSE)</f>
        <v>19</v>
      </c>
      <c r="G1349" s="104">
        <v>0</v>
      </c>
      <c r="H1349" s="252">
        <f>IF(G1349&gt;0,(G1349*F1349*E1349),(F1349*E1349))</f>
        <v>57</v>
      </c>
    </row>
    <row r="1350" spans="1:9" ht="13.15" customHeight="1" x14ac:dyDescent="0.2">
      <c r="A1350" s="939"/>
      <c r="B1350" s="241" t="s">
        <v>1302</v>
      </c>
      <c r="C1350" s="44" t="s">
        <v>1937</v>
      </c>
      <c r="D1350" s="2" t="s">
        <v>411</v>
      </c>
      <c r="E1350" s="114">
        <v>25</v>
      </c>
      <c r="F1350" s="23">
        <f>VLOOKUP(B1350,'BASE DE DATOS'!$A$5:$E$997,5,FALSE)</f>
        <v>12900</v>
      </c>
      <c r="G1350" s="104">
        <v>0</v>
      </c>
      <c r="H1350" s="252">
        <f t="shared" si="94"/>
        <v>322500</v>
      </c>
    </row>
    <row r="1351" spans="1:9" x14ac:dyDescent="0.2">
      <c r="A1351" s="939"/>
      <c r="B1351" s="241" t="s">
        <v>1706</v>
      </c>
      <c r="C1351" s="44" t="s">
        <v>121</v>
      </c>
      <c r="D1351" s="2" t="s">
        <v>406</v>
      </c>
      <c r="E1351" s="114">
        <v>16</v>
      </c>
      <c r="F1351" s="23">
        <f>VLOOKUP(B1351,'BASE DE DATOS'!$A$5:$E$997,5,FALSE)</f>
        <v>4290</v>
      </c>
      <c r="G1351" s="104">
        <v>1.05</v>
      </c>
      <c r="H1351" s="252">
        <f t="shared" si="94"/>
        <v>72072</v>
      </c>
    </row>
    <row r="1352" spans="1:9" x14ac:dyDescent="0.2">
      <c r="A1352" s="939"/>
      <c r="B1352" s="241" t="s">
        <v>1705</v>
      </c>
      <c r="C1352" s="44" t="s">
        <v>123</v>
      </c>
      <c r="D1352" s="2" t="s">
        <v>411</v>
      </c>
      <c r="E1352" s="114">
        <v>36</v>
      </c>
      <c r="F1352" s="23">
        <f>VLOOKUP(B1352,'BASE DE DATOS'!$A$5:$E$997,5,FALSE)</f>
        <v>1081</v>
      </c>
      <c r="G1352" s="104">
        <v>0</v>
      </c>
      <c r="H1352" s="252">
        <f t="shared" si="94"/>
        <v>38916</v>
      </c>
    </row>
    <row r="1353" spans="1:9" x14ac:dyDescent="0.2">
      <c r="A1353" s="81" t="s">
        <v>2555</v>
      </c>
      <c r="B1353" s="241" t="s">
        <v>644</v>
      </c>
      <c r="C1353" s="3" t="s">
        <v>645</v>
      </c>
      <c r="D1353" s="2" t="s">
        <v>585</v>
      </c>
      <c r="E1353" s="114">
        <v>1</v>
      </c>
      <c r="F1353" s="23">
        <f>VLOOKUP(B1353,'BASE DE DATOS'!$A$5:$E$997,5,FALSE)</f>
        <v>248302</v>
      </c>
      <c r="G1353" s="104">
        <f>1/4</f>
        <v>0.25</v>
      </c>
      <c r="H1353" s="252">
        <f t="shared" si="94"/>
        <v>62075.5</v>
      </c>
    </row>
    <row r="1354" spans="1:9" x14ac:dyDescent="0.2">
      <c r="A1354" s="937" t="s">
        <v>293</v>
      </c>
      <c r="B1354" s="241" t="s">
        <v>598</v>
      </c>
      <c r="C1354" s="3" t="s">
        <v>3362</v>
      </c>
      <c r="D1354" s="2" t="s">
        <v>586</v>
      </c>
      <c r="E1354" s="114">
        <v>0.05</v>
      </c>
      <c r="F1354" s="23">
        <f>H1353</f>
        <v>62075.5</v>
      </c>
      <c r="G1354" s="104">
        <v>0</v>
      </c>
      <c r="H1354" s="252">
        <f t="shared" ref="H1354" si="96">IF(G1354&gt;0,(G1354*F1354*E1354),(F1354*E1354))</f>
        <v>3103.7750000000001</v>
      </c>
    </row>
    <row r="1355" spans="1:9" x14ac:dyDescent="0.2">
      <c r="A1355" s="937"/>
      <c r="B1355" s="241" t="s">
        <v>598</v>
      </c>
      <c r="C1355" s="218" t="str">
        <f>'BASE DE DATOS'!B926</f>
        <v>Andamio tubular certificado de 2 m, incluye arnés y línea de vida</v>
      </c>
      <c r="D1355" s="219" t="s">
        <v>586</v>
      </c>
      <c r="E1355" s="196">
        <v>0.1</v>
      </c>
      <c r="F1355" s="220">
        <f>H1353</f>
        <v>62075.5</v>
      </c>
      <c r="G1355" s="187">
        <v>0</v>
      </c>
      <c r="H1355" s="252">
        <f>IF(G1355&gt;0,(G1355*F1355*E1355),(F1355*E1355))</f>
        <v>6207.55</v>
      </c>
    </row>
    <row r="1356" spans="1:9" ht="13.5" thickBot="1" x14ac:dyDescent="0.25">
      <c r="A1356" s="938"/>
      <c r="B1356" s="528" t="s">
        <v>269</v>
      </c>
      <c r="C1356" s="88" t="s">
        <v>284</v>
      </c>
      <c r="D1356" s="89" t="s">
        <v>586</v>
      </c>
      <c r="E1356" s="197">
        <v>0.1</v>
      </c>
      <c r="F1356" s="90">
        <f>H1353</f>
        <v>62075.5</v>
      </c>
      <c r="G1356" s="153">
        <v>0</v>
      </c>
      <c r="H1356" s="255">
        <f t="shared" si="94"/>
        <v>6207.55</v>
      </c>
    </row>
    <row r="1357" spans="1:9" s="42" customFormat="1" ht="17.25" x14ac:dyDescent="0.2">
      <c r="A1357" s="67" t="s">
        <v>885</v>
      </c>
      <c r="B1357" s="529"/>
      <c r="C1357" s="388" t="s">
        <v>416</v>
      </c>
      <c r="D1357" s="389" t="s">
        <v>3251</v>
      </c>
      <c r="E1357" s="395"/>
      <c r="F1357" s="391">
        <f>ROUND(SUM(H1357:H1362),0)</f>
        <v>155913</v>
      </c>
      <c r="G1357" s="392"/>
      <c r="H1357" s="393"/>
      <c r="I1357" s="738"/>
    </row>
    <row r="1358" spans="1:9" x14ac:dyDescent="0.2">
      <c r="A1358" s="82" t="s">
        <v>382</v>
      </c>
      <c r="B1358" s="241" t="s">
        <v>1312</v>
      </c>
      <c r="C1358" s="3" t="s">
        <v>2702</v>
      </c>
      <c r="D1358" s="2" t="s">
        <v>411</v>
      </c>
      <c r="E1358" s="114">
        <v>25</v>
      </c>
      <c r="F1358" s="23">
        <f>VLOOKUP(B1358,'BASE DE DATOS'!$A$5:$E$997,5,FALSE)</f>
        <v>3400</v>
      </c>
      <c r="G1358" s="104">
        <v>1.05</v>
      </c>
      <c r="H1358" s="252">
        <f t="shared" si="94"/>
        <v>89250</v>
      </c>
    </row>
    <row r="1359" spans="1:9" s="33" customFormat="1" ht="14.25" x14ac:dyDescent="0.2">
      <c r="A1359" s="64" t="s">
        <v>3252</v>
      </c>
      <c r="B1359" s="241" t="s">
        <v>810</v>
      </c>
      <c r="C1359" s="3" t="s">
        <v>2097</v>
      </c>
      <c r="D1359" s="2" t="s">
        <v>285</v>
      </c>
      <c r="E1359" s="114">
        <v>0.02</v>
      </c>
      <c r="F1359" s="23">
        <f>F90</f>
        <v>525897</v>
      </c>
      <c r="G1359" s="104">
        <v>1.05</v>
      </c>
      <c r="H1359" s="252">
        <f t="shared" ref="H1359:H1423" si="97">IF(G1359&gt;0,(G1359*F1359*E1359),(F1359*E1359))</f>
        <v>11043.837</v>
      </c>
    </row>
    <row r="1360" spans="1:9" x14ac:dyDescent="0.2">
      <c r="A1360" s="81" t="s">
        <v>2555</v>
      </c>
      <c r="B1360" s="241" t="s">
        <v>644</v>
      </c>
      <c r="C1360" s="3" t="s">
        <v>645</v>
      </c>
      <c r="D1360" s="2" t="s">
        <v>585</v>
      </c>
      <c r="E1360" s="114">
        <v>1</v>
      </c>
      <c r="F1360" s="23">
        <f>VLOOKUP(B1360,'BASE DE DATOS'!$A$5:$E$997,5,FALSE)</f>
        <v>248302</v>
      </c>
      <c r="G1360" s="104">
        <f>1/5</f>
        <v>0.2</v>
      </c>
      <c r="H1360" s="252">
        <f t="shared" si="97"/>
        <v>49660.4</v>
      </c>
    </row>
    <row r="1361" spans="1:9" x14ac:dyDescent="0.2">
      <c r="A1361" s="937" t="s">
        <v>293</v>
      </c>
      <c r="B1361" s="241" t="s">
        <v>598</v>
      </c>
      <c r="C1361" s="218" t="s">
        <v>3362</v>
      </c>
      <c r="D1361" s="219" t="s">
        <v>586</v>
      </c>
      <c r="E1361" s="114">
        <v>0.02</v>
      </c>
      <c r="F1361" s="220">
        <f>H1360</f>
        <v>49660.4</v>
      </c>
      <c r="G1361" s="187">
        <v>0</v>
      </c>
      <c r="H1361" s="252">
        <f>IF(G1361&gt;0,(G1361*F1361*E1361),(F1361*E1361))</f>
        <v>993.20800000000008</v>
      </c>
    </row>
    <row r="1362" spans="1:9" ht="13.5" thickBot="1" x14ac:dyDescent="0.25">
      <c r="A1362" s="938"/>
      <c r="B1362" s="528" t="s">
        <v>269</v>
      </c>
      <c r="C1362" s="88" t="s">
        <v>284</v>
      </c>
      <c r="D1362" s="89" t="s">
        <v>586</v>
      </c>
      <c r="E1362" s="193">
        <v>0.1</v>
      </c>
      <c r="F1362" s="90">
        <f>H1360</f>
        <v>49660.4</v>
      </c>
      <c r="G1362" s="153">
        <v>0</v>
      </c>
      <c r="H1362" s="255">
        <f t="shared" si="97"/>
        <v>4966.0400000000009</v>
      </c>
    </row>
    <row r="1363" spans="1:9" s="42" customFormat="1" ht="17.25" x14ac:dyDescent="0.2">
      <c r="A1363" s="67" t="s">
        <v>886</v>
      </c>
      <c r="B1363" s="529"/>
      <c r="C1363" s="388" t="s">
        <v>149</v>
      </c>
      <c r="D1363" s="389" t="s">
        <v>3251</v>
      </c>
      <c r="E1363" s="395"/>
      <c r="F1363" s="391">
        <f>ROUND(SUM(H1363:H1368),0)</f>
        <v>203534</v>
      </c>
      <c r="G1363" s="392"/>
      <c r="H1363" s="393"/>
      <c r="I1363" s="738"/>
    </row>
    <row r="1364" spans="1:9" ht="14.25" x14ac:dyDescent="0.2">
      <c r="A1364" s="82" t="s">
        <v>382</v>
      </c>
      <c r="B1364" s="241" t="s">
        <v>1801</v>
      </c>
      <c r="C1364" s="3" t="s">
        <v>3286</v>
      </c>
      <c r="D1364" s="2" t="s">
        <v>288</v>
      </c>
      <c r="E1364" s="114">
        <v>1</v>
      </c>
      <c r="F1364" s="23">
        <f>VLOOKUP(B1364,'BASE DE DATOS'!$A$5:$E$997,5,FALSE)</f>
        <v>147836</v>
      </c>
      <c r="G1364" s="104">
        <v>1.05</v>
      </c>
      <c r="H1364" s="252">
        <f t="shared" si="97"/>
        <v>155227.80000000002</v>
      </c>
    </row>
    <row r="1365" spans="1:9" ht="14.25" x14ac:dyDescent="0.2">
      <c r="A1365" s="64" t="s">
        <v>3252</v>
      </c>
      <c r="B1365" s="241" t="s">
        <v>810</v>
      </c>
      <c r="C1365" s="3" t="s">
        <v>2097</v>
      </c>
      <c r="D1365" s="2" t="s">
        <v>285</v>
      </c>
      <c r="E1365" s="114">
        <v>0.01</v>
      </c>
      <c r="F1365" s="23">
        <f>F90</f>
        <v>525897</v>
      </c>
      <c r="G1365" s="104">
        <v>1.05</v>
      </c>
      <c r="H1365" s="252">
        <f t="shared" si="97"/>
        <v>5521.9184999999998</v>
      </c>
    </row>
    <row r="1366" spans="1:9" s="33" customFormat="1" x14ac:dyDescent="0.2">
      <c r="A1366" s="81" t="s">
        <v>2555</v>
      </c>
      <c r="B1366" s="241" t="s">
        <v>644</v>
      </c>
      <c r="C1366" s="3" t="s">
        <v>645</v>
      </c>
      <c r="D1366" s="2" t="s">
        <v>585</v>
      </c>
      <c r="E1366" s="114">
        <v>1</v>
      </c>
      <c r="F1366" s="23">
        <f>VLOOKUP(B1366,'BASE DE DATOS'!$A$5:$E$997,5,FALSE)</f>
        <v>248302</v>
      </c>
      <c r="G1366" s="104">
        <f>1/6.5</f>
        <v>0.15384615384615385</v>
      </c>
      <c r="H1366" s="252">
        <f t="shared" si="97"/>
        <v>38200.307692307695</v>
      </c>
    </row>
    <row r="1367" spans="1:9" x14ac:dyDescent="0.2">
      <c r="A1367" s="944" t="s">
        <v>293</v>
      </c>
      <c r="B1367" s="241" t="s">
        <v>598</v>
      </c>
      <c r="C1367" s="218" t="s">
        <v>3362</v>
      </c>
      <c r="D1367" s="219" t="s">
        <v>586</v>
      </c>
      <c r="E1367" s="114">
        <v>0.02</v>
      </c>
      <c r="F1367" s="220">
        <f>H1366</f>
        <v>38200.307692307695</v>
      </c>
      <c r="G1367" s="187">
        <v>0</v>
      </c>
      <c r="H1367" s="252">
        <f>IF(G1367&gt;0,(G1367*F1367*E1367),(F1367*E1367))</f>
        <v>764.00615384615389</v>
      </c>
    </row>
    <row r="1368" spans="1:9" ht="13.9" customHeight="1" thickBot="1" x14ac:dyDescent="0.25">
      <c r="A1368" s="945"/>
      <c r="B1368" s="528" t="s">
        <v>269</v>
      </c>
      <c r="C1368" s="88" t="s">
        <v>284</v>
      </c>
      <c r="D1368" s="89" t="s">
        <v>586</v>
      </c>
      <c r="E1368" s="193">
        <v>0.1</v>
      </c>
      <c r="F1368" s="90">
        <f>H1366</f>
        <v>38200.307692307695</v>
      </c>
      <c r="G1368" s="153">
        <v>0</v>
      </c>
      <c r="H1368" s="255">
        <f t="shared" si="97"/>
        <v>3820.0307692307697</v>
      </c>
    </row>
    <row r="1369" spans="1:9" s="42" customFormat="1" ht="15" x14ac:dyDescent="0.2">
      <c r="A1369" s="67" t="s">
        <v>887</v>
      </c>
      <c r="B1369" s="529"/>
      <c r="C1369" s="388" t="s">
        <v>419</v>
      </c>
      <c r="D1369" s="389" t="s">
        <v>405</v>
      </c>
      <c r="E1369" s="395"/>
      <c r="F1369" s="391">
        <f>ROUND(SUM(H1369:H1374),0)</f>
        <v>67678</v>
      </c>
      <c r="G1369" s="392"/>
      <c r="H1369" s="393"/>
      <c r="I1369" s="738"/>
    </row>
    <row r="1370" spans="1:9" x14ac:dyDescent="0.2">
      <c r="A1370" s="82" t="s">
        <v>382</v>
      </c>
      <c r="B1370" s="241" t="s">
        <v>1756</v>
      </c>
      <c r="C1370" s="3" t="s">
        <v>83</v>
      </c>
      <c r="D1370" s="2" t="s">
        <v>411</v>
      </c>
      <c r="E1370" s="196">
        <v>9</v>
      </c>
      <c r="F1370" s="23">
        <f>VLOOKUP(B1370,'BASE DE DATOS'!$A$5:$E$997,5,FALSE)</f>
        <v>1600</v>
      </c>
      <c r="G1370" s="104">
        <v>1.05</v>
      </c>
      <c r="H1370" s="252">
        <f t="shared" si="97"/>
        <v>15120</v>
      </c>
    </row>
    <row r="1371" spans="1:9" ht="14.25" x14ac:dyDescent="0.2">
      <c r="A1371" s="64" t="s">
        <v>3252</v>
      </c>
      <c r="B1371" s="241" t="s">
        <v>810</v>
      </c>
      <c r="C1371" s="3" t="s">
        <v>2097</v>
      </c>
      <c r="D1371" s="2" t="s">
        <v>285</v>
      </c>
      <c r="E1371" s="196">
        <v>2.5000000000000001E-2</v>
      </c>
      <c r="F1371" s="23">
        <f>F90</f>
        <v>525897</v>
      </c>
      <c r="G1371" s="104">
        <v>1.05</v>
      </c>
      <c r="H1371" s="252">
        <f t="shared" si="97"/>
        <v>13804.796249999999</v>
      </c>
    </row>
    <row r="1372" spans="1:9" x14ac:dyDescent="0.2">
      <c r="A1372" s="81" t="s">
        <v>2555</v>
      </c>
      <c r="B1372" s="241" t="s">
        <v>607</v>
      </c>
      <c r="C1372" s="3" t="s">
        <v>608</v>
      </c>
      <c r="D1372" s="2" t="s">
        <v>585</v>
      </c>
      <c r="E1372" s="196">
        <v>1</v>
      </c>
      <c r="F1372" s="23">
        <f>VLOOKUP(B1372,'BASE DE DATOS'!$A$5:$E$997,5,FALSE)</f>
        <v>336981</v>
      </c>
      <c r="G1372" s="104">
        <f>1/10</f>
        <v>0.1</v>
      </c>
      <c r="H1372" s="252">
        <f t="shared" si="97"/>
        <v>33698.1</v>
      </c>
    </row>
    <row r="1373" spans="1:9" x14ac:dyDescent="0.2">
      <c r="A1373" s="937" t="s">
        <v>293</v>
      </c>
      <c r="B1373" s="241" t="s">
        <v>598</v>
      </c>
      <c r="C1373" s="218" t="s">
        <v>3362</v>
      </c>
      <c r="D1373" s="219" t="s">
        <v>586</v>
      </c>
      <c r="E1373" s="196">
        <v>0.05</v>
      </c>
      <c r="F1373" s="220">
        <f>H1372</f>
        <v>33698.1</v>
      </c>
      <c r="G1373" s="187">
        <v>0</v>
      </c>
      <c r="H1373" s="252">
        <f>IF(G1373&gt;0,(G1373*F1373*E1373),(F1373*E1373))</f>
        <v>1684.905</v>
      </c>
    </row>
    <row r="1374" spans="1:9" ht="13.5" thickBot="1" x14ac:dyDescent="0.25">
      <c r="A1374" s="938"/>
      <c r="B1374" s="528" t="s">
        <v>269</v>
      </c>
      <c r="C1374" s="88" t="s">
        <v>284</v>
      </c>
      <c r="D1374" s="89" t="s">
        <v>586</v>
      </c>
      <c r="E1374" s="197">
        <v>0.1</v>
      </c>
      <c r="F1374" s="90">
        <f>H1372</f>
        <v>33698.1</v>
      </c>
      <c r="G1374" s="153">
        <v>0</v>
      </c>
      <c r="H1374" s="255">
        <f t="shared" si="97"/>
        <v>3369.81</v>
      </c>
    </row>
    <row r="1375" spans="1:9" s="42" customFormat="1" ht="15" x14ac:dyDescent="0.2">
      <c r="A1375" s="67" t="s">
        <v>888</v>
      </c>
      <c r="B1375" s="529"/>
      <c r="C1375" s="388" t="s">
        <v>3272</v>
      </c>
      <c r="D1375" s="389" t="s">
        <v>405</v>
      </c>
      <c r="E1375" s="390"/>
      <c r="F1375" s="391">
        <f>ROUND(SUM(H1375:H1381),0)</f>
        <v>23136</v>
      </c>
      <c r="G1375" s="392"/>
      <c r="H1375" s="393"/>
      <c r="I1375" s="738"/>
    </row>
    <row r="1376" spans="1:9" ht="14.25" x14ac:dyDescent="0.2">
      <c r="A1376" s="936" t="s">
        <v>382</v>
      </c>
      <c r="B1376" s="241" t="s">
        <v>1473</v>
      </c>
      <c r="C1376" s="3" t="s">
        <v>2729</v>
      </c>
      <c r="D1376" s="2" t="s">
        <v>288</v>
      </c>
      <c r="E1376" s="114">
        <v>0.5</v>
      </c>
      <c r="F1376" s="23">
        <f>VLOOKUP(B1376,'BASE DE DATOS'!$A$5:$E$997,5,FALSE)</f>
        <v>5100</v>
      </c>
      <c r="G1376" s="104">
        <v>1.05</v>
      </c>
      <c r="H1376" s="252">
        <f>IF(G1376&gt;0,(G1376*F1376*E1376),(F1376*E1376))</f>
        <v>2677.5</v>
      </c>
    </row>
    <row r="1377" spans="1:9" x14ac:dyDescent="0.2">
      <c r="A1377" s="936"/>
      <c r="B1377" s="241" t="s">
        <v>1558</v>
      </c>
      <c r="C1377" s="3" t="s">
        <v>2023</v>
      </c>
      <c r="D1377" s="2" t="s">
        <v>590</v>
      </c>
      <c r="E1377" s="114">
        <f>1/120*14</f>
        <v>0.11666666666666667</v>
      </c>
      <c r="F1377" s="23">
        <f>VLOOKUP(B1377,'BASE DE DATOS'!$A$5:$E$997,5,FALSE)</f>
        <v>5650</v>
      </c>
      <c r="G1377" s="104">
        <v>0</v>
      </c>
      <c r="H1377" s="252">
        <f t="shared" si="97"/>
        <v>659.16666666666663</v>
      </c>
    </row>
    <row r="1378" spans="1:9" ht="14.25" x14ac:dyDescent="0.2">
      <c r="A1378" s="64" t="s">
        <v>3252</v>
      </c>
      <c r="B1378" s="241" t="s">
        <v>810</v>
      </c>
      <c r="C1378" s="3" t="s">
        <v>2097</v>
      </c>
      <c r="D1378" s="2" t="s">
        <v>285</v>
      </c>
      <c r="E1378" s="114">
        <v>0.01</v>
      </c>
      <c r="F1378" s="23">
        <f>F90</f>
        <v>525897</v>
      </c>
      <c r="G1378" s="104">
        <v>1.05</v>
      </c>
      <c r="H1378" s="252">
        <f t="shared" si="97"/>
        <v>5521.9184999999998</v>
      </c>
    </row>
    <row r="1379" spans="1:9" s="33" customFormat="1" x14ac:dyDescent="0.2">
      <c r="A1379" s="81" t="s">
        <v>2555</v>
      </c>
      <c r="B1379" s="241" t="s">
        <v>644</v>
      </c>
      <c r="C1379" s="3" t="s">
        <v>645</v>
      </c>
      <c r="D1379" s="2" t="s">
        <v>585</v>
      </c>
      <c r="E1379" s="114">
        <v>1</v>
      </c>
      <c r="F1379" s="23">
        <f>VLOOKUP(B1379,'BASE DE DATOS'!$A$5:$E$997,5,FALSE)</f>
        <v>248302</v>
      </c>
      <c r="G1379" s="104">
        <f>1/20</f>
        <v>0.05</v>
      </c>
      <c r="H1379" s="252">
        <f t="shared" si="97"/>
        <v>12415.1</v>
      </c>
    </row>
    <row r="1380" spans="1:9" x14ac:dyDescent="0.2">
      <c r="A1380" s="944" t="s">
        <v>293</v>
      </c>
      <c r="B1380" s="241" t="s">
        <v>598</v>
      </c>
      <c r="C1380" s="218" t="s">
        <v>3362</v>
      </c>
      <c r="D1380" s="219" t="s">
        <v>586</v>
      </c>
      <c r="E1380" s="114">
        <v>0.05</v>
      </c>
      <c r="F1380" s="220">
        <f>H1379</f>
        <v>12415.1</v>
      </c>
      <c r="G1380" s="187">
        <v>0</v>
      </c>
      <c r="H1380" s="252">
        <f>IF(G1380&gt;0,(G1380*F1380*E1380),(F1380*E1380))</f>
        <v>620.75500000000011</v>
      </c>
    </row>
    <row r="1381" spans="1:9" ht="13.5" thickBot="1" x14ac:dyDescent="0.25">
      <c r="A1381" s="945"/>
      <c r="B1381" s="528" t="s">
        <v>269</v>
      </c>
      <c r="C1381" s="88" t="s">
        <v>284</v>
      </c>
      <c r="D1381" s="89" t="s">
        <v>586</v>
      </c>
      <c r="E1381" s="193">
        <v>0.1</v>
      </c>
      <c r="F1381" s="90">
        <f>H1379</f>
        <v>12415.1</v>
      </c>
      <c r="G1381" s="153">
        <v>0</v>
      </c>
      <c r="H1381" s="255">
        <f t="shared" si="97"/>
        <v>1241.5100000000002</v>
      </c>
    </row>
    <row r="1382" spans="1:9" s="42" customFormat="1" ht="15" x14ac:dyDescent="0.2">
      <c r="A1382" s="67" t="s">
        <v>889</v>
      </c>
      <c r="B1382" s="529"/>
      <c r="C1382" s="388" t="s">
        <v>518</v>
      </c>
      <c r="D1382" s="389" t="s">
        <v>405</v>
      </c>
      <c r="E1382" s="390"/>
      <c r="F1382" s="391">
        <f>ROUND(SUM(H1382:H1385),0)</f>
        <v>9178</v>
      </c>
      <c r="G1382" s="392"/>
      <c r="H1382" s="393"/>
      <c r="I1382" s="738"/>
    </row>
    <row r="1383" spans="1:9" x14ac:dyDescent="0.2">
      <c r="A1383" s="81" t="s">
        <v>2555</v>
      </c>
      <c r="B1383" s="241" t="s">
        <v>599</v>
      </c>
      <c r="C1383" s="3" t="s">
        <v>600</v>
      </c>
      <c r="D1383" s="2" t="s">
        <v>585</v>
      </c>
      <c r="E1383" s="114">
        <v>1</v>
      </c>
      <c r="F1383" s="23">
        <f>VLOOKUP(B1383,'BASE DE DATOS'!$A$5:$E$997,5,FALSE)</f>
        <v>159623</v>
      </c>
      <c r="G1383" s="104">
        <f>1/20</f>
        <v>0.05</v>
      </c>
      <c r="H1383" s="252">
        <f t="shared" si="97"/>
        <v>7981.1500000000005</v>
      </c>
    </row>
    <row r="1384" spans="1:9" x14ac:dyDescent="0.2">
      <c r="A1384" s="944" t="s">
        <v>293</v>
      </c>
      <c r="B1384" s="241" t="s">
        <v>598</v>
      </c>
      <c r="C1384" s="218" t="s">
        <v>3362</v>
      </c>
      <c r="D1384" s="219" t="s">
        <v>586</v>
      </c>
      <c r="E1384" s="114">
        <v>0.1</v>
      </c>
      <c r="F1384" s="220">
        <f>H1383</f>
        <v>7981.1500000000005</v>
      </c>
      <c r="G1384" s="187">
        <v>0</v>
      </c>
      <c r="H1384" s="252">
        <f>IF(G1384&gt;0,(G1384*F1384*E1384),(F1384*E1384))</f>
        <v>798.11500000000012</v>
      </c>
    </row>
    <row r="1385" spans="1:9" ht="13.5" thickBot="1" x14ac:dyDescent="0.25">
      <c r="A1385" s="945"/>
      <c r="B1385" s="528" t="s">
        <v>269</v>
      </c>
      <c r="C1385" s="88" t="s">
        <v>284</v>
      </c>
      <c r="D1385" s="89" t="s">
        <v>586</v>
      </c>
      <c r="E1385" s="193">
        <v>0.05</v>
      </c>
      <c r="F1385" s="90">
        <f>H1383</f>
        <v>7981.1500000000005</v>
      </c>
      <c r="G1385" s="153">
        <v>0</v>
      </c>
      <c r="H1385" s="255">
        <f t="shared" si="97"/>
        <v>399.05750000000006</v>
      </c>
    </row>
    <row r="1386" spans="1:9" s="42" customFormat="1" ht="17.25" x14ac:dyDescent="0.2">
      <c r="A1386" s="67" t="s">
        <v>890</v>
      </c>
      <c r="B1386" s="529"/>
      <c r="C1386" s="388" t="s">
        <v>527</v>
      </c>
      <c r="D1386" s="389" t="s">
        <v>3251</v>
      </c>
      <c r="E1386" s="390"/>
      <c r="F1386" s="391">
        <f>ROUND(SUM(H1386:H1392),0)</f>
        <v>45236</v>
      </c>
      <c r="G1386" s="392"/>
      <c r="H1386" s="393"/>
      <c r="I1386" s="738"/>
    </row>
    <row r="1387" spans="1:9" ht="14.25" x14ac:dyDescent="0.2">
      <c r="A1387" s="936" t="s">
        <v>382</v>
      </c>
      <c r="B1387" s="241" t="s">
        <v>1473</v>
      </c>
      <c r="C1387" s="3" t="s">
        <v>2729</v>
      </c>
      <c r="D1387" s="2" t="s">
        <v>288</v>
      </c>
      <c r="E1387" s="114">
        <v>1</v>
      </c>
      <c r="F1387" s="23">
        <f>VLOOKUP(B1387,'BASE DE DATOS'!$A$5:$E$997,5,FALSE)</f>
        <v>5100</v>
      </c>
      <c r="G1387" s="104">
        <v>1.05</v>
      </c>
      <c r="H1387" s="252">
        <f>IF(G1387&gt;0,(G1387*F1387*E1387),(F1387*E1387))</f>
        <v>5355</v>
      </c>
    </row>
    <row r="1388" spans="1:9" x14ac:dyDescent="0.2">
      <c r="A1388" s="936"/>
      <c r="B1388" s="241" t="s">
        <v>1558</v>
      </c>
      <c r="C1388" s="3" t="s">
        <v>2023</v>
      </c>
      <c r="D1388" s="2" t="s">
        <v>590</v>
      </c>
      <c r="E1388" s="114">
        <v>0.05</v>
      </c>
      <c r="F1388" s="23">
        <f>VLOOKUP(B1388,'BASE DE DATOS'!$A$5:$E$997,5,FALSE)</f>
        <v>5650</v>
      </c>
      <c r="G1388" s="104">
        <v>0</v>
      </c>
      <c r="H1388" s="252">
        <f t="shared" si="97"/>
        <v>282.5</v>
      </c>
    </row>
    <row r="1389" spans="1:9" ht="14.25" x14ac:dyDescent="0.2">
      <c r="A1389" s="64" t="s">
        <v>3252</v>
      </c>
      <c r="B1389" s="241" t="s">
        <v>810</v>
      </c>
      <c r="C1389" s="3" t="s">
        <v>2097</v>
      </c>
      <c r="D1389" s="2" t="s">
        <v>285</v>
      </c>
      <c r="E1389" s="114">
        <v>0.02</v>
      </c>
      <c r="F1389" s="23">
        <f>F90</f>
        <v>525897</v>
      </c>
      <c r="G1389" s="104">
        <v>1.05</v>
      </c>
      <c r="H1389" s="252">
        <f t="shared" si="97"/>
        <v>11043.837</v>
      </c>
    </row>
    <row r="1390" spans="1:9" x14ac:dyDescent="0.2">
      <c r="A1390" s="81" t="s">
        <v>2555</v>
      </c>
      <c r="B1390" s="241" t="s">
        <v>644</v>
      </c>
      <c r="C1390" s="3" t="s">
        <v>645</v>
      </c>
      <c r="D1390" s="2" t="s">
        <v>585</v>
      </c>
      <c r="E1390" s="114">
        <v>1</v>
      </c>
      <c r="F1390" s="23">
        <f>VLOOKUP(B1390,'BASE DE DATOS'!$A$5:$E$997,5,FALSE)</f>
        <v>248302</v>
      </c>
      <c r="G1390" s="104">
        <f>1/10</f>
        <v>0.1</v>
      </c>
      <c r="H1390" s="252">
        <f t="shared" si="97"/>
        <v>24830.2</v>
      </c>
    </row>
    <row r="1391" spans="1:9" x14ac:dyDescent="0.2">
      <c r="A1391" s="937" t="s">
        <v>293</v>
      </c>
      <c r="B1391" s="241" t="s">
        <v>598</v>
      </c>
      <c r="C1391" s="3" t="s">
        <v>3362</v>
      </c>
      <c r="D1391" s="2" t="s">
        <v>586</v>
      </c>
      <c r="E1391" s="114">
        <v>0.05</v>
      </c>
      <c r="F1391" s="23">
        <f>H1390</f>
        <v>24830.2</v>
      </c>
      <c r="G1391" s="104">
        <v>0</v>
      </c>
      <c r="H1391" s="252">
        <f t="shared" si="97"/>
        <v>1241.5100000000002</v>
      </c>
    </row>
    <row r="1392" spans="1:9" ht="13.5" thickBot="1" x14ac:dyDescent="0.25">
      <c r="A1392" s="938"/>
      <c r="B1392" s="528" t="s">
        <v>269</v>
      </c>
      <c r="C1392" s="108" t="s">
        <v>284</v>
      </c>
      <c r="D1392" s="109" t="s">
        <v>586</v>
      </c>
      <c r="E1392" s="200">
        <v>0.1</v>
      </c>
      <c r="F1392" s="110">
        <f>H1390</f>
        <v>24830.2</v>
      </c>
      <c r="G1392" s="156">
        <v>0</v>
      </c>
      <c r="H1392" s="479">
        <f t="shared" si="97"/>
        <v>2483.0200000000004</v>
      </c>
    </row>
    <row r="1393" spans="1:9" s="42" customFormat="1" ht="17.25" x14ac:dyDescent="0.2">
      <c r="A1393" s="67" t="s">
        <v>891</v>
      </c>
      <c r="B1393" s="529"/>
      <c r="C1393" s="388" t="s">
        <v>526</v>
      </c>
      <c r="D1393" s="389" t="s">
        <v>3251</v>
      </c>
      <c r="E1393" s="390"/>
      <c r="F1393" s="391">
        <f>ROUND(SUM(H1393:H1399),0)</f>
        <v>52375</v>
      </c>
      <c r="G1393" s="392"/>
      <c r="H1393" s="393"/>
      <c r="I1393" s="738"/>
    </row>
    <row r="1394" spans="1:9" ht="14.25" x14ac:dyDescent="0.2">
      <c r="A1394" s="936" t="s">
        <v>382</v>
      </c>
      <c r="B1394" s="241" t="s">
        <v>1473</v>
      </c>
      <c r="C1394" s="3" t="s">
        <v>2729</v>
      </c>
      <c r="D1394" s="2" t="s">
        <v>288</v>
      </c>
      <c r="E1394" s="114">
        <v>1</v>
      </c>
      <c r="F1394" s="23">
        <f>VLOOKUP(B1394,'BASE DE DATOS'!$A$5:$E$997,5,FALSE)</f>
        <v>5100</v>
      </c>
      <c r="G1394" s="104">
        <v>1.05</v>
      </c>
      <c r="H1394" s="252">
        <f>IF(G1394&gt;0,(G1394*F1394*E1394),(F1394*E1394))</f>
        <v>5355</v>
      </c>
    </row>
    <row r="1395" spans="1:9" x14ac:dyDescent="0.2">
      <c r="A1395" s="936"/>
      <c r="B1395" s="241" t="s">
        <v>1558</v>
      </c>
      <c r="C1395" s="3" t="s">
        <v>2023</v>
      </c>
      <c r="D1395" s="2" t="s">
        <v>590</v>
      </c>
      <c r="E1395" s="114">
        <v>0.05</v>
      </c>
      <c r="F1395" s="23">
        <f>VLOOKUP(B1395,'BASE DE DATOS'!$A$5:$E$997,5,FALSE)</f>
        <v>5650</v>
      </c>
      <c r="G1395" s="104">
        <v>0</v>
      </c>
      <c r="H1395" s="252">
        <f t="shared" si="97"/>
        <v>282.5</v>
      </c>
    </row>
    <row r="1396" spans="1:9" ht="14.25" x14ac:dyDescent="0.2">
      <c r="A1396" s="64" t="s">
        <v>3252</v>
      </c>
      <c r="B1396" s="241" t="s">
        <v>810</v>
      </c>
      <c r="C1396" s="3" t="s">
        <v>2097</v>
      </c>
      <c r="D1396" s="2" t="s">
        <v>285</v>
      </c>
      <c r="E1396" s="114">
        <v>0.02</v>
      </c>
      <c r="F1396" s="23">
        <f>F90</f>
        <v>525897</v>
      </c>
      <c r="G1396" s="104">
        <v>1.05</v>
      </c>
      <c r="H1396" s="252">
        <f t="shared" si="97"/>
        <v>11043.837</v>
      </c>
    </row>
    <row r="1397" spans="1:9" x14ac:dyDescent="0.2">
      <c r="A1397" s="81" t="s">
        <v>2555</v>
      </c>
      <c r="B1397" s="241" t="s">
        <v>644</v>
      </c>
      <c r="C1397" s="3" t="s">
        <v>645</v>
      </c>
      <c r="D1397" s="2" t="s">
        <v>585</v>
      </c>
      <c r="E1397" s="114">
        <v>1</v>
      </c>
      <c r="F1397" s="23">
        <f>VLOOKUP(B1397,'BASE DE DATOS'!$A$5:$E$997,5,FALSE)</f>
        <v>248302</v>
      </c>
      <c r="G1397" s="104">
        <f>1/8</f>
        <v>0.125</v>
      </c>
      <c r="H1397" s="252">
        <f t="shared" si="97"/>
        <v>31037.75</v>
      </c>
    </row>
    <row r="1398" spans="1:9" s="33" customFormat="1" x14ac:dyDescent="0.2">
      <c r="A1398" s="937" t="s">
        <v>293</v>
      </c>
      <c r="B1398" s="241" t="s">
        <v>598</v>
      </c>
      <c r="C1398" s="3" t="s">
        <v>3362</v>
      </c>
      <c r="D1398" s="2" t="s">
        <v>586</v>
      </c>
      <c r="E1398" s="114">
        <v>0.05</v>
      </c>
      <c r="F1398" s="23">
        <f>H1397</f>
        <v>31037.75</v>
      </c>
      <c r="G1398" s="104">
        <v>0</v>
      </c>
      <c r="H1398" s="252">
        <f t="shared" si="97"/>
        <v>1551.8875</v>
      </c>
    </row>
    <row r="1399" spans="1:9" s="33" customFormat="1" ht="13.5" thickBot="1" x14ac:dyDescent="0.25">
      <c r="A1399" s="938"/>
      <c r="B1399" s="528" t="s">
        <v>269</v>
      </c>
      <c r="C1399" s="108" t="s">
        <v>284</v>
      </c>
      <c r="D1399" s="109" t="s">
        <v>586</v>
      </c>
      <c r="E1399" s="200">
        <v>0.1</v>
      </c>
      <c r="F1399" s="110">
        <f>H1397</f>
        <v>31037.75</v>
      </c>
      <c r="G1399" s="156">
        <v>0</v>
      </c>
      <c r="H1399" s="479">
        <f t="shared" si="97"/>
        <v>3103.7750000000001</v>
      </c>
    </row>
    <row r="1400" spans="1:9" s="42" customFormat="1" ht="17.25" x14ac:dyDescent="0.2">
      <c r="A1400" s="67" t="s">
        <v>892</v>
      </c>
      <c r="B1400" s="529"/>
      <c r="C1400" s="388" t="s">
        <v>528</v>
      </c>
      <c r="D1400" s="389" t="s">
        <v>3251</v>
      </c>
      <c r="E1400" s="390"/>
      <c r="F1400" s="391">
        <f>ROUND(SUM(H1400:H1407),0)</f>
        <v>55822</v>
      </c>
      <c r="G1400" s="392"/>
      <c r="H1400" s="393"/>
      <c r="I1400" s="738"/>
    </row>
    <row r="1401" spans="1:9" x14ac:dyDescent="0.2">
      <c r="A1401" s="936" t="s">
        <v>382</v>
      </c>
      <c r="B1401" s="241" t="s">
        <v>1281</v>
      </c>
      <c r="C1401" s="3" t="s">
        <v>633</v>
      </c>
      <c r="D1401" s="2" t="s">
        <v>406</v>
      </c>
      <c r="E1401" s="114">
        <v>0.3</v>
      </c>
      <c r="F1401" s="23">
        <f>VLOOKUP(B1401,'BASE DE DATOS'!$A$5:$E$997,5,FALSE)</f>
        <v>11400</v>
      </c>
      <c r="G1401" s="104">
        <v>0</v>
      </c>
      <c r="H1401" s="252">
        <f>IF(G1401&gt;0,(G1401*F1401*E1401),(F1401*E1401))</f>
        <v>3420</v>
      </c>
    </row>
    <row r="1402" spans="1:9" ht="14.25" x14ac:dyDescent="0.2">
      <c r="A1402" s="936"/>
      <c r="B1402" s="241" t="s">
        <v>1473</v>
      </c>
      <c r="C1402" s="3" t="s">
        <v>2729</v>
      </c>
      <c r="D1402" s="2" t="s">
        <v>288</v>
      </c>
      <c r="E1402" s="114">
        <v>1</v>
      </c>
      <c r="F1402" s="23">
        <f>VLOOKUP(B1402,'BASE DE DATOS'!$A$5:$E$997,5,FALSE)</f>
        <v>5100</v>
      </c>
      <c r="G1402" s="104">
        <v>1.05</v>
      </c>
      <c r="H1402" s="252">
        <f>IF(G1402&gt;0,(G1402*F1402*E1402),(F1402*E1402))</f>
        <v>5355</v>
      </c>
    </row>
    <row r="1403" spans="1:9" x14ac:dyDescent="0.2">
      <c r="A1403" s="936"/>
      <c r="B1403" s="241" t="s">
        <v>1558</v>
      </c>
      <c r="C1403" s="3" t="s">
        <v>2023</v>
      </c>
      <c r="D1403" s="2" t="s">
        <v>590</v>
      </c>
      <c r="E1403" s="114">
        <v>0.05</v>
      </c>
      <c r="F1403" s="23">
        <f>VLOOKUP(B1403,'BASE DE DATOS'!$A$5:$E$997,5,FALSE)</f>
        <v>5650</v>
      </c>
      <c r="G1403" s="104">
        <v>0</v>
      </c>
      <c r="H1403" s="252">
        <f t="shared" si="97"/>
        <v>282.5</v>
      </c>
    </row>
    <row r="1404" spans="1:9" ht="14.25" x14ac:dyDescent="0.2">
      <c r="A1404" s="64" t="s">
        <v>3252</v>
      </c>
      <c r="B1404" s="241" t="s">
        <v>810</v>
      </c>
      <c r="C1404" s="3" t="s">
        <v>2097</v>
      </c>
      <c r="D1404" s="2" t="s">
        <v>285</v>
      </c>
      <c r="E1404" s="114">
        <v>0.02</v>
      </c>
      <c r="F1404" s="23">
        <f>F90</f>
        <v>525897</v>
      </c>
      <c r="G1404" s="104">
        <f>1/0.95</f>
        <v>1.0526315789473684</v>
      </c>
      <c r="H1404" s="252">
        <f t="shared" si="97"/>
        <v>11071.515789473684</v>
      </c>
    </row>
    <row r="1405" spans="1:9" x14ac:dyDescent="0.2">
      <c r="A1405" s="81" t="s">
        <v>2555</v>
      </c>
      <c r="B1405" s="241" t="s">
        <v>644</v>
      </c>
      <c r="C1405" s="3" t="s">
        <v>645</v>
      </c>
      <c r="D1405" s="2" t="s">
        <v>585</v>
      </c>
      <c r="E1405" s="114">
        <v>1</v>
      </c>
      <c r="F1405" s="23">
        <f>VLOOKUP(B1405,'BASE DE DATOS'!$A$5:$E$997,5,FALSE)</f>
        <v>248302</v>
      </c>
      <c r="G1405" s="104">
        <f>1/8</f>
        <v>0.125</v>
      </c>
      <c r="H1405" s="252">
        <f t="shared" si="97"/>
        <v>31037.75</v>
      </c>
    </row>
    <row r="1406" spans="1:9" x14ac:dyDescent="0.2">
      <c r="A1406" s="937" t="s">
        <v>293</v>
      </c>
      <c r="B1406" s="241" t="s">
        <v>598</v>
      </c>
      <c r="C1406" s="3" t="s">
        <v>3362</v>
      </c>
      <c r="D1406" s="2" t="s">
        <v>586</v>
      </c>
      <c r="E1406" s="114">
        <v>0.05</v>
      </c>
      <c r="F1406" s="23">
        <f>H1405</f>
        <v>31037.75</v>
      </c>
      <c r="G1406" s="104">
        <v>0</v>
      </c>
      <c r="H1406" s="252">
        <f t="shared" si="97"/>
        <v>1551.8875</v>
      </c>
    </row>
    <row r="1407" spans="1:9" ht="13.5" thickBot="1" x14ac:dyDescent="0.25">
      <c r="A1407" s="938"/>
      <c r="B1407" s="528" t="s">
        <v>269</v>
      </c>
      <c r="C1407" s="108" t="s">
        <v>284</v>
      </c>
      <c r="D1407" s="109" t="s">
        <v>586</v>
      </c>
      <c r="E1407" s="200">
        <v>0.1</v>
      </c>
      <c r="F1407" s="110">
        <f>H1405</f>
        <v>31037.75</v>
      </c>
      <c r="G1407" s="156">
        <v>0</v>
      </c>
      <c r="H1407" s="479">
        <f t="shared" si="97"/>
        <v>3103.7750000000001</v>
      </c>
    </row>
    <row r="1408" spans="1:9" s="407" customFormat="1" ht="15" x14ac:dyDescent="0.2">
      <c r="A1408" s="67" t="s">
        <v>893</v>
      </c>
      <c r="B1408" s="529"/>
      <c r="C1408" s="388" t="s">
        <v>3578</v>
      </c>
      <c r="D1408" s="389" t="s">
        <v>405</v>
      </c>
      <c r="E1408" s="390"/>
      <c r="F1408" s="391">
        <f>ROUND(SUM(H1408:H1410),0)</f>
        <v>930</v>
      </c>
      <c r="G1408" s="392"/>
      <c r="H1408" s="393"/>
      <c r="I1408" s="33"/>
    </row>
    <row r="1409" spans="1:9" x14ac:dyDescent="0.2">
      <c r="A1409" s="82" t="s">
        <v>382</v>
      </c>
      <c r="B1409" s="241" t="s">
        <v>1345</v>
      </c>
      <c r="C1409" s="3" t="s">
        <v>2855</v>
      </c>
      <c r="D1409" s="2" t="s">
        <v>405</v>
      </c>
      <c r="E1409" s="114">
        <v>1</v>
      </c>
      <c r="F1409" s="23">
        <f>VLOOKUP(B1409,'BASE DE DATOS'!$A$5:$E$997,5,FALSE)</f>
        <v>132</v>
      </c>
      <c r="G1409" s="104">
        <v>0</v>
      </c>
      <c r="H1409" s="252">
        <f t="shared" si="97"/>
        <v>132</v>
      </c>
    </row>
    <row r="1410" spans="1:9" ht="13.5" thickBot="1" x14ac:dyDescent="0.25">
      <c r="A1410" s="81" t="s">
        <v>2555</v>
      </c>
      <c r="B1410" s="241" t="s">
        <v>599</v>
      </c>
      <c r="C1410" s="3" t="s">
        <v>600</v>
      </c>
      <c r="D1410" s="2" t="s">
        <v>585</v>
      </c>
      <c r="E1410" s="114">
        <v>1</v>
      </c>
      <c r="F1410" s="23">
        <f>VLOOKUP(B1410,'BASE DE DATOS'!$A$5:$E$997,5,FALSE)</f>
        <v>159623</v>
      </c>
      <c r="G1410" s="104">
        <f>1/200</f>
        <v>5.0000000000000001E-3</v>
      </c>
      <c r="H1410" s="252">
        <f t="shared" si="97"/>
        <v>798.11500000000001</v>
      </c>
    </row>
    <row r="1411" spans="1:9" s="42" customFormat="1" ht="29.25" customHeight="1" x14ac:dyDescent="0.2">
      <c r="A1411" s="48" t="s">
        <v>894</v>
      </c>
      <c r="B1411" s="527"/>
      <c r="C1411" s="418" t="s">
        <v>536</v>
      </c>
      <c r="D1411" s="419" t="s">
        <v>405</v>
      </c>
      <c r="E1411" s="456"/>
      <c r="F1411" s="421">
        <f>ROUND(SUM(H1411:H1416),0)</f>
        <v>89074</v>
      </c>
      <c r="G1411" s="422"/>
      <c r="H1411" s="457"/>
      <c r="I1411" s="738"/>
    </row>
    <row r="1412" spans="1:9" x14ac:dyDescent="0.2">
      <c r="A1412" s="936" t="s">
        <v>382</v>
      </c>
      <c r="B1412" s="241" t="s">
        <v>1279</v>
      </c>
      <c r="C1412" s="3" t="s">
        <v>349</v>
      </c>
      <c r="D1412" s="2" t="s">
        <v>617</v>
      </c>
      <c r="E1412" s="114">
        <v>10</v>
      </c>
      <c r="F1412" s="23">
        <f>VLOOKUP(B1412,'BASE DE DATOS'!$A$5:$E$997,5,FALSE)</f>
        <v>19</v>
      </c>
      <c r="G1412" s="104">
        <v>0</v>
      </c>
      <c r="H1412" s="252">
        <f>IF(G1412&gt;0,(G1412*F1412*E1412),(F1412*E1412))</f>
        <v>190</v>
      </c>
    </row>
    <row r="1413" spans="1:9" x14ac:dyDescent="0.2">
      <c r="A1413" s="936"/>
      <c r="B1413" s="241" t="s">
        <v>1443</v>
      </c>
      <c r="C1413" s="3" t="s">
        <v>665</v>
      </c>
      <c r="D1413" s="2" t="s">
        <v>411</v>
      </c>
      <c r="E1413" s="114">
        <v>10</v>
      </c>
      <c r="F1413" s="23">
        <f>VLOOKUP(B1413,'BASE DE DATOS'!$A$5:$E$997,5,FALSE)</f>
        <v>800</v>
      </c>
      <c r="G1413" s="104">
        <v>1.05</v>
      </c>
      <c r="H1413" s="252">
        <f t="shared" si="97"/>
        <v>8400</v>
      </c>
    </row>
    <row r="1414" spans="1:9" ht="14.25" x14ac:dyDescent="0.2">
      <c r="A1414" s="64" t="s">
        <v>3252</v>
      </c>
      <c r="B1414" s="244" t="s">
        <v>820</v>
      </c>
      <c r="C1414" s="20" t="s">
        <v>2100</v>
      </c>
      <c r="D1414" s="19" t="s">
        <v>285</v>
      </c>
      <c r="E1414" s="194">
        <v>0.06</v>
      </c>
      <c r="F1414" s="23">
        <f>F108</f>
        <v>843974</v>
      </c>
      <c r="G1414" s="58">
        <v>1.05</v>
      </c>
      <c r="H1414" s="252">
        <f t="shared" si="97"/>
        <v>53170.362000000001</v>
      </c>
    </row>
    <row r="1415" spans="1:9" s="33" customFormat="1" x14ac:dyDescent="0.2">
      <c r="A1415" s="81" t="s">
        <v>2555</v>
      </c>
      <c r="B1415" s="244" t="s">
        <v>644</v>
      </c>
      <c r="C1415" s="20" t="s">
        <v>645</v>
      </c>
      <c r="D1415" s="19" t="s">
        <v>585</v>
      </c>
      <c r="E1415" s="194">
        <v>1</v>
      </c>
      <c r="F1415" s="23">
        <f>VLOOKUP(B1415,'BASE DE DATOS'!$A$5:$E$997,5,FALSE)</f>
        <v>248302</v>
      </c>
      <c r="G1415" s="58">
        <f>1/10</f>
        <v>0.1</v>
      </c>
      <c r="H1415" s="252">
        <f t="shared" si="97"/>
        <v>24830.2</v>
      </c>
    </row>
    <row r="1416" spans="1:9" ht="13.5" thickBot="1" x14ac:dyDescent="0.25">
      <c r="A1416" s="94" t="s">
        <v>293</v>
      </c>
      <c r="B1416" s="528" t="s">
        <v>269</v>
      </c>
      <c r="C1416" s="108" t="s">
        <v>284</v>
      </c>
      <c r="D1416" s="109" t="s">
        <v>586</v>
      </c>
      <c r="E1416" s="200">
        <v>0.1</v>
      </c>
      <c r="F1416" s="110">
        <f>H1415</f>
        <v>24830.2</v>
      </c>
      <c r="G1416" s="156">
        <v>0</v>
      </c>
      <c r="H1416" s="479">
        <f t="shared" si="97"/>
        <v>2483.0200000000004</v>
      </c>
    </row>
    <row r="1417" spans="1:9" s="42" customFormat="1" ht="17.25" x14ac:dyDescent="0.2">
      <c r="A1417" s="67" t="s">
        <v>3289</v>
      </c>
      <c r="B1417" s="529"/>
      <c r="C1417" s="388" t="s">
        <v>532</v>
      </c>
      <c r="D1417" s="389" t="s">
        <v>3251</v>
      </c>
      <c r="E1417" s="395"/>
      <c r="F1417" s="391">
        <f>ROUND(SUM(H1417:H1421),0)</f>
        <v>35602</v>
      </c>
      <c r="G1417" s="392"/>
      <c r="H1417" s="393"/>
      <c r="I1417" s="738"/>
    </row>
    <row r="1418" spans="1:9" ht="14.25" x14ac:dyDescent="0.2">
      <c r="A1418" s="64" t="s">
        <v>3252</v>
      </c>
      <c r="B1418" s="241" t="s">
        <v>810</v>
      </c>
      <c r="C1418" s="3" t="s">
        <v>2097</v>
      </c>
      <c r="D1418" s="2" t="s">
        <v>285</v>
      </c>
      <c r="E1418" s="114">
        <v>0.03</v>
      </c>
      <c r="F1418" s="23">
        <f>F90</f>
        <v>525897</v>
      </c>
      <c r="G1418" s="104">
        <v>1.05</v>
      </c>
      <c r="H1418" s="252">
        <f t="shared" si="97"/>
        <v>16565.755499999999</v>
      </c>
    </row>
    <row r="1419" spans="1:9" x14ac:dyDescent="0.2">
      <c r="A1419" s="81" t="s">
        <v>2555</v>
      </c>
      <c r="B1419" s="241" t="s">
        <v>644</v>
      </c>
      <c r="C1419" s="3" t="s">
        <v>645</v>
      </c>
      <c r="D1419" s="2" t="s">
        <v>585</v>
      </c>
      <c r="E1419" s="114">
        <v>1</v>
      </c>
      <c r="F1419" s="23">
        <f>VLOOKUP(B1419,'BASE DE DATOS'!$A$5:$E$997,5,FALSE)</f>
        <v>248302</v>
      </c>
      <c r="G1419" s="104">
        <f>1/15</f>
        <v>6.6666666666666666E-2</v>
      </c>
      <c r="H1419" s="252">
        <f t="shared" si="97"/>
        <v>16553.466666666667</v>
      </c>
    </row>
    <row r="1420" spans="1:9" x14ac:dyDescent="0.2">
      <c r="A1420" s="944" t="s">
        <v>293</v>
      </c>
      <c r="B1420" s="241" t="s">
        <v>598</v>
      </c>
      <c r="C1420" s="3" t="s">
        <v>3362</v>
      </c>
      <c r="D1420" s="2" t="s">
        <v>586</v>
      </c>
      <c r="E1420" s="114">
        <v>0.05</v>
      </c>
      <c r="F1420" s="23">
        <f>H1419</f>
        <v>16553.466666666667</v>
      </c>
      <c r="G1420" s="104">
        <v>0</v>
      </c>
      <c r="H1420" s="252">
        <f t="shared" si="97"/>
        <v>827.6733333333334</v>
      </c>
    </row>
    <row r="1421" spans="1:9" ht="13.5" thickBot="1" x14ac:dyDescent="0.25">
      <c r="A1421" s="945"/>
      <c r="B1421" s="528" t="s">
        <v>269</v>
      </c>
      <c r="C1421" s="108" t="s">
        <v>284</v>
      </c>
      <c r="D1421" s="109" t="s">
        <v>586</v>
      </c>
      <c r="E1421" s="200">
        <v>0.1</v>
      </c>
      <c r="F1421" s="110">
        <f>H1419</f>
        <v>16553.466666666667</v>
      </c>
      <c r="G1421" s="156">
        <v>0</v>
      </c>
      <c r="H1421" s="479">
        <f t="shared" si="97"/>
        <v>1655.3466666666668</v>
      </c>
    </row>
    <row r="1422" spans="1:9" s="42" customFormat="1" ht="15" x14ac:dyDescent="0.2">
      <c r="A1422" s="67" t="s">
        <v>3290</v>
      </c>
      <c r="B1422" s="529"/>
      <c r="C1422" s="388" t="s">
        <v>467</v>
      </c>
      <c r="D1422" s="389" t="s">
        <v>405</v>
      </c>
      <c r="E1422" s="390"/>
      <c r="F1422" s="391">
        <f>ROUND(SUM(H1422:H1426),0)</f>
        <v>11727</v>
      </c>
      <c r="G1422" s="392"/>
      <c r="H1422" s="393"/>
      <c r="I1422" s="738"/>
    </row>
    <row r="1423" spans="1:9" ht="14.25" x14ac:dyDescent="0.2">
      <c r="A1423" s="64" t="s">
        <v>3252</v>
      </c>
      <c r="B1423" s="241" t="s">
        <v>810</v>
      </c>
      <c r="C1423" s="3" t="s">
        <v>2097</v>
      </c>
      <c r="D1423" s="2" t="s">
        <v>285</v>
      </c>
      <c r="E1423" s="114">
        <v>4.0000000000000001E-3</v>
      </c>
      <c r="F1423" s="23">
        <f>F90</f>
        <v>525897</v>
      </c>
      <c r="G1423" s="104">
        <v>1.05</v>
      </c>
      <c r="H1423" s="252">
        <f t="shared" si="97"/>
        <v>2208.7674000000002</v>
      </c>
    </row>
    <row r="1424" spans="1:9" s="33" customFormat="1" x14ac:dyDescent="0.2">
      <c r="A1424" s="81" t="s">
        <v>2555</v>
      </c>
      <c r="B1424" s="241" t="s">
        <v>644</v>
      </c>
      <c r="C1424" s="3" t="s">
        <v>645</v>
      </c>
      <c r="D1424" s="2" t="s">
        <v>585</v>
      </c>
      <c r="E1424" s="114">
        <v>1</v>
      </c>
      <c r="F1424" s="23">
        <f>VLOOKUP(B1424,'BASE DE DATOS'!$A$5:$E$997,5,FALSE)</f>
        <v>248302</v>
      </c>
      <c r="G1424" s="104">
        <f>1/30</f>
        <v>3.3333333333333333E-2</v>
      </c>
      <c r="H1424" s="252">
        <f t="shared" ref="H1424:H1442" si="98">IF(G1424&gt;0,(G1424*F1424*E1424),(F1424*E1424))</f>
        <v>8276.7333333333336</v>
      </c>
    </row>
    <row r="1425" spans="1:9" x14ac:dyDescent="0.2">
      <c r="A1425" s="944" t="s">
        <v>293</v>
      </c>
      <c r="B1425" s="241" t="s">
        <v>598</v>
      </c>
      <c r="C1425" s="3" t="s">
        <v>3362</v>
      </c>
      <c r="D1425" s="2" t="s">
        <v>586</v>
      </c>
      <c r="E1425" s="114">
        <v>0.05</v>
      </c>
      <c r="F1425" s="23">
        <f>H1424</f>
        <v>8276.7333333333336</v>
      </c>
      <c r="G1425" s="104">
        <v>0</v>
      </c>
      <c r="H1425" s="252">
        <f t="shared" si="98"/>
        <v>413.8366666666667</v>
      </c>
    </row>
    <row r="1426" spans="1:9" ht="13.5" thickBot="1" x14ac:dyDescent="0.25">
      <c r="A1426" s="945"/>
      <c r="B1426" s="528" t="s">
        <v>269</v>
      </c>
      <c r="C1426" s="108" t="s">
        <v>284</v>
      </c>
      <c r="D1426" s="109" t="s">
        <v>586</v>
      </c>
      <c r="E1426" s="200">
        <v>0.1</v>
      </c>
      <c r="F1426" s="110">
        <f>H1424</f>
        <v>8276.7333333333336</v>
      </c>
      <c r="G1426" s="156">
        <v>0</v>
      </c>
      <c r="H1426" s="479">
        <f t="shared" si="98"/>
        <v>827.6733333333334</v>
      </c>
    </row>
    <row r="1427" spans="1:9" s="42" customFormat="1" ht="17.25" x14ac:dyDescent="0.2">
      <c r="A1427" s="67" t="s">
        <v>3291</v>
      </c>
      <c r="B1427" s="529"/>
      <c r="C1427" s="388" t="s">
        <v>529</v>
      </c>
      <c r="D1427" s="389" t="s">
        <v>3251</v>
      </c>
      <c r="E1427" s="395"/>
      <c r="F1427" s="391">
        <f>ROUND(SUM(H1427:H1431),0)</f>
        <v>45120</v>
      </c>
      <c r="G1427" s="392"/>
      <c r="H1427" s="393"/>
      <c r="I1427" s="738"/>
    </row>
    <row r="1428" spans="1:9" ht="14.25" x14ac:dyDescent="0.2">
      <c r="A1428" s="64" t="s">
        <v>3252</v>
      </c>
      <c r="B1428" s="241" t="s">
        <v>810</v>
      </c>
      <c r="C1428" s="3" t="s">
        <v>2097</v>
      </c>
      <c r="D1428" s="2" t="s">
        <v>285</v>
      </c>
      <c r="E1428" s="114">
        <v>0.03</v>
      </c>
      <c r="F1428" s="23">
        <f>F90</f>
        <v>525897</v>
      </c>
      <c r="G1428" s="104">
        <v>1.05</v>
      </c>
      <c r="H1428" s="252">
        <f t="shared" si="98"/>
        <v>16565.755499999999</v>
      </c>
    </row>
    <row r="1429" spans="1:9" x14ac:dyDescent="0.2">
      <c r="A1429" s="81" t="s">
        <v>2555</v>
      </c>
      <c r="B1429" s="241" t="s">
        <v>644</v>
      </c>
      <c r="C1429" s="3" t="s">
        <v>645</v>
      </c>
      <c r="D1429" s="2" t="s">
        <v>585</v>
      </c>
      <c r="E1429" s="114">
        <v>1</v>
      </c>
      <c r="F1429" s="23">
        <f>VLOOKUP(B1429,'BASE DE DATOS'!$A$5:$E$997,5,FALSE)</f>
        <v>248302</v>
      </c>
      <c r="G1429" s="104">
        <f>1/10</f>
        <v>0.1</v>
      </c>
      <c r="H1429" s="252">
        <f t="shared" si="98"/>
        <v>24830.2</v>
      </c>
    </row>
    <row r="1430" spans="1:9" x14ac:dyDescent="0.2">
      <c r="A1430" s="944" t="s">
        <v>293</v>
      </c>
      <c r="B1430" s="241" t="s">
        <v>598</v>
      </c>
      <c r="C1430" s="218" t="s">
        <v>3362</v>
      </c>
      <c r="D1430" s="219" t="s">
        <v>586</v>
      </c>
      <c r="E1430" s="114">
        <v>0.05</v>
      </c>
      <c r="F1430" s="220">
        <f>H1429</f>
        <v>24830.2</v>
      </c>
      <c r="G1430" s="187">
        <v>0</v>
      </c>
      <c r="H1430" s="252">
        <f>IF(G1430&gt;0,(G1430*F1430*E1430),(F1430*E1430))</f>
        <v>1241.5100000000002</v>
      </c>
    </row>
    <row r="1431" spans="1:9" ht="13.5" thickBot="1" x14ac:dyDescent="0.25">
      <c r="A1431" s="945"/>
      <c r="B1431" s="528" t="s">
        <v>269</v>
      </c>
      <c r="C1431" s="88" t="s">
        <v>284</v>
      </c>
      <c r="D1431" s="89" t="s">
        <v>586</v>
      </c>
      <c r="E1431" s="193">
        <v>0.1</v>
      </c>
      <c r="F1431" s="90">
        <f>H1429</f>
        <v>24830.2</v>
      </c>
      <c r="G1431" s="153">
        <v>0</v>
      </c>
      <c r="H1431" s="255">
        <f t="shared" si="98"/>
        <v>2483.0200000000004</v>
      </c>
    </row>
    <row r="1432" spans="1:9" s="42" customFormat="1" ht="30" x14ac:dyDescent="0.2">
      <c r="A1432" s="67" t="s">
        <v>3292</v>
      </c>
      <c r="B1432" s="529"/>
      <c r="C1432" s="388" t="s">
        <v>531</v>
      </c>
      <c r="D1432" s="389" t="s">
        <v>3251</v>
      </c>
      <c r="E1432" s="395"/>
      <c r="F1432" s="391">
        <f>ROUND(SUM(H1432:H1436),0)</f>
        <v>41191</v>
      </c>
      <c r="G1432" s="392"/>
      <c r="H1432" s="393"/>
      <c r="I1432" s="738"/>
    </row>
    <row r="1433" spans="1:9" ht="14.25" x14ac:dyDescent="0.2">
      <c r="A1433" s="64" t="s">
        <v>3252</v>
      </c>
      <c r="B1433" s="241" t="s">
        <v>820</v>
      </c>
      <c r="C1433" s="3" t="s">
        <v>2100</v>
      </c>
      <c r="D1433" s="2" t="s">
        <v>285</v>
      </c>
      <c r="E1433" s="114">
        <v>2.5000000000000001E-2</v>
      </c>
      <c r="F1433" s="23">
        <f>F108</f>
        <v>843974</v>
      </c>
      <c r="G1433" s="104">
        <v>1.05</v>
      </c>
      <c r="H1433" s="252">
        <f t="shared" si="98"/>
        <v>22154.317500000005</v>
      </c>
    </row>
    <row r="1434" spans="1:9" x14ac:dyDescent="0.2">
      <c r="A1434" s="81" t="s">
        <v>2555</v>
      </c>
      <c r="B1434" s="241" t="s">
        <v>644</v>
      </c>
      <c r="C1434" s="3" t="s">
        <v>645</v>
      </c>
      <c r="D1434" s="2" t="s">
        <v>585</v>
      </c>
      <c r="E1434" s="114">
        <v>1</v>
      </c>
      <c r="F1434" s="23">
        <f>VLOOKUP(B1434,'BASE DE DATOS'!$A$5:$E$997,5,FALSE)</f>
        <v>248302</v>
      </c>
      <c r="G1434" s="104">
        <f>1/15</f>
        <v>6.6666666666666666E-2</v>
      </c>
      <c r="H1434" s="252">
        <f t="shared" si="98"/>
        <v>16553.466666666667</v>
      </c>
    </row>
    <row r="1435" spans="1:9" s="33" customFormat="1" x14ac:dyDescent="0.2">
      <c r="A1435" s="944" t="s">
        <v>293</v>
      </c>
      <c r="B1435" s="241" t="s">
        <v>598</v>
      </c>
      <c r="C1435" s="3" t="s">
        <v>3362</v>
      </c>
      <c r="D1435" s="2" t="s">
        <v>586</v>
      </c>
      <c r="E1435" s="114">
        <v>0.05</v>
      </c>
      <c r="F1435" s="23">
        <f>H1434</f>
        <v>16553.466666666667</v>
      </c>
      <c r="G1435" s="104">
        <v>0</v>
      </c>
      <c r="H1435" s="252">
        <f t="shared" si="98"/>
        <v>827.6733333333334</v>
      </c>
    </row>
    <row r="1436" spans="1:9" ht="13.5" thickBot="1" x14ac:dyDescent="0.25">
      <c r="A1436" s="945"/>
      <c r="B1436" s="528" t="s">
        <v>269</v>
      </c>
      <c r="C1436" s="108" t="s">
        <v>284</v>
      </c>
      <c r="D1436" s="109" t="s">
        <v>586</v>
      </c>
      <c r="E1436" s="200">
        <v>0.1</v>
      </c>
      <c r="F1436" s="110">
        <f>H1434</f>
        <v>16553.466666666667</v>
      </c>
      <c r="G1436" s="156">
        <v>0</v>
      </c>
      <c r="H1436" s="479">
        <f t="shared" si="98"/>
        <v>1655.3466666666668</v>
      </c>
    </row>
    <row r="1437" spans="1:9" s="42" customFormat="1" ht="15" x14ac:dyDescent="0.2">
      <c r="A1437" s="67" t="s">
        <v>3502</v>
      </c>
      <c r="B1437" s="529"/>
      <c r="C1437" s="388" t="s">
        <v>530</v>
      </c>
      <c r="D1437" s="389" t="s">
        <v>405</v>
      </c>
      <c r="E1437" s="395"/>
      <c r="F1437" s="391">
        <f>ROUND(SUM(H1437:H1442),0)</f>
        <v>39464</v>
      </c>
      <c r="G1437" s="392"/>
      <c r="H1437" s="393"/>
      <c r="I1437" s="738"/>
    </row>
    <row r="1438" spans="1:9" ht="14.25" x14ac:dyDescent="0.2">
      <c r="A1438" s="82" t="s">
        <v>382</v>
      </c>
      <c r="B1438" s="241" t="s">
        <v>1473</v>
      </c>
      <c r="C1438" s="3" t="s">
        <v>2729</v>
      </c>
      <c r="D1438" s="2" t="s">
        <v>288</v>
      </c>
      <c r="E1438" s="114">
        <v>0.5</v>
      </c>
      <c r="F1438" s="23">
        <f>VLOOKUP(B1438,'BASE DE DATOS'!$A$5:$E$997,5,FALSE)</f>
        <v>5100</v>
      </c>
      <c r="G1438" s="104">
        <v>1.03</v>
      </c>
      <c r="H1438" s="252">
        <f t="shared" si="98"/>
        <v>2626.5</v>
      </c>
    </row>
    <row r="1439" spans="1:9" ht="14.25" x14ac:dyDescent="0.2">
      <c r="A1439" s="64" t="s">
        <v>3252</v>
      </c>
      <c r="B1439" s="241" t="s">
        <v>810</v>
      </c>
      <c r="C1439" s="3" t="s">
        <v>2097</v>
      </c>
      <c r="D1439" s="2" t="s">
        <v>285</v>
      </c>
      <c r="E1439" s="114">
        <v>1.4999999999999999E-2</v>
      </c>
      <c r="F1439" s="23">
        <f>F90</f>
        <v>525897</v>
      </c>
      <c r="G1439" s="104">
        <v>1.05</v>
      </c>
      <c r="H1439" s="252">
        <f t="shared" si="98"/>
        <v>8282.8777499999997</v>
      </c>
    </row>
    <row r="1440" spans="1:9" x14ac:dyDescent="0.2">
      <c r="A1440" s="81" t="s">
        <v>2555</v>
      </c>
      <c r="B1440" s="241" t="s">
        <v>644</v>
      </c>
      <c r="C1440" s="3" t="s">
        <v>645</v>
      </c>
      <c r="D1440" s="2" t="s">
        <v>585</v>
      </c>
      <c r="E1440" s="114">
        <v>1</v>
      </c>
      <c r="F1440" s="23">
        <f>VLOOKUP(B1440,'BASE DE DATOS'!$A$5:$E$997,5,FALSE)</f>
        <v>248302</v>
      </c>
      <c r="G1440" s="104">
        <f>1/10</f>
        <v>0.1</v>
      </c>
      <c r="H1440" s="252">
        <f t="shared" si="98"/>
        <v>24830.2</v>
      </c>
    </row>
    <row r="1441" spans="1:9" x14ac:dyDescent="0.2">
      <c r="A1441" s="944" t="s">
        <v>293</v>
      </c>
      <c r="B1441" s="241" t="s">
        <v>598</v>
      </c>
      <c r="C1441" s="495" t="s">
        <v>3362</v>
      </c>
      <c r="D1441" s="219" t="s">
        <v>586</v>
      </c>
      <c r="E1441" s="114">
        <v>0.05</v>
      </c>
      <c r="F1441" s="220">
        <f>H1440</f>
        <v>24830.2</v>
      </c>
      <c r="G1441" s="187">
        <v>0</v>
      </c>
      <c r="H1441" s="252">
        <f>IF(G1441&gt;0,(G1441*F1441*E1441),(F1441*E1441))</f>
        <v>1241.5100000000002</v>
      </c>
    </row>
    <row r="1442" spans="1:9" ht="13.5" thickBot="1" x14ac:dyDescent="0.25">
      <c r="A1442" s="945"/>
      <c r="B1442" s="528" t="s">
        <v>269</v>
      </c>
      <c r="C1442" s="88" t="s">
        <v>284</v>
      </c>
      <c r="D1442" s="89" t="s">
        <v>586</v>
      </c>
      <c r="E1442" s="193">
        <v>0.1</v>
      </c>
      <c r="F1442" s="90">
        <f>H1440</f>
        <v>24830.2</v>
      </c>
      <c r="G1442" s="153">
        <v>0</v>
      </c>
      <c r="H1442" s="255">
        <f t="shared" si="98"/>
        <v>2483.0200000000004</v>
      </c>
    </row>
    <row r="1443" spans="1:9" s="42" customFormat="1" ht="30" x14ac:dyDescent="0.2">
      <c r="A1443" s="67" t="s">
        <v>3504</v>
      </c>
      <c r="B1443" s="529"/>
      <c r="C1443" s="388" t="s">
        <v>3501</v>
      </c>
      <c r="D1443" s="389" t="s">
        <v>405</v>
      </c>
      <c r="E1443" s="395"/>
      <c r="F1443" s="391">
        <f>ROUND(SUM(H1443:H1452),0)</f>
        <v>27331</v>
      </c>
      <c r="G1443" s="392"/>
      <c r="H1443" s="393"/>
      <c r="I1443" s="738"/>
    </row>
    <row r="1444" spans="1:9" x14ac:dyDescent="0.2">
      <c r="A1444" s="939" t="s">
        <v>295</v>
      </c>
      <c r="B1444" s="241" t="s">
        <v>2777</v>
      </c>
      <c r="C1444" s="3" t="s">
        <v>3500</v>
      </c>
      <c r="D1444" s="2" t="s">
        <v>411</v>
      </c>
      <c r="E1444" s="114">
        <v>0.01</v>
      </c>
      <c r="F1444" s="23">
        <f>VLOOKUP(B1444,'BASE DE DATOS'!$A$5:$E$997,5,FALSE)</f>
        <v>8845</v>
      </c>
      <c r="G1444" s="104">
        <v>0</v>
      </c>
      <c r="H1444" s="252">
        <f>IF(G1444&gt;0,(G1444*F1444*E1444),(F1444*E1444))</f>
        <v>88.45</v>
      </c>
    </row>
    <row r="1445" spans="1:9" x14ac:dyDescent="0.2">
      <c r="A1445" s="939"/>
      <c r="B1445" s="241" t="s">
        <v>2776</v>
      </c>
      <c r="C1445" s="3" t="s">
        <v>3499</v>
      </c>
      <c r="D1445" s="2" t="s">
        <v>411</v>
      </c>
      <c r="E1445" s="114">
        <v>0.01</v>
      </c>
      <c r="F1445" s="23">
        <f>VLOOKUP(B1445,'BASE DE DATOS'!$A$5:$E$997,5,FALSE)</f>
        <v>8845</v>
      </c>
      <c r="G1445" s="104">
        <v>0</v>
      </c>
      <c r="H1445" s="252">
        <f>IF(G1445&gt;0,(G1445*F1445*E1445),(F1445*E1445))</f>
        <v>88.45</v>
      </c>
    </row>
    <row r="1446" spans="1:9" x14ac:dyDescent="0.2">
      <c r="A1446" s="939"/>
      <c r="B1446" s="241" t="s">
        <v>2771</v>
      </c>
      <c r="C1446" s="3" t="s">
        <v>3494</v>
      </c>
      <c r="D1446" s="2" t="s">
        <v>411</v>
      </c>
      <c r="E1446" s="114">
        <v>0.105</v>
      </c>
      <c r="F1446" s="23">
        <f>VLOOKUP(B1446,'BASE DE DATOS'!$A$5:$E$997,5,FALSE)</f>
        <v>8845</v>
      </c>
      <c r="G1446" s="104">
        <v>0</v>
      </c>
      <c r="H1446" s="252">
        <f>IF(G1446&gt;0,(G1446*F1446*E1446),(F1446*E1446))</f>
        <v>928.72499999999991</v>
      </c>
    </row>
    <row r="1447" spans="1:9" x14ac:dyDescent="0.2">
      <c r="A1447" s="939"/>
      <c r="B1447" s="241" t="s">
        <v>2774</v>
      </c>
      <c r="C1447" s="3" t="s">
        <v>3497</v>
      </c>
      <c r="D1447" s="2" t="s">
        <v>411</v>
      </c>
      <c r="E1447" s="114">
        <f>1/100</f>
        <v>0.01</v>
      </c>
      <c r="F1447" s="23">
        <f>VLOOKUP(B1447,'BASE DE DATOS'!$A$5:$E$997,5,FALSE)</f>
        <v>8845</v>
      </c>
      <c r="G1447" s="104">
        <v>0</v>
      </c>
      <c r="H1447" s="252">
        <f>IF(G1447&gt;0,(G1447*F1447*E1447),(F1447*E1447))</f>
        <v>88.45</v>
      </c>
    </row>
    <row r="1448" spans="1:9" x14ac:dyDescent="0.2">
      <c r="A1448" s="939"/>
      <c r="B1448" s="241" t="s">
        <v>2769</v>
      </c>
      <c r="C1448" s="515" t="s">
        <v>3492</v>
      </c>
      <c r="D1448" s="288" t="s">
        <v>405</v>
      </c>
      <c r="E1448" s="114">
        <v>1</v>
      </c>
      <c r="F1448" s="23">
        <f>VLOOKUP(B1448,'BASE DE DATOS'!$A$5:$E$997,5,FALSE)</f>
        <v>19953.77049180328</v>
      </c>
      <c r="G1448" s="104">
        <v>1.03</v>
      </c>
      <c r="H1448" s="252">
        <f t="shared" ref="H1448:H1452" si="99">IF(G1448&gt;0,(G1448*F1448*E1448),(F1448*E1448))</f>
        <v>20552.383606557378</v>
      </c>
    </row>
    <row r="1449" spans="1:9" x14ac:dyDescent="0.2">
      <c r="A1449" s="939"/>
      <c r="B1449" s="241" t="s">
        <v>1727</v>
      </c>
      <c r="C1449" s="3" t="s">
        <v>3503</v>
      </c>
      <c r="D1449" s="2" t="s">
        <v>642</v>
      </c>
      <c r="E1449" s="114">
        <v>1E-3</v>
      </c>
      <c r="F1449" s="23">
        <f>VLOOKUP(B1449,'BASE DE DATOS'!$A$5:$E$997,5,FALSE)</f>
        <v>399200</v>
      </c>
      <c r="G1449" s="104">
        <v>1.03</v>
      </c>
      <c r="H1449" s="252">
        <f t="shared" ref="H1449" si="100">IF(G1449&gt;0,(G1449*F1449*E1449),(F1449*E1449))</f>
        <v>411.17599999999999</v>
      </c>
    </row>
    <row r="1450" spans="1:9" x14ac:dyDescent="0.2">
      <c r="A1450" s="500" t="s">
        <v>2555</v>
      </c>
      <c r="B1450" s="241" t="s">
        <v>644</v>
      </c>
      <c r="C1450" s="3" t="s">
        <v>645</v>
      </c>
      <c r="D1450" s="2" t="s">
        <v>585</v>
      </c>
      <c r="E1450" s="114">
        <v>1</v>
      </c>
      <c r="F1450" s="23">
        <f>VLOOKUP(B1450,'BASE DE DATOS'!$A$5:$E$997,5,FALSE)</f>
        <v>248302</v>
      </c>
      <c r="G1450" s="104">
        <f>1/60</f>
        <v>1.6666666666666666E-2</v>
      </c>
      <c r="H1450" s="252">
        <f t="shared" si="99"/>
        <v>4138.3666666666668</v>
      </c>
    </row>
    <row r="1451" spans="1:9" x14ac:dyDescent="0.2">
      <c r="A1451" s="944" t="s">
        <v>293</v>
      </c>
      <c r="B1451" s="241" t="s">
        <v>598</v>
      </c>
      <c r="C1451" s="495" t="s">
        <v>3362</v>
      </c>
      <c r="D1451" s="219" t="s">
        <v>586</v>
      </c>
      <c r="E1451" s="114">
        <v>0.15</v>
      </c>
      <c r="F1451" s="220">
        <f>H1450</f>
        <v>4138.3666666666668</v>
      </c>
      <c r="G1451" s="187">
        <v>0</v>
      </c>
      <c r="H1451" s="252">
        <f>IF(G1451&gt;0,(G1451*F1451*E1451),(F1451*E1451))</f>
        <v>620.755</v>
      </c>
    </row>
    <row r="1452" spans="1:9" ht="13.5" thickBot="1" x14ac:dyDescent="0.25">
      <c r="A1452" s="945"/>
      <c r="B1452" s="528" t="s">
        <v>269</v>
      </c>
      <c r="C1452" s="88" t="s">
        <v>284</v>
      </c>
      <c r="D1452" s="89" t="s">
        <v>586</v>
      </c>
      <c r="E1452" s="193">
        <v>0.1</v>
      </c>
      <c r="F1452" s="90">
        <f>H1450</f>
        <v>4138.3666666666668</v>
      </c>
      <c r="G1452" s="153">
        <v>0</v>
      </c>
      <c r="H1452" s="255">
        <f t="shared" si="99"/>
        <v>413.8366666666667</v>
      </c>
    </row>
    <row r="1453" spans="1:9" s="42" customFormat="1" ht="30" x14ac:dyDescent="0.2">
      <c r="A1453" s="67" t="s">
        <v>3508</v>
      </c>
      <c r="B1453" s="529"/>
      <c r="C1453" s="388" t="s">
        <v>3505</v>
      </c>
      <c r="D1453" s="389" t="s">
        <v>405</v>
      </c>
      <c r="E1453" s="395"/>
      <c r="F1453" s="391">
        <f>ROUND(SUM(H1453:H1461),0)</f>
        <v>30901</v>
      </c>
      <c r="G1453" s="392"/>
      <c r="H1453" s="393"/>
      <c r="I1453" s="738">
        <v>34</v>
      </c>
    </row>
    <row r="1454" spans="1:9" x14ac:dyDescent="0.2">
      <c r="A1454" s="939" t="s">
        <v>295</v>
      </c>
      <c r="B1454" s="241" t="s">
        <v>2775</v>
      </c>
      <c r="C1454" s="3" t="s">
        <v>3498</v>
      </c>
      <c r="D1454" s="2" t="s">
        <v>411</v>
      </c>
      <c r="E1454" s="114">
        <v>0.01</v>
      </c>
      <c r="F1454" s="23">
        <f>VLOOKUP(B1454,'BASE DE DATOS'!$A$5:$E$997,5,FALSE)</f>
        <v>12345</v>
      </c>
      <c r="G1454" s="104">
        <v>0</v>
      </c>
      <c r="H1454" s="252">
        <f>IF(G1454&gt;0,(G1454*F1454*E1454),(F1454*E1454))</f>
        <v>123.45</v>
      </c>
    </row>
    <row r="1455" spans="1:9" x14ac:dyDescent="0.2">
      <c r="A1455" s="939"/>
      <c r="B1455" s="241" t="s">
        <v>2773</v>
      </c>
      <c r="C1455" s="3" t="s">
        <v>3496</v>
      </c>
      <c r="D1455" s="2" t="s">
        <v>411</v>
      </c>
      <c r="E1455" s="114">
        <v>0.105</v>
      </c>
      <c r="F1455" s="23">
        <f>VLOOKUP(B1455,'BASE DE DATOS'!$A$5:$E$997,5,FALSE)</f>
        <v>12495</v>
      </c>
      <c r="G1455" s="104">
        <v>0</v>
      </c>
      <c r="H1455" s="252">
        <f>IF(G1455&gt;0,(G1455*F1455*E1455),(F1455*E1455))</f>
        <v>1311.9749999999999</v>
      </c>
    </row>
    <row r="1456" spans="1:9" x14ac:dyDescent="0.2">
      <c r="A1456" s="939"/>
      <c r="B1456" s="241" t="s">
        <v>2772</v>
      </c>
      <c r="C1456" s="3" t="s">
        <v>3495</v>
      </c>
      <c r="D1456" s="2" t="s">
        <v>411</v>
      </c>
      <c r="E1456" s="114">
        <f>1/100</f>
        <v>0.01</v>
      </c>
      <c r="F1456" s="23">
        <f>VLOOKUP(B1456,'BASE DE DATOS'!$A$5:$E$997,5,FALSE)</f>
        <v>12495</v>
      </c>
      <c r="G1456" s="104">
        <v>0</v>
      </c>
      <c r="H1456" s="252">
        <f>IF(G1456&gt;0,(G1456*F1456*E1456),(F1456*E1456))</f>
        <v>124.95</v>
      </c>
    </row>
    <row r="1457" spans="1:9" x14ac:dyDescent="0.2">
      <c r="A1457" s="939"/>
      <c r="B1457" s="241" t="s">
        <v>2770</v>
      </c>
      <c r="C1457" s="515" t="s">
        <v>3492</v>
      </c>
      <c r="D1457" s="288" t="s">
        <v>405</v>
      </c>
      <c r="E1457" s="114">
        <v>1</v>
      </c>
      <c r="F1457" s="23">
        <f>VLOOKUP(B1457,'BASE DE DATOS'!$A$5:$E$997,5,FALSE)</f>
        <v>23065</v>
      </c>
      <c r="G1457" s="104">
        <v>1.03</v>
      </c>
      <c r="H1457" s="252">
        <f t="shared" ref="H1457:H1461" si="101">IF(G1457&gt;0,(G1457*F1457*E1457),(F1457*E1457))</f>
        <v>23756.95</v>
      </c>
    </row>
    <row r="1458" spans="1:9" x14ac:dyDescent="0.2">
      <c r="A1458" s="939"/>
      <c r="B1458" s="241" t="s">
        <v>1727</v>
      </c>
      <c r="C1458" s="3" t="s">
        <v>3503</v>
      </c>
      <c r="D1458" s="2" t="s">
        <v>642</v>
      </c>
      <c r="E1458" s="114">
        <v>1E-3</v>
      </c>
      <c r="F1458" s="23">
        <f>VLOOKUP(B1458,'BASE DE DATOS'!$A$5:$E$997,5,FALSE)</f>
        <v>399200</v>
      </c>
      <c r="G1458" s="104">
        <v>1.03</v>
      </c>
      <c r="H1458" s="252">
        <f t="shared" si="101"/>
        <v>411.17599999999999</v>
      </c>
    </row>
    <row r="1459" spans="1:9" x14ac:dyDescent="0.2">
      <c r="A1459" s="500" t="s">
        <v>2555</v>
      </c>
      <c r="B1459" s="241" t="s">
        <v>644</v>
      </c>
      <c r="C1459" s="3" t="s">
        <v>645</v>
      </c>
      <c r="D1459" s="2" t="s">
        <v>585</v>
      </c>
      <c r="E1459" s="114">
        <v>1</v>
      </c>
      <c r="F1459" s="23">
        <f>VLOOKUP(B1459,'BASE DE DATOS'!$A$5:$E$997,5,FALSE)</f>
        <v>248302</v>
      </c>
      <c r="G1459" s="104">
        <f>1/60</f>
        <v>1.6666666666666666E-2</v>
      </c>
      <c r="H1459" s="252">
        <f t="shared" si="101"/>
        <v>4138.3666666666668</v>
      </c>
    </row>
    <row r="1460" spans="1:9" x14ac:dyDescent="0.2">
      <c r="A1460" s="944" t="s">
        <v>293</v>
      </c>
      <c r="B1460" s="241" t="s">
        <v>598</v>
      </c>
      <c r="C1460" s="495" t="s">
        <v>3362</v>
      </c>
      <c r="D1460" s="219" t="s">
        <v>586</v>
      </c>
      <c r="E1460" s="114">
        <v>0.15</v>
      </c>
      <c r="F1460" s="220">
        <f>H1459</f>
        <v>4138.3666666666668</v>
      </c>
      <c r="G1460" s="187">
        <v>0</v>
      </c>
      <c r="H1460" s="252">
        <f>IF(G1460&gt;0,(G1460*F1460*E1460),(F1460*E1460))</f>
        <v>620.755</v>
      </c>
    </row>
    <row r="1461" spans="1:9" ht="13.5" thickBot="1" x14ac:dyDescent="0.25">
      <c r="A1461" s="945"/>
      <c r="B1461" s="528" t="s">
        <v>269</v>
      </c>
      <c r="C1461" s="88" t="s">
        <v>284</v>
      </c>
      <c r="D1461" s="89" t="s">
        <v>586</v>
      </c>
      <c r="E1461" s="193">
        <v>0.1</v>
      </c>
      <c r="F1461" s="90">
        <f>H1459</f>
        <v>4138.3666666666668</v>
      </c>
      <c r="G1461" s="153">
        <v>0</v>
      </c>
      <c r="H1461" s="252">
        <f t="shared" si="101"/>
        <v>413.8366666666667</v>
      </c>
    </row>
    <row r="1462" spans="1:9" ht="15.75" thickBot="1" x14ac:dyDescent="0.25">
      <c r="A1462" s="950" t="s">
        <v>701</v>
      </c>
      <c r="B1462" s="951"/>
      <c r="C1462" s="951"/>
      <c r="D1462" s="951"/>
      <c r="E1462" s="951"/>
      <c r="F1462" s="951"/>
      <c r="G1462" s="951"/>
      <c r="H1462" s="952"/>
    </row>
    <row r="1463" spans="1:9" ht="45.75" thickBot="1" x14ac:dyDescent="0.25">
      <c r="A1463" s="72" t="s">
        <v>2044</v>
      </c>
      <c r="B1463" s="72" t="s">
        <v>265</v>
      </c>
      <c r="C1463" s="72" t="s">
        <v>402</v>
      </c>
      <c r="D1463" s="354" t="s">
        <v>346</v>
      </c>
      <c r="E1463" s="192" t="s">
        <v>2173</v>
      </c>
      <c r="F1463" s="162" t="s">
        <v>3165</v>
      </c>
      <c r="G1463" s="290" t="s">
        <v>281</v>
      </c>
      <c r="H1463" s="74" t="s">
        <v>3164</v>
      </c>
    </row>
    <row r="1464" spans="1:9" s="42" customFormat="1" ht="17.25" x14ac:dyDescent="0.2">
      <c r="A1464" s="67" t="s">
        <v>2478</v>
      </c>
      <c r="B1464" s="527"/>
      <c r="C1464" s="388" t="s">
        <v>1883</v>
      </c>
      <c r="D1464" s="389" t="s">
        <v>3251</v>
      </c>
      <c r="E1464" s="395"/>
      <c r="F1464" s="391">
        <f>ROUND(SUM(H1464:H1467),0)</f>
        <v>45818</v>
      </c>
      <c r="G1464" s="392"/>
      <c r="H1464" s="393"/>
      <c r="I1464" s="738"/>
    </row>
    <row r="1465" spans="1:9" ht="14.25" x14ac:dyDescent="0.2">
      <c r="A1465" s="64" t="s">
        <v>3252</v>
      </c>
      <c r="B1465" s="241" t="s">
        <v>810</v>
      </c>
      <c r="C1465" s="3" t="s">
        <v>2097</v>
      </c>
      <c r="D1465" s="2" t="s">
        <v>285</v>
      </c>
      <c r="E1465" s="114">
        <v>0.05</v>
      </c>
      <c r="F1465" s="23">
        <f>F90</f>
        <v>525897</v>
      </c>
      <c r="G1465" s="104">
        <v>1.05</v>
      </c>
      <c r="H1465" s="252">
        <f t="shared" ref="H1465:H1467" si="102">IF(G1465&gt;0,(G1465*F1465*E1465),(F1465*E1465))</f>
        <v>27609.592499999999</v>
      </c>
    </row>
    <row r="1466" spans="1:9" x14ac:dyDescent="0.2">
      <c r="A1466" s="81" t="s">
        <v>2555</v>
      </c>
      <c r="B1466" s="241" t="s">
        <v>644</v>
      </c>
      <c r="C1466" s="3" t="s">
        <v>645</v>
      </c>
      <c r="D1466" s="2" t="s">
        <v>585</v>
      </c>
      <c r="E1466" s="114">
        <v>1</v>
      </c>
      <c r="F1466" s="23">
        <f>VLOOKUP(B1466,'BASE DE DATOS'!$A$5:$E$997,5,FALSE)</f>
        <v>248302</v>
      </c>
      <c r="G1466" s="104">
        <f>1/15</f>
        <v>6.6666666666666666E-2</v>
      </c>
      <c r="H1466" s="252">
        <f t="shared" si="102"/>
        <v>16553.466666666667</v>
      </c>
    </row>
    <row r="1467" spans="1:9" ht="13.5" thickBot="1" x14ac:dyDescent="0.25">
      <c r="A1467" s="94" t="s">
        <v>293</v>
      </c>
      <c r="B1467" s="528" t="s">
        <v>269</v>
      </c>
      <c r="C1467" s="108" t="s">
        <v>284</v>
      </c>
      <c r="D1467" s="109" t="s">
        <v>586</v>
      </c>
      <c r="E1467" s="200">
        <v>0.1</v>
      </c>
      <c r="F1467" s="110">
        <f>H1466</f>
        <v>16553.466666666667</v>
      </c>
      <c r="G1467" s="156">
        <v>0</v>
      </c>
      <c r="H1467" s="479">
        <f t="shared" si="102"/>
        <v>1655.3466666666668</v>
      </c>
    </row>
    <row r="1468" spans="1:9" s="42" customFormat="1" ht="17.25" x14ac:dyDescent="0.2">
      <c r="A1468" s="67" t="s">
        <v>2564</v>
      </c>
      <c r="B1468" s="529"/>
      <c r="C1468" s="388" t="s">
        <v>2052</v>
      </c>
      <c r="D1468" s="389" t="s">
        <v>3251</v>
      </c>
      <c r="E1468" s="390"/>
      <c r="F1468" s="391">
        <f>ROUND(SUM(H1468:H1469),0)</f>
        <v>90384</v>
      </c>
      <c r="G1468" s="392"/>
      <c r="H1468" s="393"/>
      <c r="I1468" s="738"/>
    </row>
    <row r="1469" spans="1:9" ht="15" thickBot="1" x14ac:dyDescent="0.25">
      <c r="A1469" s="505" t="s">
        <v>3252</v>
      </c>
      <c r="B1469" s="528" t="s">
        <v>1150</v>
      </c>
      <c r="C1469" s="88" t="s">
        <v>3534</v>
      </c>
      <c r="D1469" s="89" t="s">
        <v>288</v>
      </c>
      <c r="E1469" s="200">
        <v>1</v>
      </c>
      <c r="F1469" s="110">
        <f>' VÍAS'!F533</f>
        <v>90384</v>
      </c>
      <c r="G1469" s="156">
        <v>0</v>
      </c>
      <c r="H1469" s="479">
        <f t="shared" ref="H1469" si="103">IF(G1469&gt;0,(G1469*F1469*E1469),(F1469*E1469))</f>
        <v>90384</v>
      </c>
    </row>
    <row r="1470" spans="1:9" s="42" customFormat="1" ht="17.25" x14ac:dyDescent="0.2">
      <c r="A1470" s="67" t="s">
        <v>2479</v>
      </c>
      <c r="B1470" s="529"/>
      <c r="C1470" s="388" t="s">
        <v>2053</v>
      </c>
      <c r="D1470" s="389" t="s">
        <v>3251</v>
      </c>
      <c r="E1470" s="390"/>
      <c r="F1470" s="391">
        <f>ROUND(SUM(H1470:H1471),0)</f>
        <v>106884</v>
      </c>
      <c r="G1470" s="392"/>
      <c r="H1470" s="393"/>
      <c r="I1470" s="738"/>
    </row>
    <row r="1471" spans="1:9" ht="15" thickBot="1" x14ac:dyDescent="0.25">
      <c r="A1471" s="505" t="s">
        <v>3252</v>
      </c>
      <c r="B1471" s="530" t="s">
        <v>1151</v>
      </c>
      <c r="C1471" s="88" t="s">
        <v>3534</v>
      </c>
      <c r="D1471" s="89" t="s">
        <v>288</v>
      </c>
      <c r="E1471" s="193">
        <v>1</v>
      </c>
      <c r="F1471" s="90">
        <f>' VÍAS'!F541</f>
        <v>106884</v>
      </c>
      <c r="G1471" s="153">
        <v>0</v>
      </c>
      <c r="H1471" s="479">
        <f t="shared" ref="H1471" si="104">IF(G1471&gt;0,(G1471*F1471*E1471),(F1471*E1471))</f>
        <v>106884</v>
      </c>
    </row>
    <row r="1472" spans="1:9" s="42" customFormat="1" ht="17.25" x14ac:dyDescent="0.2">
      <c r="A1472" s="67" t="s">
        <v>2565</v>
      </c>
      <c r="B1472" s="529"/>
      <c r="C1472" s="388" t="s">
        <v>2054</v>
      </c>
      <c r="D1472" s="389" t="s">
        <v>3251</v>
      </c>
      <c r="E1472" s="390"/>
      <c r="F1472" s="391">
        <f>ROUND(SUM(H1472:H1479),0)</f>
        <v>127645</v>
      </c>
      <c r="G1472" s="392"/>
      <c r="H1472" s="393"/>
      <c r="I1472" s="738"/>
    </row>
    <row r="1473" spans="1:9" ht="14.25" x14ac:dyDescent="0.2">
      <c r="A1473" s="936" t="s">
        <v>382</v>
      </c>
      <c r="B1473" s="241" t="s">
        <v>1276</v>
      </c>
      <c r="C1473" s="3" t="s">
        <v>2688</v>
      </c>
      <c r="D1473" s="2" t="s">
        <v>288</v>
      </c>
      <c r="E1473" s="114">
        <v>1</v>
      </c>
      <c r="F1473" s="23">
        <f>VLOOKUP(B1473,'BASE DE DATOS'!$A$5:$E$997,5,FALSE)</f>
        <v>75000</v>
      </c>
      <c r="G1473" s="104">
        <v>1.1000000000000001</v>
      </c>
      <c r="H1473" s="252">
        <f>IF(G1473&gt;0,(G1473*F1473*E1473),(F1473*E1473))</f>
        <v>82500</v>
      </c>
    </row>
    <row r="1474" spans="1:9" x14ac:dyDescent="0.2">
      <c r="A1474" s="936"/>
      <c r="B1474" s="241" t="s">
        <v>1279</v>
      </c>
      <c r="C1474" s="3" t="s">
        <v>349</v>
      </c>
      <c r="D1474" s="2" t="s">
        <v>617</v>
      </c>
      <c r="E1474" s="114">
        <v>10</v>
      </c>
      <c r="F1474" s="23">
        <f>VLOOKUP(B1474,'BASE DE DATOS'!$A$5:$E$997,5,FALSE)</f>
        <v>19</v>
      </c>
      <c r="G1474" s="104">
        <v>0</v>
      </c>
      <c r="H1474" s="252">
        <f t="shared" ref="H1474:H1479" si="105">IF(G1474&gt;0,(G1474*F1474*E1474),(F1474*E1474))</f>
        <v>190</v>
      </c>
    </row>
    <row r="1475" spans="1:9" ht="14.25" x14ac:dyDescent="0.2">
      <c r="A1475" s="936"/>
      <c r="B1475" s="241" t="s">
        <v>1291</v>
      </c>
      <c r="C1475" s="3" t="s">
        <v>648</v>
      </c>
      <c r="D1475" s="2" t="s">
        <v>285</v>
      </c>
      <c r="E1475" s="114">
        <v>0.05</v>
      </c>
      <c r="F1475" s="23">
        <f>VLOOKUP(B1475,'BASE DE DATOS'!$A$5:$E$997,5,FALSE)</f>
        <v>71990</v>
      </c>
      <c r="G1475" s="104">
        <v>1.05</v>
      </c>
      <c r="H1475" s="252">
        <f>IF(G1475&gt;0,(G1475*F1475*E1475),(F1475*E1475))</f>
        <v>3779.4750000000004</v>
      </c>
    </row>
    <row r="1476" spans="1:9" x14ac:dyDescent="0.2">
      <c r="A1476" s="936"/>
      <c r="B1476" s="241" t="s">
        <v>1319</v>
      </c>
      <c r="C1476" s="3" t="s">
        <v>2569</v>
      </c>
      <c r="D1476" s="2" t="s">
        <v>616</v>
      </c>
      <c r="E1476" s="114">
        <v>0.05</v>
      </c>
      <c r="F1476" s="23">
        <f>VLOOKUP(B1476,'BASE DE DATOS'!$A$5:$E$997,5,FALSE)</f>
        <v>32900</v>
      </c>
      <c r="G1476" s="104">
        <v>1.05</v>
      </c>
      <c r="H1476" s="252">
        <f t="shared" si="105"/>
        <v>1727.25</v>
      </c>
    </row>
    <row r="1477" spans="1:9" x14ac:dyDescent="0.2">
      <c r="A1477" s="81" t="s">
        <v>2555</v>
      </c>
      <c r="B1477" s="241" t="s">
        <v>607</v>
      </c>
      <c r="C1477" s="3" t="s">
        <v>608</v>
      </c>
      <c r="D1477" s="2" t="s">
        <v>585</v>
      </c>
      <c r="E1477" s="114">
        <v>1</v>
      </c>
      <c r="F1477" s="23">
        <f>VLOOKUP(B1477,'BASE DE DATOS'!$A$5:$E$997,5,FALSE)</f>
        <v>336981</v>
      </c>
      <c r="G1477" s="104">
        <f>1/10</f>
        <v>0.1</v>
      </c>
      <c r="H1477" s="252">
        <f t="shared" si="105"/>
        <v>33698.1</v>
      </c>
    </row>
    <row r="1478" spans="1:9" x14ac:dyDescent="0.2">
      <c r="A1478" s="937" t="s">
        <v>293</v>
      </c>
      <c r="B1478" s="241" t="s">
        <v>269</v>
      </c>
      <c r="C1478" s="218" t="s">
        <v>284</v>
      </c>
      <c r="D1478" s="219" t="s">
        <v>586</v>
      </c>
      <c r="E1478" s="114">
        <v>0.1</v>
      </c>
      <c r="F1478" s="220">
        <f>H1477</f>
        <v>33698.1</v>
      </c>
      <c r="G1478" s="187">
        <v>0</v>
      </c>
      <c r="H1478" s="252">
        <f>IF(G1478&gt;0,(G1478*F1478*E1478),(F1478*E1478))</f>
        <v>3369.81</v>
      </c>
    </row>
    <row r="1479" spans="1:9" ht="13.5" thickBot="1" x14ac:dyDescent="0.25">
      <c r="A1479" s="938"/>
      <c r="B1479" s="528" t="s">
        <v>621</v>
      </c>
      <c r="C1479" s="88" t="s">
        <v>360</v>
      </c>
      <c r="D1479" s="89" t="s">
        <v>585</v>
      </c>
      <c r="E1479" s="193">
        <v>1</v>
      </c>
      <c r="F1479" s="90">
        <f>VLOOKUP(B1479,'BASE DE DATOS'!$A$5:$E$997,5,FALSE)</f>
        <v>71400</v>
      </c>
      <c r="G1479" s="153">
        <f>1/30</f>
        <v>3.3333333333333333E-2</v>
      </c>
      <c r="H1479" s="255">
        <f t="shared" si="105"/>
        <v>2380</v>
      </c>
    </row>
    <row r="1480" spans="1:9" s="42" customFormat="1" ht="17.25" x14ac:dyDescent="0.2">
      <c r="A1480" s="67" t="s">
        <v>2480</v>
      </c>
      <c r="B1480" s="529"/>
      <c r="C1480" s="388" t="s">
        <v>2722</v>
      </c>
      <c r="D1480" s="389" t="s">
        <v>3251</v>
      </c>
      <c r="E1480" s="390"/>
      <c r="F1480" s="391">
        <f>ROUND(SUM(H1480:H1489),0)</f>
        <v>152239</v>
      </c>
      <c r="G1480" s="392"/>
      <c r="H1480" s="393"/>
      <c r="I1480" s="738"/>
    </row>
    <row r="1481" spans="1:9" x14ac:dyDescent="0.2">
      <c r="A1481" s="939" t="s">
        <v>295</v>
      </c>
      <c r="B1481" s="241" t="s">
        <v>1279</v>
      </c>
      <c r="C1481" s="3" t="s">
        <v>349</v>
      </c>
      <c r="D1481" s="2" t="s">
        <v>617</v>
      </c>
      <c r="E1481" s="114">
        <v>10</v>
      </c>
      <c r="F1481" s="23">
        <f>VLOOKUP(B1481,'BASE DE DATOS'!$A$5:$E$997,5,FALSE)</f>
        <v>19</v>
      </c>
      <c r="G1481" s="104">
        <v>0</v>
      </c>
      <c r="H1481" s="252">
        <f>IF(G1481&gt;0,(G1481*F1481*E1481),(F1481*E1481))</f>
        <v>190</v>
      </c>
    </row>
    <row r="1482" spans="1:9" ht="14.25" x14ac:dyDescent="0.2">
      <c r="A1482" s="939"/>
      <c r="B1482" s="241" t="s">
        <v>1291</v>
      </c>
      <c r="C1482" s="3" t="s">
        <v>648</v>
      </c>
      <c r="D1482" s="2" t="s">
        <v>285</v>
      </c>
      <c r="E1482" s="114">
        <v>0.05</v>
      </c>
      <c r="F1482" s="23">
        <f>VLOOKUP(B1482,'BASE DE DATOS'!$A$5:$E$997,5,FALSE)</f>
        <v>71990</v>
      </c>
      <c r="G1482" s="104">
        <v>1.05</v>
      </c>
      <c r="H1482" s="252">
        <f t="shared" ref="H1482:H1489" si="106">IF(G1482&gt;0,(G1482*F1482*E1482),(F1482*E1482))</f>
        <v>3779.4750000000004</v>
      </c>
    </row>
    <row r="1483" spans="1:9" x14ac:dyDescent="0.2">
      <c r="A1483" s="939"/>
      <c r="B1483" s="241" t="s">
        <v>1573</v>
      </c>
      <c r="C1483" s="3" t="s">
        <v>2703</v>
      </c>
      <c r="D1483" s="2" t="s">
        <v>406</v>
      </c>
      <c r="E1483" s="114">
        <f>0.06*5</f>
        <v>0.3</v>
      </c>
      <c r="F1483" s="23">
        <f>VLOOKUP(B1483,'BASE DE DATOS'!$A$5:$E$997,5,FALSE)</f>
        <v>924</v>
      </c>
      <c r="G1483" s="104">
        <v>1.1000000000000001</v>
      </c>
      <c r="H1483" s="252">
        <f>IF(G1483&gt;0,(G1483*F1483*E1483),(F1483*E1483))</f>
        <v>304.92</v>
      </c>
    </row>
    <row r="1484" spans="1:9" ht="14.25" x14ac:dyDescent="0.2">
      <c r="A1484" s="939"/>
      <c r="B1484" s="241" t="s">
        <v>1337</v>
      </c>
      <c r="C1484" s="3" t="s">
        <v>3877</v>
      </c>
      <c r="D1484" s="2" t="s">
        <v>288</v>
      </c>
      <c r="E1484" s="114">
        <v>1</v>
      </c>
      <c r="F1484" s="23">
        <f>VLOOKUP(B1484,'BASE DE DATOS'!$A$5:$E$997,5,FALSE)</f>
        <v>51128.219999999994</v>
      </c>
      <c r="G1484" s="104">
        <v>1.1000000000000001</v>
      </c>
      <c r="H1484" s="252">
        <f t="shared" si="106"/>
        <v>56241.042000000001</v>
      </c>
    </row>
    <row r="1485" spans="1:9" x14ac:dyDescent="0.2">
      <c r="A1485" s="939"/>
      <c r="B1485" s="241" t="s">
        <v>2557</v>
      </c>
      <c r="C1485" s="3" t="s">
        <v>2744</v>
      </c>
      <c r="D1485" s="2" t="s">
        <v>590</v>
      </c>
      <c r="E1485" s="114">
        <v>0.02</v>
      </c>
      <c r="F1485" s="23">
        <f>VLOOKUP(B1485,'BASE DE DATOS'!$A$5:$E$997,5,FALSE)</f>
        <v>32400</v>
      </c>
      <c r="G1485" s="104">
        <v>1.1000000000000001</v>
      </c>
      <c r="H1485" s="252">
        <f>IF(G1485&gt;0,(G1485*F1485*E1485),(F1485*E1485))</f>
        <v>712.80000000000007</v>
      </c>
    </row>
    <row r="1486" spans="1:9" ht="14.25" x14ac:dyDescent="0.2">
      <c r="A1486" s="939"/>
      <c r="B1486" s="241" t="s">
        <v>1599</v>
      </c>
      <c r="C1486" s="3" t="s">
        <v>637</v>
      </c>
      <c r="D1486" s="2" t="s">
        <v>285</v>
      </c>
      <c r="E1486" s="114">
        <v>0.5</v>
      </c>
      <c r="F1486" s="23">
        <f>VLOOKUP(B1486,'BASE DE DATOS'!$A$5:$E$997,5,FALSE)</f>
        <v>93750</v>
      </c>
      <c r="G1486" s="104">
        <v>1.1000000000000001</v>
      </c>
      <c r="H1486" s="252">
        <f t="shared" si="106"/>
        <v>51562.500000000007</v>
      </c>
    </row>
    <row r="1487" spans="1:9" x14ac:dyDescent="0.2">
      <c r="A1487" s="232" t="s">
        <v>2555</v>
      </c>
      <c r="B1487" s="241" t="s">
        <v>607</v>
      </c>
      <c r="C1487" s="3" t="s">
        <v>608</v>
      </c>
      <c r="D1487" s="2" t="s">
        <v>585</v>
      </c>
      <c r="E1487" s="114">
        <v>1</v>
      </c>
      <c r="F1487" s="23">
        <f>VLOOKUP(B1487,'BASE DE DATOS'!$A$5:$E$997,5,FALSE)</f>
        <v>336981</v>
      </c>
      <c r="G1487" s="104">
        <f>1/10</f>
        <v>0.1</v>
      </c>
      <c r="H1487" s="252">
        <f t="shared" si="106"/>
        <v>33698.1</v>
      </c>
    </row>
    <row r="1488" spans="1:9" x14ac:dyDescent="0.2">
      <c r="A1488" s="944" t="s">
        <v>293</v>
      </c>
      <c r="B1488" s="241" t="s">
        <v>269</v>
      </c>
      <c r="C1488" s="218" t="s">
        <v>284</v>
      </c>
      <c r="D1488" s="219" t="s">
        <v>586</v>
      </c>
      <c r="E1488" s="114">
        <v>0.1</v>
      </c>
      <c r="F1488" s="220">
        <f>H1487</f>
        <v>33698.1</v>
      </c>
      <c r="G1488" s="187">
        <v>0</v>
      </c>
      <c r="H1488" s="252">
        <f>IF(G1488&gt;0,(G1488*F1488*E1488),(F1488*E1488))</f>
        <v>3369.81</v>
      </c>
    </row>
    <row r="1489" spans="1:9" ht="13.5" thickBot="1" x14ac:dyDescent="0.25">
      <c r="A1489" s="945"/>
      <c r="B1489" s="528" t="s">
        <v>621</v>
      </c>
      <c r="C1489" s="88" t="s">
        <v>360</v>
      </c>
      <c r="D1489" s="89" t="s">
        <v>585</v>
      </c>
      <c r="E1489" s="193">
        <v>1</v>
      </c>
      <c r="F1489" s="90">
        <f>VLOOKUP(B1489,'BASE DE DATOS'!$A$5:$E$997,5,FALSE)</f>
        <v>71400</v>
      </c>
      <c r="G1489" s="153">
        <f>1/30</f>
        <v>3.3333333333333333E-2</v>
      </c>
      <c r="H1489" s="252">
        <f t="shared" si="106"/>
        <v>2380</v>
      </c>
    </row>
    <row r="1490" spans="1:9" s="42" customFormat="1" ht="17.25" x14ac:dyDescent="0.2">
      <c r="A1490" s="48" t="s">
        <v>2489</v>
      </c>
      <c r="B1490" s="527"/>
      <c r="C1490" s="418" t="s">
        <v>2690</v>
      </c>
      <c r="D1490" s="419" t="s">
        <v>3251</v>
      </c>
      <c r="E1490" s="420"/>
      <c r="F1490" s="421">
        <f>ROUND(SUM(H1490:H1499),0)</f>
        <v>213601</v>
      </c>
      <c r="G1490" s="422"/>
      <c r="H1490" s="457"/>
      <c r="I1490" s="738"/>
    </row>
    <row r="1491" spans="1:9" ht="13.15" customHeight="1" x14ac:dyDescent="0.2">
      <c r="A1491" s="939" t="s">
        <v>295</v>
      </c>
      <c r="B1491" s="241" t="s">
        <v>1279</v>
      </c>
      <c r="C1491" s="3" t="s">
        <v>349</v>
      </c>
      <c r="D1491" s="2" t="s">
        <v>617</v>
      </c>
      <c r="E1491" s="114">
        <v>10</v>
      </c>
      <c r="F1491" s="23">
        <f>VLOOKUP(B1491,'BASE DE DATOS'!$A$5:$E$997,5,FALSE)</f>
        <v>19</v>
      </c>
      <c r="G1491" s="104">
        <v>0</v>
      </c>
      <c r="H1491" s="252">
        <f>IF(G1491&gt;0,(G1491*F1491*E1491),(F1491*E1491))</f>
        <v>190</v>
      </c>
    </row>
    <row r="1492" spans="1:9" ht="14.25" x14ac:dyDescent="0.2">
      <c r="A1492" s="939"/>
      <c r="B1492" s="241" t="s">
        <v>1291</v>
      </c>
      <c r="C1492" s="3" t="s">
        <v>648</v>
      </c>
      <c r="D1492" s="2" t="s">
        <v>285</v>
      </c>
      <c r="E1492" s="114">
        <v>0.04</v>
      </c>
      <c r="F1492" s="23">
        <f>VLOOKUP(B1492,'BASE DE DATOS'!$A$5:$E$997,5,FALSE)</f>
        <v>71990</v>
      </c>
      <c r="G1492" s="104">
        <v>1.05</v>
      </c>
      <c r="H1492" s="252">
        <f t="shared" ref="H1492:H1507" si="107">IF(G1492&gt;0,(G1492*F1492*E1492),(F1492*E1492))</f>
        <v>3023.58</v>
      </c>
    </row>
    <row r="1493" spans="1:9" x14ac:dyDescent="0.2">
      <c r="A1493" s="939"/>
      <c r="B1493" s="241" t="s">
        <v>1573</v>
      </c>
      <c r="C1493" s="3" t="s">
        <v>2703</v>
      </c>
      <c r="D1493" s="2" t="s">
        <v>406</v>
      </c>
      <c r="E1493" s="114">
        <f>0.06*5</f>
        <v>0.3</v>
      </c>
      <c r="F1493" s="23">
        <f>VLOOKUP(B1493,'BASE DE DATOS'!$A$5:$E$997,5,FALSE)</f>
        <v>924</v>
      </c>
      <c r="G1493" s="104">
        <v>1.1000000000000001</v>
      </c>
      <c r="H1493" s="252">
        <f>IF(G1493&gt;0,(G1493*F1493*E1493),(F1493*E1493))</f>
        <v>304.92</v>
      </c>
    </row>
    <row r="1494" spans="1:9" ht="14.25" x14ac:dyDescent="0.2">
      <c r="A1494" s="939"/>
      <c r="B1494" s="241" t="s">
        <v>1336</v>
      </c>
      <c r="C1494" s="3" t="s">
        <v>3879</v>
      </c>
      <c r="D1494" s="2" t="s">
        <v>288</v>
      </c>
      <c r="E1494" s="114">
        <v>1</v>
      </c>
      <c r="F1494" s="23">
        <f>VLOOKUP(B1494,'BASE DE DATOS'!$A$5:$E$997,5,FALSE)</f>
        <v>98224.349999999991</v>
      </c>
      <c r="G1494" s="104">
        <v>1.1000000000000001</v>
      </c>
      <c r="H1494" s="252">
        <f t="shared" si="107"/>
        <v>108046.785</v>
      </c>
    </row>
    <row r="1495" spans="1:9" ht="14.25" x14ac:dyDescent="0.2">
      <c r="A1495" s="939"/>
      <c r="B1495" s="241" t="s">
        <v>1599</v>
      </c>
      <c r="C1495" s="3" t="s">
        <v>637</v>
      </c>
      <c r="D1495" s="2" t="s">
        <v>285</v>
      </c>
      <c r="E1495" s="114">
        <v>0.6</v>
      </c>
      <c r="F1495" s="23">
        <f>VLOOKUP(B1495,'BASE DE DATOS'!$A$5:$E$997,5,FALSE)</f>
        <v>93750</v>
      </c>
      <c r="G1495" s="104">
        <v>1.1000000000000001</v>
      </c>
      <c r="H1495" s="252">
        <f t="shared" si="107"/>
        <v>61875.000000000007</v>
      </c>
    </row>
    <row r="1496" spans="1:9" x14ac:dyDescent="0.2">
      <c r="A1496" s="939"/>
      <c r="B1496" s="241" t="s">
        <v>2557</v>
      </c>
      <c r="C1496" s="3" t="s">
        <v>2744</v>
      </c>
      <c r="D1496" s="2" t="s">
        <v>590</v>
      </c>
      <c r="E1496" s="114">
        <v>0.02</v>
      </c>
      <c r="F1496" s="23">
        <f>VLOOKUP(B1496,'BASE DE DATOS'!$A$5:$E$997,5,FALSE)</f>
        <v>32400</v>
      </c>
      <c r="G1496" s="104">
        <v>1.1000000000000001</v>
      </c>
      <c r="H1496" s="252">
        <f t="shared" si="107"/>
        <v>712.80000000000007</v>
      </c>
    </row>
    <row r="1497" spans="1:9" x14ac:dyDescent="0.2">
      <c r="A1497" s="232" t="s">
        <v>2555</v>
      </c>
      <c r="B1497" s="241" t="s">
        <v>607</v>
      </c>
      <c r="C1497" s="3" t="s">
        <v>608</v>
      </c>
      <c r="D1497" s="2" t="s">
        <v>585</v>
      </c>
      <c r="E1497" s="114">
        <v>1</v>
      </c>
      <c r="F1497" s="23">
        <f>VLOOKUP(B1497,'BASE DE DATOS'!$A$5:$E$997,5,FALSE)</f>
        <v>336981</v>
      </c>
      <c r="G1497" s="104">
        <f>1/10</f>
        <v>0.1</v>
      </c>
      <c r="H1497" s="252">
        <f t="shared" si="107"/>
        <v>33698.1</v>
      </c>
    </row>
    <row r="1498" spans="1:9" x14ac:dyDescent="0.2">
      <c r="A1498" s="944" t="s">
        <v>293</v>
      </c>
      <c r="B1498" s="241" t="s">
        <v>269</v>
      </c>
      <c r="C1498" s="218" t="s">
        <v>284</v>
      </c>
      <c r="D1498" s="219" t="s">
        <v>586</v>
      </c>
      <c r="E1498" s="114">
        <v>0.1</v>
      </c>
      <c r="F1498" s="220">
        <f>H1497</f>
        <v>33698.1</v>
      </c>
      <c r="G1498" s="187">
        <v>0</v>
      </c>
      <c r="H1498" s="252">
        <f>IF(G1498&gt;0,(G1498*F1498*E1498),(F1498*E1498))</f>
        <v>3369.81</v>
      </c>
    </row>
    <row r="1499" spans="1:9" ht="13.5" thickBot="1" x14ac:dyDescent="0.25">
      <c r="A1499" s="945"/>
      <c r="B1499" s="528" t="s">
        <v>621</v>
      </c>
      <c r="C1499" s="88" t="s">
        <v>360</v>
      </c>
      <c r="D1499" s="89" t="s">
        <v>585</v>
      </c>
      <c r="E1499" s="193">
        <v>1</v>
      </c>
      <c r="F1499" s="90">
        <f>VLOOKUP(B1499,'BASE DE DATOS'!$A$5:$E$997,5,FALSE)</f>
        <v>71400</v>
      </c>
      <c r="G1499" s="153">
        <f>1/30</f>
        <v>3.3333333333333333E-2</v>
      </c>
      <c r="H1499" s="255">
        <f t="shared" si="107"/>
        <v>2380</v>
      </c>
    </row>
    <row r="1500" spans="1:9" s="42" customFormat="1" ht="30" x14ac:dyDescent="0.2">
      <c r="A1500" s="67" t="s">
        <v>2490</v>
      </c>
      <c r="B1500" s="529"/>
      <c r="C1500" s="388" t="s">
        <v>3610</v>
      </c>
      <c r="D1500" s="389" t="s">
        <v>405</v>
      </c>
      <c r="E1500" s="395"/>
      <c r="F1500" s="391">
        <f>ROUND(SUM(H1500:H1507),0)</f>
        <v>49186</v>
      </c>
      <c r="G1500" s="392"/>
      <c r="H1500" s="393"/>
      <c r="I1500" s="738"/>
    </row>
    <row r="1501" spans="1:9" x14ac:dyDescent="0.2">
      <c r="A1501" s="939" t="s">
        <v>295</v>
      </c>
      <c r="B1501" s="241" t="s">
        <v>1279</v>
      </c>
      <c r="C1501" s="3" t="s">
        <v>349</v>
      </c>
      <c r="D1501" s="2" t="s">
        <v>617</v>
      </c>
      <c r="E1501" s="114">
        <v>4</v>
      </c>
      <c r="F1501" s="23">
        <f>VLOOKUP(B1501,'BASE DE DATOS'!$A$5:$E$997,5,FALSE)</f>
        <v>19</v>
      </c>
      <c r="G1501" s="104">
        <v>0</v>
      </c>
      <c r="H1501" s="252">
        <f>IF(G1501&gt;0,(G1501*F1501*E1501),(F1501*E1501))</f>
        <v>76</v>
      </c>
    </row>
    <row r="1502" spans="1:9" ht="14.25" x14ac:dyDescent="0.2">
      <c r="A1502" s="939"/>
      <c r="B1502" s="241" t="s">
        <v>1291</v>
      </c>
      <c r="C1502" s="3" t="s">
        <v>648</v>
      </c>
      <c r="D1502" s="2" t="s">
        <v>285</v>
      </c>
      <c r="E1502" s="114">
        <v>2.4E-2</v>
      </c>
      <c r="F1502" s="23">
        <f>VLOOKUP(B1502,'BASE DE DATOS'!$A$5:$E$997,5,FALSE)</f>
        <v>71990</v>
      </c>
      <c r="G1502" s="104">
        <v>1.05</v>
      </c>
      <c r="H1502" s="252">
        <f>IF(G1502&gt;0,(G1502*F1502*E1502),(F1502*E1502))</f>
        <v>1814.1480000000001</v>
      </c>
    </row>
    <row r="1503" spans="1:9" x14ac:dyDescent="0.2">
      <c r="A1503" s="939"/>
      <c r="B1503" s="241" t="s">
        <v>1319</v>
      </c>
      <c r="C1503" s="3" t="s">
        <v>2569</v>
      </c>
      <c r="D1503" s="2" t="s">
        <v>616</v>
      </c>
      <c r="E1503" s="114">
        <v>2.5999999999999999E-2</v>
      </c>
      <c r="F1503" s="23">
        <f>VLOOKUP(B1503,'BASE DE DATOS'!$A$5:$E$997,5,FALSE)</f>
        <v>32900</v>
      </c>
      <c r="G1503" s="104">
        <v>1.05</v>
      </c>
      <c r="H1503" s="252">
        <f>IF(G1503&gt;0,(G1503*F1503*E1503),(F1503*E1503))</f>
        <v>898.17</v>
      </c>
    </row>
    <row r="1504" spans="1:9" ht="25.5" x14ac:dyDescent="0.2">
      <c r="A1504" s="939"/>
      <c r="B1504" s="241" t="s">
        <v>1265</v>
      </c>
      <c r="C1504" s="3" t="s">
        <v>3715</v>
      </c>
      <c r="D1504" s="2" t="s">
        <v>411</v>
      </c>
      <c r="E1504" s="114">
        <v>2.5</v>
      </c>
      <c r="F1504" s="23">
        <f>VLOOKUP(B1504,'BASE DE DATOS'!$A$5:$E$997,5,FALSE)</f>
        <v>11900</v>
      </c>
      <c r="G1504" s="104">
        <v>1.03</v>
      </c>
      <c r="H1504" s="252">
        <f t="shared" si="107"/>
        <v>30642.5</v>
      </c>
    </row>
    <row r="1505" spans="1:9" x14ac:dyDescent="0.2">
      <c r="A1505" s="234" t="s">
        <v>2555</v>
      </c>
      <c r="B1505" s="241" t="s">
        <v>607</v>
      </c>
      <c r="C1505" s="3" t="s">
        <v>608</v>
      </c>
      <c r="D1505" s="2" t="s">
        <v>585</v>
      </c>
      <c r="E1505" s="114">
        <v>1</v>
      </c>
      <c r="F1505" s="23">
        <f>VLOOKUP(B1505,'BASE DE DATOS'!$A$5:$E$997,5,FALSE)</f>
        <v>336981</v>
      </c>
      <c r="G1505" s="104">
        <f>1/25</f>
        <v>0.04</v>
      </c>
      <c r="H1505" s="252">
        <f t="shared" si="107"/>
        <v>13479.24</v>
      </c>
    </row>
    <row r="1506" spans="1:9" x14ac:dyDescent="0.2">
      <c r="A1506" s="944" t="s">
        <v>293</v>
      </c>
      <c r="B1506" s="241" t="s">
        <v>269</v>
      </c>
      <c r="C1506" s="218" t="s">
        <v>284</v>
      </c>
      <c r="D1506" s="219" t="s">
        <v>586</v>
      </c>
      <c r="E1506" s="114">
        <v>0.1</v>
      </c>
      <c r="F1506" s="220">
        <f>H1505</f>
        <v>13479.24</v>
      </c>
      <c r="G1506" s="187">
        <v>0</v>
      </c>
      <c r="H1506" s="252">
        <f>IF(G1506&gt;0,(G1506*F1506*E1506),(F1506*E1506))</f>
        <v>1347.924</v>
      </c>
    </row>
    <row r="1507" spans="1:9" ht="13.5" thickBot="1" x14ac:dyDescent="0.25">
      <c r="A1507" s="945"/>
      <c r="B1507" s="528" t="s">
        <v>621</v>
      </c>
      <c r="C1507" s="88" t="s">
        <v>360</v>
      </c>
      <c r="D1507" s="89" t="s">
        <v>585</v>
      </c>
      <c r="E1507" s="193">
        <v>1</v>
      </c>
      <c r="F1507" s="90">
        <f>VLOOKUP(B1507,'BASE DE DATOS'!$A$5:$E$997,5,FALSE)</f>
        <v>71400</v>
      </c>
      <c r="G1507" s="153">
        <v>1.2999999999999999E-2</v>
      </c>
      <c r="H1507" s="252">
        <f t="shared" si="107"/>
        <v>928.19999999999993</v>
      </c>
    </row>
    <row r="1508" spans="1:9" ht="16.5" thickBot="1" x14ac:dyDescent="0.25">
      <c r="A1508" s="941" t="s">
        <v>3301</v>
      </c>
      <c r="B1508" s="942"/>
      <c r="C1508" s="942"/>
      <c r="D1508" s="942"/>
      <c r="E1508" s="942"/>
      <c r="F1508" s="942"/>
      <c r="G1508" s="942"/>
      <c r="H1508" s="943"/>
    </row>
    <row r="1509" spans="1:9" ht="16.5" thickBot="1" x14ac:dyDescent="0.25">
      <c r="A1509" s="941" t="s">
        <v>3483</v>
      </c>
      <c r="B1509" s="942"/>
      <c r="C1509" s="942"/>
      <c r="D1509" s="942"/>
      <c r="E1509" s="942"/>
      <c r="F1509" s="942"/>
      <c r="G1509" s="942"/>
      <c r="H1509" s="943"/>
    </row>
    <row r="1510" spans="1:9" s="42" customFormat="1" ht="30" x14ac:dyDescent="0.2">
      <c r="A1510" s="67" t="s">
        <v>2491</v>
      </c>
      <c r="B1510" s="529"/>
      <c r="C1510" s="388" t="s">
        <v>3611</v>
      </c>
      <c r="D1510" s="389" t="s">
        <v>3251</v>
      </c>
      <c r="E1510" s="390"/>
      <c r="F1510" s="391">
        <f>ROUND(SUM(H1510:H1516),0)</f>
        <v>49385</v>
      </c>
      <c r="G1510" s="392"/>
      <c r="H1510" s="393"/>
      <c r="I1510" s="738"/>
    </row>
    <row r="1511" spans="1:9" x14ac:dyDescent="0.2">
      <c r="A1511" s="936" t="s">
        <v>382</v>
      </c>
      <c r="B1511" s="241" t="s">
        <v>1303</v>
      </c>
      <c r="C1511" s="44" t="s">
        <v>2608</v>
      </c>
      <c r="D1511" s="2" t="s">
        <v>406</v>
      </c>
      <c r="E1511" s="114">
        <v>0.35</v>
      </c>
      <c r="F1511" s="23">
        <f>VLOOKUP(B1511,'BASE DE DATOS'!$A$5:$E$997,5,FALSE)</f>
        <v>6700</v>
      </c>
      <c r="G1511" s="104">
        <v>1.05</v>
      </c>
      <c r="H1511" s="252">
        <f>IF(G1511&gt;0,(G1511*F1511*E1511),(F1511*E1511))</f>
        <v>2462.25</v>
      </c>
    </row>
    <row r="1512" spans="1:9" x14ac:dyDescent="0.2">
      <c r="A1512" s="936"/>
      <c r="B1512" s="241" t="s">
        <v>1319</v>
      </c>
      <c r="C1512" s="3" t="s">
        <v>2569</v>
      </c>
      <c r="D1512" s="2" t="s">
        <v>616</v>
      </c>
      <c r="E1512" s="114">
        <v>0.15</v>
      </c>
      <c r="F1512" s="23">
        <f>VLOOKUP(B1512,'BASE DE DATOS'!$A$5:$E$997,5,FALSE)</f>
        <v>32900</v>
      </c>
      <c r="G1512" s="104">
        <v>1.05</v>
      </c>
      <c r="H1512" s="252">
        <f t="shared" ref="H1512:H1516" si="108">IF(G1512&gt;0,(G1512*F1512*E1512),(F1512*E1512))</f>
        <v>5181.75</v>
      </c>
    </row>
    <row r="1513" spans="1:9" x14ac:dyDescent="0.2">
      <c r="A1513" s="936"/>
      <c r="B1513" s="241" t="s">
        <v>1392</v>
      </c>
      <c r="C1513" s="3" t="s">
        <v>2892</v>
      </c>
      <c r="D1513" s="2" t="s">
        <v>406</v>
      </c>
      <c r="E1513" s="114">
        <v>4</v>
      </c>
      <c r="F1513" s="23">
        <f>VLOOKUP(B1513,'BASE DE DATOS'!$A$5:$E$997,5,FALSE)</f>
        <v>2852.9500000000003</v>
      </c>
      <c r="G1513" s="104">
        <v>1.05</v>
      </c>
      <c r="H1513" s="252">
        <f>IF(G1513&gt;0,(G1513*F1513*E1513),(F1513*E1513))</f>
        <v>11982.390000000001</v>
      </c>
    </row>
    <row r="1514" spans="1:9" ht="14.25" x14ac:dyDescent="0.2">
      <c r="A1514" s="936"/>
      <c r="B1514" s="241" t="s">
        <v>1578</v>
      </c>
      <c r="C1514" s="3" t="s">
        <v>177</v>
      </c>
      <c r="D1514" s="2" t="s">
        <v>288</v>
      </c>
      <c r="E1514" s="114">
        <v>1</v>
      </c>
      <c r="F1514" s="23">
        <f>VLOOKUP(B1514,'BASE DE DATOS'!$A$5:$E$997,5,FALSE)</f>
        <v>10500</v>
      </c>
      <c r="G1514" s="104">
        <v>1.1000000000000001</v>
      </c>
      <c r="H1514" s="252">
        <f t="shared" si="108"/>
        <v>11550.000000000002</v>
      </c>
    </row>
    <row r="1515" spans="1:9" s="33" customFormat="1" x14ac:dyDescent="0.2">
      <c r="A1515" s="81" t="s">
        <v>2555</v>
      </c>
      <c r="B1515" s="241" t="s">
        <v>644</v>
      </c>
      <c r="C1515" s="3" t="s">
        <v>645</v>
      </c>
      <c r="D1515" s="2" t="s">
        <v>585</v>
      </c>
      <c r="E1515" s="114">
        <v>1</v>
      </c>
      <c r="F1515" s="23">
        <f>VLOOKUP(B1515,'BASE DE DATOS'!$A$5:$E$997,5,FALSE)</f>
        <v>248302</v>
      </c>
      <c r="G1515" s="104">
        <f>1/15</f>
        <v>6.6666666666666666E-2</v>
      </c>
      <c r="H1515" s="252">
        <f t="shared" si="108"/>
        <v>16553.466666666667</v>
      </c>
    </row>
    <row r="1516" spans="1:9" ht="13.5" thickBot="1" x14ac:dyDescent="0.25">
      <c r="A1516" s="94" t="s">
        <v>293</v>
      </c>
      <c r="B1516" s="528" t="s">
        <v>269</v>
      </c>
      <c r="C1516" s="108" t="s">
        <v>284</v>
      </c>
      <c r="D1516" s="109" t="s">
        <v>586</v>
      </c>
      <c r="E1516" s="200">
        <v>0.1</v>
      </c>
      <c r="F1516" s="110">
        <f>H1515</f>
        <v>16553.466666666667</v>
      </c>
      <c r="G1516" s="156">
        <v>0</v>
      </c>
      <c r="H1516" s="252">
        <f t="shared" si="108"/>
        <v>1655.3466666666668</v>
      </c>
    </row>
    <row r="1517" spans="1:9" s="42" customFormat="1" ht="30" x14ac:dyDescent="0.2">
      <c r="A1517" s="48" t="s">
        <v>2492</v>
      </c>
      <c r="B1517" s="527"/>
      <c r="C1517" s="418" t="s">
        <v>3612</v>
      </c>
      <c r="D1517" s="419" t="s">
        <v>3251</v>
      </c>
      <c r="E1517" s="456"/>
      <c r="F1517" s="421">
        <f>ROUND(SUM(H1517:H1522),0)</f>
        <v>73199</v>
      </c>
      <c r="G1517" s="422"/>
      <c r="H1517" s="457"/>
      <c r="I1517" s="738"/>
    </row>
    <row r="1518" spans="1:9" x14ac:dyDescent="0.2">
      <c r="A1518" s="936" t="s">
        <v>382</v>
      </c>
      <c r="B1518" s="241" t="s">
        <v>1303</v>
      </c>
      <c r="C1518" s="44" t="s">
        <v>2608</v>
      </c>
      <c r="D1518" s="2" t="s">
        <v>406</v>
      </c>
      <c r="E1518" s="114">
        <v>0.5</v>
      </c>
      <c r="F1518" s="23">
        <f>VLOOKUP(B1518,'BASE DE DATOS'!$A$5:$E$997,5,FALSE)</f>
        <v>6700</v>
      </c>
      <c r="G1518" s="104">
        <v>1.05</v>
      </c>
      <c r="H1518" s="252">
        <f>IF(G1518&gt;0,(G1518*F1518*E1518),(F1518*E1518))</f>
        <v>3517.5</v>
      </c>
    </row>
    <row r="1519" spans="1:9" x14ac:dyDescent="0.2">
      <c r="A1519" s="936"/>
      <c r="B1519" s="241" t="s">
        <v>1392</v>
      </c>
      <c r="C1519" s="3" t="s">
        <v>2892</v>
      </c>
      <c r="D1519" s="2" t="s">
        <v>406</v>
      </c>
      <c r="E1519" s="114">
        <v>4</v>
      </c>
      <c r="F1519" s="23">
        <f>VLOOKUP(B1519,'BASE DE DATOS'!$A$5:$E$997,5,FALSE)</f>
        <v>2852.9500000000003</v>
      </c>
      <c r="G1519" s="104">
        <v>1.05</v>
      </c>
      <c r="H1519" s="252">
        <f>IF(G1519&gt;0,(G1519*F1519*E1519),(F1519*E1519))</f>
        <v>11982.390000000001</v>
      </c>
    </row>
    <row r="1520" spans="1:9" ht="14.25" x14ac:dyDescent="0.2">
      <c r="A1520" s="936"/>
      <c r="B1520" s="241" t="s">
        <v>1575</v>
      </c>
      <c r="C1520" s="3" t="s">
        <v>3872</v>
      </c>
      <c r="D1520" s="2" t="s">
        <v>288</v>
      </c>
      <c r="E1520" s="114">
        <v>1</v>
      </c>
      <c r="F1520" s="23">
        <f>VLOOKUP(B1520,'BASE DE DATOS'!$A$5:$E$997,5,FALSE)</f>
        <v>35900</v>
      </c>
      <c r="G1520" s="104">
        <v>1.1000000000000001</v>
      </c>
      <c r="H1520" s="252">
        <f t="shared" ref="H1520:H1522" si="109">IF(G1520&gt;0,(G1520*F1520*E1520),(F1520*E1520))</f>
        <v>39490</v>
      </c>
    </row>
    <row r="1521" spans="1:9" x14ac:dyDescent="0.2">
      <c r="A1521" s="81" t="s">
        <v>2555</v>
      </c>
      <c r="B1521" s="241" t="s">
        <v>644</v>
      </c>
      <c r="C1521" s="3" t="s">
        <v>645</v>
      </c>
      <c r="D1521" s="2" t="s">
        <v>585</v>
      </c>
      <c r="E1521" s="114">
        <v>1</v>
      </c>
      <c r="F1521" s="23">
        <f>VLOOKUP(B1521,'BASE DE DATOS'!$A$5:$E$997,5,FALSE)</f>
        <v>248302</v>
      </c>
      <c r="G1521" s="104">
        <f>1/15</f>
        <v>6.6666666666666666E-2</v>
      </c>
      <c r="H1521" s="252">
        <f t="shared" si="109"/>
        <v>16553.466666666667</v>
      </c>
    </row>
    <row r="1522" spans="1:9" ht="13.5" thickBot="1" x14ac:dyDescent="0.25">
      <c r="A1522" s="94" t="s">
        <v>293</v>
      </c>
      <c r="B1522" s="528" t="s">
        <v>269</v>
      </c>
      <c r="C1522" s="108" t="s">
        <v>284</v>
      </c>
      <c r="D1522" s="109" t="s">
        <v>586</v>
      </c>
      <c r="E1522" s="200">
        <v>0.1</v>
      </c>
      <c r="F1522" s="110">
        <f>H1521</f>
        <v>16553.466666666667</v>
      </c>
      <c r="G1522" s="156">
        <v>0</v>
      </c>
      <c r="H1522" s="479">
        <f t="shared" si="109"/>
        <v>1655.3466666666668</v>
      </c>
    </row>
    <row r="1523" spans="1:9" s="42" customFormat="1" ht="30" x14ac:dyDescent="0.2">
      <c r="A1523" s="67" t="s">
        <v>2493</v>
      </c>
      <c r="B1523" s="529"/>
      <c r="C1523" s="388" t="s">
        <v>3913</v>
      </c>
      <c r="D1523" s="389" t="s">
        <v>3251</v>
      </c>
      <c r="E1523" s="390"/>
      <c r="F1523" s="391">
        <f>ROUND(SUM(H1523:H1529),0)</f>
        <v>98621</v>
      </c>
      <c r="G1523" s="392"/>
      <c r="H1523" s="393"/>
      <c r="I1523" s="738"/>
    </row>
    <row r="1524" spans="1:9" x14ac:dyDescent="0.2">
      <c r="A1524" s="936" t="s">
        <v>382</v>
      </c>
      <c r="B1524" s="241" t="s">
        <v>1303</v>
      </c>
      <c r="C1524" s="44" t="s">
        <v>2608</v>
      </c>
      <c r="D1524" s="2" t="s">
        <v>406</v>
      </c>
      <c r="E1524" s="114">
        <v>1</v>
      </c>
      <c r="F1524" s="23">
        <f>VLOOKUP(B1524,'BASE DE DATOS'!$A$5:$E$997,5,FALSE)</f>
        <v>6700</v>
      </c>
      <c r="G1524" s="104">
        <v>1.05</v>
      </c>
      <c r="H1524" s="252">
        <f>IF(G1524&gt;0,(G1524*F1524*E1524),(F1524*E1524))</f>
        <v>7035</v>
      </c>
    </row>
    <row r="1525" spans="1:9" s="33" customFormat="1" x14ac:dyDescent="0.2">
      <c r="A1525" s="936"/>
      <c r="B1525" s="241" t="s">
        <v>1319</v>
      </c>
      <c r="C1525" s="3" t="s">
        <v>2569</v>
      </c>
      <c r="D1525" s="2" t="s">
        <v>616</v>
      </c>
      <c r="E1525" s="114">
        <v>0.15</v>
      </c>
      <c r="F1525" s="23">
        <f>VLOOKUP(B1525,'BASE DE DATOS'!$A$5:$E$997,5,FALSE)</f>
        <v>32900</v>
      </c>
      <c r="G1525" s="104">
        <v>1.05</v>
      </c>
      <c r="H1525" s="252">
        <f t="shared" ref="H1525:H1529" si="110">IF(G1525&gt;0,(G1525*F1525*E1525),(F1525*E1525))</f>
        <v>5181.75</v>
      </c>
    </row>
    <row r="1526" spans="1:9" ht="14.25" x14ac:dyDescent="0.2">
      <c r="A1526" s="936"/>
      <c r="B1526" s="241" t="s">
        <v>1575</v>
      </c>
      <c r="C1526" s="3" t="s">
        <v>3872</v>
      </c>
      <c r="D1526" s="2" t="s">
        <v>288</v>
      </c>
      <c r="E1526" s="114">
        <v>1</v>
      </c>
      <c r="F1526" s="23">
        <f>VLOOKUP(B1526,'BASE DE DATOS'!$A$5:$E$997,5,FALSE)</f>
        <v>35900</v>
      </c>
      <c r="G1526" s="104">
        <v>1.1000000000000001</v>
      </c>
      <c r="H1526" s="252">
        <f t="shared" si="110"/>
        <v>39490</v>
      </c>
    </row>
    <row r="1527" spans="1:9" ht="14.25" x14ac:dyDescent="0.2">
      <c r="A1527" s="64" t="s">
        <v>3252</v>
      </c>
      <c r="B1527" s="241" t="s">
        <v>810</v>
      </c>
      <c r="C1527" s="3" t="s">
        <v>2097</v>
      </c>
      <c r="D1527" s="2" t="s">
        <v>285</v>
      </c>
      <c r="E1527" s="114">
        <v>0.03</v>
      </c>
      <c r="F1527" s="23">
        <f>F90</f>
        <v>525897</v>
      </c>
      <c r="G1527" s="104">
        <v>1.05</v>
      </c>
      <c r="H1527" s="252">
        <f t="shared" si="110"/>
        <v>16565.755499999999</v>
      </c>
    </row>
    <row r="1528" spans="1:9" x14ac:dyDescent="0.2">
      <c r="A1528" s="81" t="s">
        <v>2555</v>
      </c>
      <c r="B1528" s="241" t="s">
        <v>644</v>
      </c>
      <c r="C1528" s="3" t="s">
        <v>645</v>
      </c>
      <c r="D1528" s="2" t="s">
        <v>585</v>
      </c>
      <c r="E1528" s="114">
        <v>1</v>
      </c>
      <c r="F1528" s="23">
        <f>VLOOKUP(B1528,'BASE DE DATOS'!$A$5:$E$997,5,FALSE)</f>
        <v>248302</v>
      </c>
      <c r="G1528" s="104">
        <f>1/9</f>
        <v>0.1111111111111111</v>
      </c>
      <c r="H1528" s="252">
        <f t="shared" si="110"/>
        <v>27589.111111111109</v>
      </c>
    </row>
    <row r="1529" spans="1:9" ht="13.5" thickBot="1" x14ac:dyDescent="0.25">
      <c r="A1529" s="94" t="s">
        <v>293</v>
      </c>
      <c r="B1529" s="528" t="s">
        <v>269</v>
      </c>
      <c r="C1529" s="108" t="s">
        <v>284</v>
      </c>
      <c r="D1529" s="109" t="s">
        <v>586</v>
      </c>
      <c r="E1529" s="200">
        <v>0.1</v>
      </c>
      <c r="F1529" s="110">
        <f>H1528</f>
        <v>27589.111111111109</v>
      </c>
      <c r="G1529" s="156">
        <v>0</v>
      </c>
      <c r="H1529" s="252">
        <f t="shared" si="110"/>
        <v>2758.911111111111</v>
      </c>
    </row>
    <row r="1530" spans="1:9" ht="16.5" thickBot="1" x14ac:dyDescent="0.25">
      <c r="A1530" s="941" t="s">
        <v>3482</v>
      </c>
      <c r="B1530" s="942"/>
      <c r="C1530" s="942"/>
      <c r="D1530" s="942"/>
      <c r="E1530" s="942"/>
      <c r="F1530" s="942"/>
      <c r="G1530" s="942"/>
      <c r="H1530" s="943"/>
    </row>
    <row r="1531" spans="1:9" s="42" customFormat="1" ht="60" x14ac:dyDescent="0.2">
      <c r="A1531" s="67" t="s">
        <v>2494</v>
      </c>
      <c r="B1531" s="529"/>
      <c r="C1531" s="388" t="s">
        <v>3613</v>
      </c>
      <c r="D1531" s="389" t="s">
        <v>3251</v>
      </c>
      <c r="E1531" s="395"/>
      <c r="F1531" s="391">
        <f>ROUND(SUM(H1531:H1540),0)</f>
        <v>113905</v>
      </c>
      <c r="G1531" s="392"/>
      <c r="H1531" s="393"/>
      <c r="I1531" s="738"/>
    </row>
    <row r="1532" spans="1:9" x14ac:dyDescent="0.2">
      <c r="A1532" s="939" t="s">
        <v>295</v>
      </c>
      <c r="B1532" s="241" t="s">
        <v>1303</v>
      </c>
      <c r="C1532" s="44" t="s">
        <v>2608</v>
      </c>
      <c r="D1532" s="2" t="s">
        <v>406</v>
      </c>
      <c r="E1532" s="114">
        <v>0.35</v>
      </c>
      <c r="F1532" s="23">
        <f>VLOOKUP(B1532,'BASE DE DATOS'!$A$5:$E$997,5,FALSE)</f>
        <v>6700</v>
      </c>
      <c r="G1532" s="104">
        <v>1.05</v>
      </c>
      <c r="H1532" s="252">
        <f>IF(G1532&gt;0,(G1532*F1532*E1532),(F1532*E1532))</f>
        <v>2462.25</v>
      </c>
    </row>
    <row r="1533" spans="1:9" x14ac:dyDescent="0.2">
      <c r="A1533" s="939"/>
      <c r="B1533" s="241" t="s">
        <v>1318</v>
      </c>
      <c r="C1533" s="3" t="s">
        <v>677</v>
      </c>
      <c r="D1533" s="2" t="s">
        <v>406</v>
      </c>
      <c r="E1533" s="114">
        <v>2</v>
      </c>
      <c r="F1533" s="23">
        <f>VLOOKUP(B1533,'BASE DE DATOS'!$A$5:$E$997,5,FALSE)</f>
        <v>1675</v>
      </c>
      <c r="G1533" s="104">
        <v>1.05</v>
      </c>
      <c r="H1533" s="252">
        <f t="shared" ref="H1533:H1540" si="111">IF(G1533&gt;0,(G1533*F1533*E1533),(F1533*E1533))</f>
        <v>3517.5</v>
      </c>
    </row>
    <row r="1534" spans="1:9" x14ac:dyDescent="0.2">
      <c r="A1534" s="939"/>
      <c r="B1534" s="241" t="s">
        <v>1321</v>
      </c>
      <c r="C1534" s="3" t="s">
        <v>2707</v>
      </c>
      <c r="D1534" s="2" t="s">
        <v>590</v>
      </c>
      <c r="E1534" s="114">
        <v>0.04</v>
      </c>
      <c r="F1534" s="23">
        <f>VLOOKUP(B1534,'BASE DE DATOS'!$A$5:$E$997,5,FALSE)</f>
        <v>3190</v>
      </c>
      <c r="G1534" s="104">
        <v>0</v>
      </c>
      <c r="H1534" s="252">
        <f t="shared" si="111"/>
        <v>127.60000000000001</v>
      </c>
    </row>
    <row r="1535" spans="1:9" s="33" customFormat="1" x14ac:dyDescent="0.2">
      <c r="A1535" s="939"/>
      <c r="B1535" s="241" t="s">
        <v>1384</v>
      </c>
      <c r="C1535" s="44" t="s">
        <v>164</v>
      </c>
      <c r="D1535" s="2" t="s">
        <v>406</v>
      </c>
      <c r="E1535" s="114">
        <v>0.1</v>
      </c>
      <c r="F1535" s="23">
        <f>VLOOKUP(B1535,'BASE DE DATOS'!$A$5:$E$997,5,FALSE)</f>
        <v>22500</v>
      </c>
      <c r="G1535" s="104">
        <v>0</v>
      </c>
      <c r="H1535" s="252">
        <f>IF(G1535&gt;0,(G1535*F1535*E1535),(F1535*E1535))</f>
        <v>2250</v>
      </c>
    </row>
    <row r="1536" spans="1:9" x14ac:dyDescent="0.2">
      <c r="A1536" s="939"/>
      <c r="B1536" s="244" t="s">
        <v>1392</v>
      </c>
      <c r="C1536" s="20" t="s">
        <v>2892</v>
      </c>
      <c r="D1536" s="19" t="s">
        <v>406</v>
      </c>
      <c r="E1536" s="194">
        <v>4</v>
      </c>
      <c r="F1536" s="23">
        <f>VLOOKUP(B1536,'BASE DE DATOS'!$A$5:$E$997,5,FALSE)</f>
        <v>2852.9500000000003</v>
      </c>
      <c r="G1536" s="58">
        <v>1.05</v>
      </c>
      <c r="H1536" s="252">
        <f>IF(G1536&gt;0,(G1536*F1536*E1536),(F1536*E1536))</f>
        <v>11982.390000000001</v>
      </c>
    </row>
    <row r="1537" spans="1:9" ht="25.5" x14ac:dyDescent="0.2">
      <c r="A1537" s="939"/>
      <c r="B1537" s="241" t="s">
        <v>1765</v>
      </c>
      <c r="C1537" s="3" t="s">
        <v>2681</v>
      </c>
      <c r="D1537" s="2" t="s">
        <v>288</v>
      </c>
      <c r="E1537" s="114">
        <v>1</v>
      </c>
      <c r="F1537" s="23">
        <f>VLOOKUP(B1537,'BASE DE DATOS'!$A$5:$E$997,5,FALSE)</f>
        <v>64871</v>
      </c>
      <c r="G1537" s="104">
        <v>1.1000000000000001</v>
      </c>
      <c r="H1537" s="252">
        <f t="shared" si="111"/>
        <v>71358.100000000006</v>
      </c>
    </row>
    <row r="1538" spans="1:9" x14ac:dyDescent="0.2">
      <c r="A1538" s="81" t="s">
        <v>2555</v>
      </c>
      <c r="B1538" s="244" t="s">
        <v>644</v>
      </c>
      <c r="C1538" s="20" t="s">
        <v>645</v>
      </c>
      <c r="D1538" s="19" t="s">
        <v>585</v>
      </c>
      <c r="E1538" s="194">
        <v>1</v>
      </c>
      <c r="F1538" s="23">
        <f>VLOOKUP(B1538,'BASE DE DATOS'!$A$5:$E$997,5,FALSE)</f>
        <v>248302</v>
      </c>
      <c r="G1538" s="58">
        <f>1/15</f>
        <v>6.6666666666666666E-2</v>
      </c>
      <c r="H1538" s="252">
        <f t="shared" si="111"/>
        <v>16553.466666666667</v>
      </c>
    </row>
    <row r="1539" spans="1:9" x14ac:dyDescent="0.2">
      <c r="A1539" s="944" t="s">
        <v>293</v>
      </c>
      <c r="B1539" s="244" t="s">
        <v>269</v>
      </c>
      <c r="C1539" s="20" t="s">
        <v>284</v>
      </c>
      <c r="D1539" s="19" t="s">
        <v>586</v>
      </c>
      <c r="E1539" s="194">
        <v>0.1</v>
      </c>
      <c r="F1539" s="56">
        <f>H1538</f>
        <v>16553.466666666667</v>
      </c>
      <c r="G1539" s="58">
        <v>0</v>
      </c>
      <c r="H1539" s="252">
        <f t="shared" si="111"/>
        <v>1655.3466666666668</v>
      </c>
    </row>
    <row r="1540" spans="1:9" ht="13.5" thickBot="1" x14ac:dyDescent="0.25">
      <c r="A1540" s="945"/>
      <c r="B1540" s="528" t="s">
        <v>169</v>
      </c>
      <c r="C1540" s="108" t="s">
        <v>170</v>
      </c>
      <c r="D1540" s="109" t="s">
        <v>585</v>
      </c>
      <c r="E1540" s="200">
        <v>1</v>
      </c>
      <c r="F1540" s="110">
        <f>VLOOKUP(B1540,'BASE DE DATOS'!$A$5:$E$997,5,FALSE)</f>
        <v>39984</v>
      </c>
      <c r="G1540" s="156">
        <f>1/10</f>
        <v>0.1</v>
      </c>
      <c r="H1540" s="479">
        <f t="shared" si="111"/>
        <v>3998.4</v>
      </c>
    </row>
    <row r="1541" spans="1:9" s="42" customFormat="1" ht="30" x14ac:dyDescent="0.2">
      <c r="A1541" s="67" t="s">
        <v>2495</v>
      </c>
      <c r="B1541" s="529"/>
      <c r="C1541" s="388" t="s">
        <v>3832</v>
      </c>
      <c r="D1541" s="389" t="s">
        <v>3251</v>
      </c>
      <c r="E1541" s="390"/>
      <c r="F1541" s="391">
        <f>ROUND(SUM(H1541:H1549),0)</f>
        <v>125735</v>
      </c>
      <c r="G1541" s="392"/>
      <c r="H1541" s="393"/>
      <c r="I1541" s="738"/>
    </row>
    <row r="1542" spans="1:9" x14ac:dyDescent="0.2">
      <c r="A1542" s="939" t="s">
        <v>295</v>
      </c>
      <c r="B1542" s="241" t="s">
        <v>1303</v>
      </c>
      <c r="C1542" s="44" t="s">
        <v>2608</v>
      </c>
      <c r="D1542" s="2" t="s">
        <v>406</v>
      </c>
      <c r="E1542" s="114">
        <v>0.35</v>
      </c>
      <c r="F1542" s="23">
        <f>VLOOKUP(B1542,'BASE DE DATOS'!$A$5:$E$997,5,FALSE)</f>
        <v>6700</v>
      </c>
      <c r="G1542" s="104">
        <v>1.05</v>
      </c>
      <c r="H1542" s="252">
        <f>IF(G1542&gt;0,(G1542*F1542*E1542),(F1542*E1542))</f>
        <v>2462.25</v>
      </c>
    </row>
    <row r="1543" spans="1:9" x14ac:dyDescent="0.2">
      <c r="A1543" s="939"/>
      <c r="B1543" s="241" t="s">
        <v>1318</v>
      </c>
      <c r="C1543" s="3" t="s">
        <v>677</v>
      </c>
      <c r="D1543" s="2" t="s">
        <v>406</v>
      </c>
      <c r="E1543" s="114">
        <v>2</v>
      </c>
      <c r="F1543" s="23">
        <f>VLOOKUP(B1543,'BASE DE DATOS'!$A$5:$E$997,5,FALSE)</f>
        <v>1675</v>
      </c>
      <c r="G1543" s="104">
        <v>1.05</v>
      </c>
      <c r="H1543" s="252">
        <f t="shared" ref="H1543:H1549" si="112">IF(G1543&gt;0,(G1543*F1543*E1543),(F1543*E1543))</f>
        <v>3517.5</v>
      </c>
    </row>
    <row r="1544" spans="1:9" x14ac:dyDescent="0.2">
      <c r="A1544" s="939"/>
      <c r="B1544" s="241" t="s">
        <v>1321</v>
      </c>
      <c r="C1544" s="3" t="s">
        <v>2707</v>
      </c>
      <c r="D1544" s="2" t="s">
        <v>590</v>
      </c>
      <c r="E1544" s="114">
        <v>0.04</v>
      </c>
      <c r="F1544" s="23">
        <f>VLOOKUP(B1544,'BASE DE DATOS'!$A$5:$E$997,5,FALSE)</f>
        <v>3190</v>
      </c>
      <c r="G1544" s="104">
        <v>0</v>
      </c>
      <c r="H1544" s="252">
        <f t="shared" si="112"/>
        <v>127.60000000000001</v>
      </c>
    </row>
    <row r="1545" spans="1:9" s="33" customFormat="1" x14ac:dyDescent="0.2">
      <c r="A1545" s="939"/>
      <c r="B1545" s="241" t="s">
        <v>1384</v>
      </c>
      <c r="C1545" s="44" t="s">
        <v>164</v>
      </c>
      <c r="D1545" s="2" t="s">
        <v>406</v>
      </c>
      <c r="E1545" s="114">
        <v>0.1</v>
      </c>
      <c r="F1545" s="23">
        <f>VLOOKUP(B1545,'BASE DE DATOS'!$A$5:$E$997,5,FALSE)</f>
        <v>22500</v>
      </c>
      <c r="G1545" s="104">
        <v>0</v>
      </c>
      <c r="H1545" s="252">
        <f t="shared" si="112"/>
        <v>2250</v>
      </c>
    </row>
    <row r="1546" spans="1:9" x14ac:dyDescent="0.2">
      <c r="A1546" s="939"/>
      <c r="B1546" s="241" t="s">
        <v>1392</v>
      </c>
      <c r="C1546" s="3" t="s">
        <v>2892</v>
      </c>
      <c r="D1546" s="2" t="s">
        <v>406</v>
      </c>
      <c r="E1546" s="114">
        <v>4</v>
      </c>
      <c r="F1546" s="23">
        <f>VLOOKUP(B1546,'BASE DE DATOS'!$A$5:$E$997,5,FALSE)</f>
        <v>2852.9500000000003</v>
      </c>
      <c r="G1546" s="104">
        <v>1.05</v>
      </c>
      <c r="H1546" s="252">
        <f>IF(G1546&gt;0,(G1546*F1546*E1546),(F1546*E1546))</f>
        <v>11982.390000000001</v>
      </c>
    </row>
    <row r="1547" spans="1:9" ht="14.25" x14ac:dyDescent="0.2">
      <c r="A1547" s="939"/>
      <c r="B1547" s="241" t="s">
        <v>2739</v>
      </c>
      <c r="C1547" s="3" t="s">
        <v>3914</v>
      </c>
      <c r="D1547" s="2" t="s">
        <v>288</v>
      </c>
      <c r="E1547" s="114">
        <v>1</v>
      </c>
      <c r="F1547" s="23">
        <f>VLOOKUP(B1547,'BASE DE DATOS'!$A$5:$E$997,5,FALSE)</f>
        <v>79260</v>
      </c>
      <c r="G1547" s="104">
        <v>1.1000000000000001</v>
      </c>
      <c r="H1547" s="252">
        <f t="shared" si="112"/>
        <v>87186</v>
      </c>
    </row>
    <row r="1548" spans="1:9" x14ac:dyDescent="0.2">
      <c r="A1548" s="81" t="s">
        <v>2555</v>
      </c>
      <c r="B1548" s="241" t="s">
        <v>644</v>
      </c>
      <c r="C1548" s="3" t="s">
        <v>645</v>
      </c>
      <c r="D1548" s="2" t="s">
        <v>585</v>
      </c>
      <c r="E1548" s="114">
        <v>1</v>
      </c>
      <c r="F1548" s="23">
        <f>VLOOKUP(B1548,'BASE DE DATOS'!$A$5:$E$997,5,FALSE)</f>
        <v>248302</v>
      </c>
      <c r="G1548" s="104">
        <f>1/15</f>
        <v>6.6666666666666666E-2</v>
      </c>
      <c r="H1548" s="252">
        <f t="shared" si="112"/>
        <v>16553.466666666667</v>
      </c>
    </row>
    <row r="1549" spans="1:9" ht="13.5" thickBot="1" x14ac:dyDescent="0.25">
      <c r="A1549" s="94" t="s">
        <v>293</v>
      </c>
      <c r="B1549" s="528" t="s">
        <v>269</v>
      </c>
      <c r="C1549" s="108" t="s">
        <v>284</v>
      </c>
      <c r="D1549" s="109" t="s">
        <v>586</v>
      </c>
      <c r="E1549" s="200">
        <v>0.1</v>
      </c>
      <c r="F1549" s="110">
        <f>H1548</f>
        <v>16553.466666666667</v>
      </c>
      <c r="G1549" s="156">
        <v>0</v>
      </c>
      <c r="H1549" s="479">
        <f t="shared" si="112"/>
        <v>1655.3466666666668</v>
      </c>
    </row>
    <row r="1550" spans="1:9" s="42" customFormat="1" ht="45" x14ac:dyDescent="0.2">
      <c r="A1550" s="67" t="s">
        <v>2496</v>
      </c>
      <c r="B1550" s="529"/>
      <c r="C1550" s="388" t="s">
        <v>3855</v>
      </c>
      <c r="D1550" s="389" t="s">
        <v>3251</v>
      </c>
      <c r="E1550" s="390"/>
      <c r="F1550" s="391">
        <f>ROUND(SUM(H1550:H1559),0)</f>
        <v>132057</v>
      </c>
      <c r="G1550" s="392"/>
      <c r="H1550" s="393"/>
      <c r="I1550" s="738"/>
    </row>
    <row r="1551" spans="1:9" s="33" customFormat="1" x14ac:dyDescent="0.2">
      <c r="A1551" s="939" t="s">
        <v>295</v>
      </c>
      <c r="B1551" s="241" t="s">
        <v>1303</v>
      </c>
      <c r="C1551" s="44" t="s">
        <v>2608</v>
      </c>
      <c r="D1551" s="2" t="s">
        <v>406</v>
      </c>
      <c r="E1551" s="114">
        <v>0.35</v>
      </c>
      <c r="F1551" s="23">
        <f>VLOOKUP(B1551,'BASE DE DATOS'!$A$5:$E$997,5,FALSE)</f>
        <v>6700</v>
      </c>
      <c r="G1551" s="104">
        <v>1.05</v>
      </c>
      <c r="H1551" s="252">
        <f>IF(G1551&gt;0,(G1551*F1551*E1551),(F1551*E1551))</f>
        <v>2462.25</v>
      </c>
    </row>
    <row r="1552" spans="1:9" x14ac:dyDescent="0.2">
      <c r="A1552" s="939"/>
      <c r="B1552" s="241" t="s">
        <v>1318</v>
      </c>
      <c r="C1552" s="3" t="s">
        <v>677</v>
      </c>
      <c r="D1552" s="2" t="s">
        <v>406</v>
      </c>
      <c r="E1552" s="114">
        <v>2</v>
      </c>
      <c r="F1552" s="23">
        <f>VLOOKUP(B1552,'BASE DE DATOS'!$A$5:$E$997,5,FALSE)</f>
        <v>1675</v>
      </c>
      <c r="G1552" s="104">
        <v>1.05</v>
      </c>
      <c r="H1552" s="252">
        <f t="shared" ref="H1552:H1559" si="113">IF(G1552&gt;0,(G1552*F1552*E1552),(F1552*E1552))</f>
        <v>3517.5</v>
      </c>
    </row>
    <row r="1553" spans="1:9" x14ac:dyDescent="0.2">
      <c r="A1553" s="939"/>
      <c r="B1553" s="241" t="s">
        <v>1321</v>
      </c>
      <c r="C1553" s="3" t="s">
        <v>2707</v>
      </c>
      <c r="D1553" s="2" t="s">
        <v>590</v>
      </c>
      <c r="E1553" s="114">
        <v>0.04</v>
      </c>
      <c r="F1553" s="23">
        <f>VLOOKUP(B1553,'BASE DE DATOS'!$A$5:$E$997,5,FALSE)</f>
        <v>3190</v>
      </c>
      <c r="G1553" s="104">
        <v>0</v>
      </c>
      <c r="H1553" s="252">
        <f t="shared" si="113"/>
        <v>127.60000000000001</v>
      </c>
    </row>
    <row r="1554" spans="1:9" x14ac:dyDescent="0.2">
      <c r="A1554" s="939"/>
      <c r="B1554" s="241" t="s">
        <v>1372</v>
      </c>
      <c r="C1554" s="3" t="s">
        <v>3850</v>
      </c>
      <c r="D1554" s="2" t="s">
        <v>405</v>
      </c>
      <c r="E1554" s="114">
        <v>1.75</v>
      </c>
      <c r="F1554" s="23">
        <f>VLOOKUP(B1554,'BASE DE DATOS'!$A$5:$E$997,5,FALSE)</f>
        <v>3366</v>
      </c>
      <c r="G1554" s="104">
        <v>0</v>
      </c>
      <c r="H1554" s="252">
        <f t="shared" si="113"/>
        <v>5890.5</v>
      </c>
    </row>
    <row r="1555" spans="1:9" x14ac:dyDescent="0.2">
      <c r="A1555" s="939"/>
      <c r="B1555" s="241" t="s">
        <v>1392</v>
      </c>
      <c r="C1555" s="3" t="s">
        <v>2892</v>
      </c>
      <c r="D1555" s="2" t="s">
        <v>406</v>
      </c>
      <c r="E1555" s="114">
        <v>4</v>
      </c>
      <c r="F1555" s="23">
        <f>VLOOKUP(B1555,'BASE DE DATOS'!$A$5:$E$997,5,FALSE)</f>
        <v>2852.9500000000003</v>
      </c>
      <c r="G1555" s="104">
        <v>1.05</v>
      </c>
      <c r="H1555" s="252">
        <f>IF(G1555&gt;0,(G1555*F1555*E1555),(F1555*E1555))</f>
        <v>11982.390000000001</v>
      </c>
    </row>
    <row r="1556" spans="1:9" ht="14.25" x14ac:dyDescent="0.2">
      <c r="A1556" s="939"/>
      <c r="B1556" s="244" t="s">
        <v>1297</v>
      </c>
      <c r="C1556" s="20" t="s">
        <v>2682</v>
      </c>
      <c r="D1556" s="19" t="s">
        <v>288</v>
      </c>
      <c r="E1556" s="194">
        <v>1</v>
      </c>
      <c r="F1556" s="23">
        <f>VLOOKUP(B1556,'BASE DE DATOS'!$A$5:$E$997,5,FALSE)</f>
        <v>63579</v>
      </c>
      <c r="G1556" s="58">
        <v>1.1000000000000001</v>
      </c>
      <c r="H1556" s="252">
        <f t="shared" si="113"/>
        <v>69936.900000000009</v>
      </c>
    </row>
    <row r="1557" spans="1:9" x14ac:dyDescent="0.2">
      <c r="A1557" s="81" t="s">
        <v>2555</v>
      </c>
      <c r="B1557" s="241" t="s">
        <v>644</v>
      </c>
      <c r="C1557" s="3" t="s">
        <v>645</v>
      </c>
      <c r="D1557" s="2" t="s">
        <v>585</v>
      </c>
      <c r="E1557" s="114">
        <v>1</v>
      </c>
      <c r="F1557" s="23">
        <f>VLOOKUP(B1557,'BASE DE DATOS'!$A$5:$E$997,5,FALSE)</f>
        <v>248302</v>
      </c>
      <c r="G1557" s="104">
        <f>1/8</f>
        <v>0.125</v>
      </c>
      <c r="H1557" s="252">
        <f t="shared" si="113"/>
        <v>31037.75</v>
      </c>
    </row>
    <row r="1558" spans="1:9" x14ac:dyDescent="0.2">
      <c r="A1558" s="944" t="s">
        <v>293</v>
      </c>
      <c r="B1558" s="241" t="s">
        <v>269</v>
      </c>
      <c r="C1558" s="3" t="s">
        <v>284</v>
      </c>
      <c r="D1558" s="2" t="s">
        <v>586</v>
      </c>
      <c r="E1558" s="114">
        <v>0.1</v>
      </c>
      <c r="F1558" s="23">
        <f>H1557</f>
        <v>31037.75</v>
      </c>
      <c r="G1558" s="104">
        <v>0</v>
      </c>
      <c r="H1558" s="252">
        <f t="shared" si="113"/>
        <v>3103.7750000000001</v>
      </c>
    </row>
    <row r="1559" spans="1:9" ht="13.5" thickBot="1" x14ac:dyDescent="0.25">
      <c r="A1559" s="945"/>
      <c r="B1559" s="528" t="s">
        <v>169</v>
      </c>
      <c r="C1559" s="108" t="s">
        <v>170</v>
      </c>
      <c r="D1559" s="109" t="s">
        <v>585</v>
      </c>
      <c r="E1559" s="200">
        <v>1</v>
      </c>
      <c r="F1559" s="110">
        <f>VLOOKUP(B1559,'BASE DE DATOS'!$A$5:$E$997,5,FALSE)</f>
        <v>39984</v>
      </c>
      <c r="G1559" s="156">
        <f>1/10</f>
        <v>0.1</v>
      </c>
      <c r="H1559" s="479">
        <f t="shared" si="113"/>
        <v>3998.4</v>
      </c>
    </row>
    <row r="1560" spans="1:9" s="42" customFormat="1" ht="30" x14ac:dyDescent="0.2">
      <c r="A1560" s="67" t="s">
        <v>2497</v>
      </c>
      <c r="B1560" s="529"/>
      <c r="C1560" s="388" t="s">
        <v>3827</v>
      </c>
      <c r="D1560" s="389" t="s">
        <v>3251</v>
      </c>
      <c r="E1560" s="390"/>
      <c r="F1560" s="391">
        <f>ROUND(SUM(H1560:H1568),0)</f>
        <v>142690</v>
      </c>
      <c r="G1560" s="392"/>
      <c r="H1560" s="393"/>
      <c r="I1560" s="738"/>
    </row>
    <row r="1561" spans="1:9" x14ac:dyDescent="0.2">
      <c r="A1561" s="939" t="s">
        <v>295</v>
      </c>
      <c r="B1561" s="241" t="s">
        <v>1303</v>
      </c>
      <c r="C1561" s="44" t="s">
        <v>2608</v>
      </c>
      <c r="D1561" s="2" t="s">
        <v>406</v>
      </c>
      <c r="E1561" s="114">
        <v>0.35</v>
      </c>
      <c r="F1561" s="23">
        <f>VLOOKUP(B1561,'BASE DE DATOS'!$A$5:$E$997,5,FALSE)</f>
        <v>6700</v>
      </c>
      <c r="G1561" s="104">
        <v>1.05</v>
      </c>
      <c r="H1561" s="252">
        <f>IF(G1561&gt;0,(G1561*F1561*E1561),(F1561*E1561))</f>
        <v>2462.25</v>
      </c>
    </row>
    <row r="1562" spans="1:9" x14ac:dyDescent="0.2">
      <c r="A1562" s="939"/>
      <c r="B1562" s="241" t="s">
        <v>1318</v>
      </c>
      <c r="C1562" s="3" t="s">
        <v>677</v>
      </c>
      <c r="D1562" s="2" t="s">
        <v>406</v>
      </c>
      <c r="E1562" s="114">
        <v>2</v>
      </c>
      <c r="F1562" s="23">
        <f>VLOOKUP(B1562,'BASE DE DATOS'!$A$5:$E$997,5,FALSE)</f>
        <v>1675</v>
      </c>
      <c r="G1562" s="104">
        <v>1.05</v>
      </c>
      <c r="H1562" s="252">
        <f t="shared" ref="H1562:H1568" si="114">IF(G1562&gt;0,(G1562*F1562*E1562),(F1562*E1562))</f>
        <v>3517.5</v>
      </c>
    </row>
    <row r="1563" spans="1:9" x14ac:dyDescent="0.2">
      <c r="A1563" s="939"/>
      <c r="B1563" s="241" t="s">
        <v>1321</v>
      </c>
      <c r="C1563" s="3" t="s">
        <v>2707</v>
      </c>
      <c r="D1563" s="2" t="s">
        <v>590</v>
      </c>
      <c r="E1563" s="114">
        <v>0.04</v>
      </c>
      <c r="F1563" s="23">
        <f>VLOOKUP(B1563,'BASE DE DATOS'!$A$5:$E$997,5,FALSE)</f>
        <v>3190</v>
      </c>
      <c r="G1563" s="104">
        <v>0</v>
      </c>
      <c r="H1563" s="252">
        <f t="shared" si="114"/>
        <v>127.60000000000001</v>
      </c>
    </row>
    <row r="1564" spans="1:9" ht="14.25" x14ac:dyDescent="0.2">
      <c r="A1564" s="939"/>
      <c r="B1564" s="241" t="s">
        <v>1329</v>
      </c>
      <c r="C1564" s="3" t="s">
        <v>3828</v>
      </c>
      <c r="D1564" s="2" t="s">
        <v>288</v>
      </c>
      <c r="E1564" s="114">
        <v>1</v>
      </c>
      <c r="F1564" s="23">
        <f>VLOOKUP(B1564,'BASE DE DATOS'!$A$5:$E$997,5,FALSE)</f>
        <v>78600</v>
      </c>
      <c r="G1564" s="104">
        <v>1.1000000000000001</v>
      </c>
      <c r="H1564" s="252">
        <f t="shared" si="114"/>
        <v>86460</v>
      </c>
    </row>
    <row r="1565" spans="1:9" s="33" customFormat="1" x14ac:dyDescent="0.2">
      <c r="A1565" s="939"/>
      <c r="B1565" s="241" t="s">
        <v>1392</v>
      </c>
      <c r="C1565" s="3" t="s">
        <v>2892</v>
      </c>
      <c r="D1565" s="2" t="s">
        <v>406</v>
      </c>
      <c r="E1565" s="114">
        <v>4</v>
      </c>
      <c r="F1565" s="23">
        <f>VLOOKUP(B1565,'BASE DE DATOS'!$A$5:$E$997,5,FALSE)</f>
        <v>2852.9500000000003</v>
      </c>
      <c r="G1565" s="104">
        <v>1.05</v>
      </c>
      <c r="H1565" s="252">
        <f t="shared" si="114"/>
        <v>11982.390000000001</v>
      </c>
    </row>
    <row r="1566" spans="1:9" x14ac:dyDescent="0.2">
      <c r="A1566" s="81" t="s">
        <v>2555</v>
      </c>
      <c r="B1566" s="241" t="s">
        <v>644</v>
      </c>
      <c r="C1566" s="3" t="s">
        <v>645</v>
      </c>
      <c r="D1566" s="2" t="s">
        <v>585</v>
      </c>
      <c r="E1566" s="114">
        <v>1</v>
      </c>
      <c r="F1566" s="23">
        <f>VLOOKUP(B1566,'BASE DE DATOS'!$A$5:$E$997,5,FALSE)</f>
        <v>248302</v>
      </c>
      <c r="G1566" s="104">
        <f>1/8</f>
        <v>0.125</v>
      </c>
      <c r="H1566" s="252">
        <f t="shared" si="114"/>
        <v>31037.75</v>
      </c>
    </row>
    <row r="1567" spans="1:9" x14ac:dyDescent="0.2">
      <c r="A1567" s="944" t="s">
        <v>293</v>
      </c>
      <c r="B1567" s="241" t="s">
        <v>269</v>
      </c>
      <c r="C1567" s="3" t="s">
        <v>284</v>
      </c>
      <c r="D1567" s="2" t="s">
        <v>586</v>
      </c>
      <c r="E1567" s="114">
        <v>0.1</v>
      </c>
      <c r="F1567" s="23">
        <f>H1566</f>
        <v>31037.75</v>
      </c>
      <c r="G1567" s="104">
        <v>0</v>
      </c>
      <c r="H1567" s="252">
        <f t="shared" si="114"/>
        <v>3103.7750000000001</v>
      </c>
    </row>
    <row r="1568" spans="1:9" ht="13.5" thickBot="1" x14ac:dyDescent="0.25">
      <c r="A1568" s="945"/>
      <c r="B1568" s="528" t="s">
        <v>169</v>
      </c>
      <c r="C1568" s="108" t="s">
        <v>170</v>
      </c>
      <c r="D1568" s="109" t="s">
        <v>585</v>
      </c>
      <c r="E1568" s="200">
        <v>1</v>
      </c>
      <c r="F1568" s="110">
        <f>VLOOKUP(B1568,'BASE DE DATOS'!$A$5:$E$997,5,FALSE)</f>
        <v>39984</v>
      </c>
      <c r="G1568" s="156">
        <f>1/10</f>
        <v>0.1</v>
      </c>
      <c r="H1568" s="252">
        <f t="shared" si="114"/>
        <v>3998.4</v>
      </c>
    </row>
    <row r="1569" spans="1:9" ht="16.5" thickBot="1" x14ac:dyDescent="0.25">
      <c r="A1569" s="941" t="s">
        <v>3481</v>
      </c>
      <c r="B1569" s="942"/>
      <c r="C1569" s="942"/>
      <c r="D1569" s="942"/>
      <c r="E1569" s="942"/>
      <c r="F1569" s="942"/>
      <c r="G1569" s="942"/>
      <c r="H1569" s="943"/>
    </row>
    <row r="1570" spans="1:9" s="42" customFormat="1" ht="30" x14ac:dyDescent="0.2">
      <c r="A1570" s="67" t="s">
        <v>2498</v>
      </c>
      <c r="B1570" s="529"/>
      <c r="C1570" s="388" t="s">
        <v>3614</v>
      </c>
      <c r="D1570" s="389" t="s">
        <v>3251</v>
      </c>
      <c r="E1570" s="390"/>
      <c r="F1570" s="391">
        <f>ROUND(SUM(H1570:H1578),0)</f>
        <v>91493</v>
      </c>
      <c r="G1570" s="392"/>
      <c r="H1570" s="393"/>
      <c r="I1570" s="738"/>
    </row>
    <row r="1571" spans="1:9" x14ac:dyDescent="0.2">
      <c r="A1571" s="939" t="s">
        <v>295</v>
      </c>
      <c r="B1571" s="241" t="s">
        <v>1303</v>
      </c>
      <c r="C1571" s="44" t="s">
        <v>2608</v>
      </c>
      <c r="D1571" s="2" t="s">
        <v>406</v>
      </c>
      <c r="E1571" s="114">
        <v>0.3</v>
      </c>
      <c r="F1571" s="23">
        <f>VLOOKUP(B1571,'BASE DE DATOS'!$A$5:$E$997,5,FALSE)</f>
        <v>6700</v>
      </c>
      <c r="G1571" s="104">
        <v>1.05</v>
      </c>
      <c r="H1571" s="252">
        <f>IF(G1571&gt;0,(G1571*F1571*E1571),(F1571*E1571))</f>
        <v>2110.5</v>
      </c>
    </row>
    <row r="1572" spans="1:9" x14ac:dyDescent="0.2">
      <c r="A1572" s="939"/>
      <c r="B1572" s="241" t="s">
        <v>1318</v>
      </c>
      <c r="C1572" s="3" t="s">
        <v>677</v>
      </c>
      <c r="D1572" s="2" t="s">
        <v>406</v>
      </c>
      <c r="E1572" s="114">
        <v>2</v>
      </c>
      <c r="F1572" s="23">
        <f>VLOOKUP(B1572,'BASE DE DATOS'!$A$5:$E$997,5,FALSE)</f>
        <v>1675</v>
      </c>
      <c r="G1572" s="104">
        <v>1.05</v>
      </c>
      <c r="H1572" s="252">
        <f t="shared" ref="H1572:H1578" si="115">IF(G1572&gt;0,(G1572*F1572*E1572),(F1572*E1572))</f>
        <v>3517.5</v>
      </c>
    </row>
    <row r="1573" spans="1:9" x14ac:dyDescent="0.2">
      <c r="A1573" s="939"/>
      <c r="B1573" s="241" t="s">
        <v>1321</v>
      </c>
      <c r="C1573" s="3" t="s">
        <v>2707</v>
      </c>
      <c r="D1573" s="2" t="s">
        <v>590</v>
      </c>
      <c r="E1573" s="114">
        <v>0.04</v>
      </c>
      <c r="F1573" s="23">
        <f>VLOOKUP(B1573,'BASE DE DATOS'!$A$5:$E$997,5,FALSE)</f>
        <v>3190</v>
      </c>
      <c r="G1573" s="104">
        <v>0</v>
      </c>
      <c r="H1573" s="252">
        <f t="shared" si="115"/>
        <v>127.60000000000001</v>
      </c>
    </row>
    <row r="1574" spans="1:9" s="33" customFormat="1" ht="14.25" x14ac:dyDescent="0.2">
      <c r="A1574" s="939"/>
      <c r="B1574" s="241" t="s">
        <v>1328</v>
      </c>
      <c r="C1574" s="3" t="s">
        <v>2048</v>
      </c>
      <c r="D1574" s="2" t="s">
        <v>288</v>
      </c>
      <c r="E1574" s="114">
        <v>1</v>
      </c>
      <c r="F1574" s="23">
        <f>VLOOKUP(B1574,'BASE DE DATOS'!$A$5:$E$997,5,FALSE)</f>
        <v>48451</v>
      </c>
      <c r="G1574" s="104">
        <v>1.1000000000000001</v>
      </c>
      <c r="H1574" s="252">
        <f t="shared" si="115"/>
        <v>53296.100000000006</v>
      </c>
    </row>
    <row r="1575" spans="1:9" x14ac:dyDescent="0.2">
      <c r="A1575" s="939"/>
      <c r="B1575" s="241" t="s">
        <v>1384</v>
      </c>
      <c r="C1575" s="44" t="s">
        <v>164</v>
      </c>
      <c r="D1575" s="2" t="s">
        <v>406</v>
      </c>
      <c r="E1575" s="114">
        <v>0.1</v>
      </c>
      <c r="F1575" s="23">
        <f>VLOOKUP(B1575,'BASE DE DATOS'!$A$5:$E$997,5,FALSE)</f>
        <v>22500</v>
      </c>
      <c r="G1575" s="104">
        <v>0</v>
      </c>
      <c r="H1575" s="252">
        <f t="shared" si="115"/>
        <v>2250</v>
      </c>
    </row>
    <row r="1576" spans="1:9" x14ac:dyDescent="0.2">
      <c r="A1576" s="939"/>
      <c r="B1576" s="241" t="s">
        <v>1392</v>
      </c>
      <c r="C1576" s="3" t="s">
        <v>2892</v>
      </c>
      <c r="D1576" s="2" t="s">
        <v>406</v>
      </c>
      <c r="E1576" s="114">
        <v>4</v>
      </c>
      <c r="F1576" s="23">
        <f>VLOOKUP(B1576,'BASE DE DATOS'!$A$5:$E$997,5,FALSE)</f>
        <v>2852.9500000000003</v>
      </c>
      <c r="G1576" s="104">
        <v>1.05</v>
      </c>
      <c r="H1576" s="252">
        <f t="shared" si="115"/>
        <v>11982.390000000001</v>
      </c>
    </row>
    <row r="1577" spans="1:9" x14ac:dyDescent="0.2">
      <c r="A1577" s="81" t="s">
        <v>2555</v>
      </c>
      <c r="B1577" s="241" t="s">
        <v>644</v>
      </c>
      <c r="C1577" s="3" t="s">
        <v>645</v>
      </c>
      <c r="D1577" s="2" t="s">
        <v>585</v>
      </c>
      <c r="E1577" s="114">
        <v>1</v>
      </c>
      <c r="F1577" s="23">
        <f>VLOOKUP(B1577,'BASE DE DATOS'!$A$5:$E$997,5,FALSE)</f>
        <v>248302</v>
      </c>
      <c r="G1577" s="104">
        <f>1/15</f>
        <v>6.6666666666666666E-2</v>
      </c>
      <c r="H1577" s="252">
        <f t="shared" si="115"/>
        <v>16553.466666666667</v>
      </c>
    </row>
    <row r="1578" spans="1:9" ht="13.5" thickBot="1" x14ac:dyDescent="0.25">
      <c r="A1578" s="130" t="s">
        <v>293</v>
      </c>
      <c r="B1578" s="528" t="s">
        <v>269</v>
      </c>
      <c r="C1578" s="108" t="s">
        <v>284</v>
      </c>
      <c r="D1578" s="109" t="s">
        <v>586</v>
      </c>
      <c r="E1578" s="200">
        <v>0.1</v>
      </c>
      <c r="F1578" s="110">
        <f>H1577</f>
        <v>16553.466666666667</v>
      </c>
      <c r="G1578" s="156">
        <v>0</v>
      </c>
      <c r="H1578" s="479">
        <f t="shared" si="115"/>
        <v>1655.3466666666668</v>
      </c>
    </row>
    <row r="1579" spans="1:9" s="42" customFormat="1" ht="30" x14ac:dyDescent="0.2">
      <c r="A1579" s="67" t="s">
        <v>2499</v>
      </c>
      <c r="B1579" s="529"/>
      <c r="C1579" s="388" t="s">
        <v>3615</v>
      </c>
      <c r="D1579" s="389" t="s">
        <v>3251</v>
      </c>
      <c r="E1579" s="390"/>
      <c r="F1579" s="391">
        <f>ROUND(SUM(H1579:H1585),0)</f>
        <v>76102</v>
      </c>
      <c r="G1579" s="392"/>
      <c r="H1579" s="393"/>
      <c r="I1579" s="738"/>
    </row>
    <row r="1580" spans="1:9" x14ac:dyDescent="0.2">
      <c r="A1580" s="939" t="s">
        <v>295</v>
      </c>
      <c r="B1580" s="241" t="s">
        <v>1303</v>
      </c>
      <c r="C1580" s="44" t="s">
        <v>2608</v>
      </c>
      <c r="D1580" s="2" t="s">
        <v>406</v>
      </c>
      <c r="E1580" s="114">
        <v>0.35</v>
      </c>
      <c r="F1580" s="23">
        <f>VLOOKUP(B1580,'BASE DE DATOS'!$A$5:$E$997,5,FALSE)</f>
        <v>6700</v>
      </c>
      <c r="G1580" s="104">
        <v>1.05</v>
      </c>
      <c r="H1580" s="252">
        <f>IF(G1580&gt;0,(G1580*F1580*E1580),(F1580*E1580))</f>
        <v>2462.25</v>
      </c>
    </row>
    <row r="1581" spans="1:9" x14ac:dyDescent="0.2">
      <c r="A1581" s="939"/>
      <c r="B1581" s="241" t="s">
        <v>1318</v>
      </c>
      <c r="C1581" s="3" t="s">
        <v>677</v>
      </c>
      <c r="D1581" s="2" t="s">
        <v>406</v>
      </c>
      <c r="E1581" s="114">
        <v>1</v>
      </c>
      <c r="F1581" s="23">
        <f>VLOOKUP(B1581,'BASE DE DATOS'!$A$5:$E$997,5,FALSE)</f>
        <v>1675</v>
      </c>
      <c r="G1581" s="104">
        <v>1.05</v>
      </c>
      <c r="H1581" s="252">
        <f t="shared" ref="H1581:H1585" si="116">IF(G1581&gt;0,(G1581*F1581*E1581),(F1581*E1581))</f>
        <v>1758.75</v>
      </c>
    </row>
    <row r="1582" spans="1:9" x14ac:dyDescent="0.2">
      <c r="A1582" s="939"/>
      <c r="B1582" s="241" t="s">
        <v>1392</v>
      </c>
      <c r="C1582" s="3" t="s">
        <v>2892</v>
      </c>
      <c r="D1582" s="2" t="s">
        <v>406</v>
      </c>
      <c r="E1582" s="114">
        <v>4</v>
      </c>
      <c r="F1582" s="23">
        <f>VLOOKUP(B1582,'BASE DE DATOS'!$A$5:$E$997,5,FALSE)</f>
        <v>2852.9500000000003</v>
      </c>
      <c r="G1582" s="104">
        <v>1.05</v>
      </c>
      <c r="H1582" s="252">
        <f>IF(G1582&gt;0,(G1582*F1582*E1582),(F1582*E1582))</f>
        <v>11982.390000000001</v>
      </c>
    </row>
    <row r="1583" spans="1:9" s="33" customFormat="1" ht="25.5" x14ac:dyDescent="0.2">
      <c r="A1583" s="939"/>
      <c r="B1583" s="241" t="s">
        <v>1536</v>
      </c>
      <c r="C1583" s="3" t="s">
        <v>2685</v>
      </c>
      <c r="D1583" s="2" t="s">
        <v>288</v>
      </c>
      <c r="E1583" s="114">
        <v>1</v>
      </c>
      <c r="F1583" s="23">
        <f>VLOOKUP(B1583,'BASE DE DATOS'!$A$5:$E$997,5,FALSE)</f>
        <v>37900</v>
      </c>
      <c r="G1583" s="104">
        <v>1.1000000000000001</v>
      </c>
      <c r="H1583" s="252">
        <f t="shared" si="116"/>
        <v>41690</v>
      </c>
    </row>
    <row r="1584" spans="1:9" x14ac:dyDescent="0.2">
      <c r="A1584" s="81" t="s">
        <v>2555</v>
      </c>
      <c r="B1584" s="241" t="s">
        <v>644</v>
      </c>
      <c r="C1584" s="3" t="s">
        <v>645</v>
      </c>
      <c r="D1584" s="2" t="s">
        <v>585</v>
      </c>
      <c r="E1584" s="114">
        <v>1</v>
      </c>
      <c r="F1584" s="23">
        <f>VLOOKUP(B1584,'BASE DE DATOS'!$A$5:$E$997,5,FALSE)</f>
        <v>248302</v>
      </c>
      <c r="G1584" s="104">
        <f>1/15</f>
        <v>6.6666666666666666E-2</v>
      </c>
      <c r="H1584" s="252">
        <f t="shared" si="116"/>
        <v>16553.466666666667</v>
      </c>
    </row>
    <row r="1585" spans="1:9" ht="13.5" thickBot="1" x14ac:dyDescent="0.25">
      <c r="A1585" s="94" t="s">
        <v>293</v>
      </c>
      <c r="B1585" s="528" t="s">
        <v>269</v>
      </c>
      <c r="C1585" s="108" t="s">
        <v>284</v>
      </c>
      <c r="D1585" s="109" t="s">
        <v>586</v>
      </c>
      <c r="E1585" s="200">
        <v>0.1</v>
      </c>
      <c r="F1585" s="110">
        <f>H1584</f>
        <v>16553.466666666667</v>
      </c>
      <c r="G1585" s="156">
        <v>0</v>
      </c>
      <c r="H1585" s="479">
        <f t="shared" si="116"/>
        <v>1655.3466666666668</v>
      </c>
    </row>
    <row r="1586" spans="1:9" s="42" customFormat="1" ht="30" x14ac:dyDescent="0.2">
      <c r="A1586" s="67" t="s">
        <v>2500</v>
      </c>
      <c r="B1586" s="529"/>
      <c r="C1586" s="388" t="s">
        <v>3616</v>
      </c>
      <c r="D1586" s="389" t="s">
        <v>3251</v>
      </c>
      <c r="E1586" s="395"/>
      <c r="F1586" s="391">
        <f>ROUND(SUM(H1586:H1592),0)</f>
        <v>80515</v>
      </c>
      <c r="G1586" s="392"/>
      <c r="H1586" s="393"/>
      <c r="I1586" s="738"/>
    </row>
    <row r="1587" spans="1:9" s="33" customFormat="1" x14ac:dyDescent="0.2">
      <c r="A1587" s="936" t="s">
        <v>382</v>
      </c>
      <c r="B1587" s="241" t="s">
        <v>1303</v>
      </c>
      <c r="C1587" s="44" t="s">
        <v>2608</v>
      </c>
      <c r="D1587" s="2" t="s">
        <v>406</v>
      </c>
      <c r="E1587" s="114">
        <v>0.35</v>
      </c>
      <c r="F1587" s="23">
        <f>VLOOKUP(B1587,'BASE DE DATOS'!$A$5:$E$997,5,FALSE)</f>
        <v>6700</v>
      </c>
      <c r="G1587" s="104">
        <v>1.05</v>
      </c>
      <c r="H1587" s="252">
        <f>IF(G1587&gt;0,(G1587*F1587*E1587),(F1587*E1587))</f>
        <v>2462.25</v>
      </c>
    </row>
    <row r="1588" spans="1:9" x14ac:dyDescent="0.2">
      <c r="A1588" s="936"/>
      <c r="B1588" s="241" t="s">
        <v>1318</v>
      </c>
      <c r="C1588" s="3" t="s">
        <v>677</v>
      </c>
      <c r="D1588" s="2" t="s">
        <v>406</v>
      </c>
      <c r="E1588" s="114">
        <v>2</v>
      </c>
      <c r="F1588" s="23">
        <f>VLOOKUP(B1588,'BASE DE DATOS'!$A$5:$E$997,5,FALSE)</f>
        <v>1675</v>
      </c>
      <c r="G1588" s="104">
        <v>1.05</v>
      </c>
      <c r="H1588" s="252">
        <f t="shared" ref="H1588:H1592" si="117">IF(G1588&gt;0,(G1588*F1588*E1588),(F1588*E1588))</f>
        <v>3517.5</v>
      </c>
    </row>
    <row r="1589" spans="1:9" x14ac:dyDescent="0.2">
      <c r="A1589" s="936"/>
      <c r="B1589" s="241" t="s">
        <v>1392</v>
      </c>
      <c r="C1589" s="3" t="s">
        <v>2892</v>
      </c>
      <c r="D1589" s="2" t="s">
        <v>406</v>
      </c>
      <c r="E1589" s="114">
        <v>4</v>
      </c>
      <c r="F1589" s="23">
        <f>VLOOKUP(B1589,'BASE DE DATOS'!$A$5:$E$997,5,FALSE)</f>
        <v>2852.9500000000003</v>
      </c>
      <c r="G1589" s="104">
        <v>1.05</v>
      </c>
      <c r="H1589" s="252">
        <f>IF(G1589&gt;0,(G1589*F1589*E1589),(F1589*E1589))</f>
        <v>11982.390000000001</v>
      </c>
    </row>
    <row r="1590" spans="1:9" ht="14.25" x14ac:dyDescent="0.2">
      <c r="A1590" s="936"/>
      <c r="B1590" s="241" t="s">
        <v>1533</v>
      </c>
      <c r="C1590" s="3" t="s">
        <v>678</v>
      </c>
      <c r="D1590" s="2" t="s">
        <v>288</v>
      </c>
      <c r="E1590" s="114">
        <v>1</v>
      </c>
      <c r="F1590" s="23">
        <f>VLOOKUP(B1590,'BASE DE DATOS'!$A$5:$E$997,5,FALSE)</f>
        <v>40313</v>
      </c>
      <c r="G1590" s="104">
        <v>1.1000000000000001</v>
      </c>
      <c r="H1590" s="252">
        <f t="shared" si="117"/>
        <v>44344.3</v>
      </c>
    </row>
    <row r="1591" spans="1:9" x14ac:dyDescent="0.2">
      <c r="A1591" s="81" t="s">
        <v>2555</v>
      </c>
      <c r="B1591" s="241" t="s">
        <v>644</v>
      </c>
      <c r="C1591" s="3" t="s">
        <v>645</v>
      </c>
      <c r="D1591" s="2" t="s">
        <v>585</v>
      </c>
      <c r="E1591" s="114">
        <v>1</v>
      </c>
      <c r="F1591" s="23">
        <f>VLOOKUP(B1591,'BASE DE DATOS'!$A$5:$E$997,5,FALSE)</f>
        <v>248302</v>
      </c>
      <c r="G1591" s="104">
        <f>1/15</f>
        <v>6.6666666666666666E-2</v>
      </c>
      <c r="H1591" s="252">
        <f t="shared" si="117"/>
        <v>16553.466666666667</v>
      </c>
    </row>
    <row r="1592" spans="1:9" ht="13.5" thickBot="1" x14ac:dyDescent="0.25">
      <c r="A1592" s="94" t="s">
        <v>293</v>
      </c>
      <c r="B1592" s="528" t="s">
        <v>269</v>
      </c>
      <c r="C1592" s="108" t="s">
        <v>284</v>
      </c>
      <c r="D1592" s="109" t="s">
        <v>586</v>
      </c>
      <c r="E1592" s="200">
        <v>0.1</v>
      </c>
      <c r="F1592" s="110">
        <f>H1591</f>
        <v>16553.466666666667</v>
      </c>
      <c r="G1592" s="156">
        <v>0</v>
      </c>
      <c r="H1592" s="479">
        <f t="shared" si="117"/>
        <v>1655.3466666666668</v>
      </c>
    </row>
    <row r="1593" spans="1:9" s="42" customFormat="1" ht="30" x14ac:dyDescent="0.2">
      <c r="A1593" s="67" t="s">
        <v>2501</v>
      </c>
      <c r="B1593" s="529"/>
      <c r="C1593" s="388" t="s">
        <v>3617</v>
      </c>
      <c r="D1593" s="389" t="s">
        <v>3251</v>
      </c>
      <c r="E1593" s="390"/>
      <c r="F1593" s="391">
        <f>ROUND(SUM(H1593:H1599),0)</f>
        <v>69127</v>
      </c>
      <c r="G1593" s="392"/>
      <c r="H1593" s="393"/>
      <c r="I1593" s="738"/>
    </row>
    <row r="1594" spans="1:9" x14ac:dyDescent="0.2">
      <c r="A1594" s="936" t="s">
        <v>382</v>
      </c>
      <c r="B1594" s="241" t="s">
        <v>1303</v>
      </c>
      <c r="C1594" s="44" t="s">
        <v>2608</v>
      </c>
      <c r="D1594" s="2" t="s">
        <v>406</v>
      </c>
      <c r="E1594" s="114">
        <v>0.25</v>
      </c>
      <c r="F1594" s="23">
        <f>VLOOKUP(B1594,'BASE DE DATOS'!$A$5:$E$997,5,FALSE)</f>
        <v>6700</v>
      </c>
      <c r="G1594" s="104">
        <v>1.05</v>
      </c>
      <c r="H1594" s="252">
        <f>IF(G1594&gt;0,(G1594*F1594*E1594),(F1594*E1594))</f>
        <v>1758.75</v>
      </c>
    </row>
    <row r="1595" spans="1:9" x14ac:dyDescent="0.2">
      <c r="A1595" s="936"/>
      <c r="B1595" s="241" t="s">
        <v>1318</v>
      </c>
      <c r="C1595" s="3" t="s">
        <v>677</v>
      </c>
      <c r="D1595" s="2" t="s">
        <v>406</v>
      </c>
      <c r="E1595" s="114">
        <v>2</v>
      </c>
      <c r="F1595" s="23">
        <f>VLOOKUP(B1595,'BASE DE DATOS'!$A$5:$E$997,5,FALSE)</f>
        <v>1675</v>
      </c>
      <c r="G1595" s="104">
        <v>1.05</v>
      </c>
      <c r="H1595" s="252">
        <f t="shared" ref="H1595:H1599" si="118">IF(G1595&gt;0,(G1595*F1595*E1595),(F1595*E1595))</f>
        <v>3517.5</v>
      </c>
    </row>
    <row r="1596" spans="1:9" ht="14.25" x14ac:dyDescent="0.2">
      <c r="A1596" s="936"/>
      <c r="B1596" s="241" t="s">
        <v>1326</v>
      </c>
      <c r="C1596" s="3" t="s">
        <v>3302</v>
      </c>
      <c r="D1596" s="2" t="s">
        <v>288</v>
      </c>
      <c r="E1596" s="114">
        <v>1</v>
      </c>
      <c r="F1596" s="23">
        <f>VLOOKUP(B1596,'BASE DE DATOS'!$A$5:$E$997,5,FALSE)</f>
        <v>30600</v>
      </c>
      <c r="G1596" s="104">
        <v>1.1000000000000001</v>
      </c>
      <c r="H1596" s="252">
        <f t="shared" si="118"/>
        <v>33660</v>
      </c>
    </row>
    <row r="1597" spans="1:9" x14ac:dyDescent="0.2">
      <c r="A1597" s="936"/>
      <c r="B1597" s="241" t="s">
        <v>1392</v>
      </c>
      <c r="C1597" s="3" t="s">
        <v>2892</v>
      </c>
      <c r="D1597" s="2" t="s">
        <v>406</v>
      </c>
      <c r="E1597" s="114">
        <v>4</v>
      </c>
      <c r="F1597" s="23">
        <f>VLOOKUP(B1597,'BASE DE DATOS'!$A$5:$E$997,5,FALSE)</f>
        <v>2852.9500000000003</v>
      </c>
      <c r="G1597" s="104">
        <v>1.05</v>
      </c>
      <c r="H1597" s="252">
        <f t="shared" si="118"/>
        <v>11982.390000000001</v>
      </c>
    </row>
    <row r="1598" spans="1:9" x14ac:dyDescent="0.2">
      <c r="A1598" s="483" t="s">
        <v>2555</v>
      </c>
      <c r="B1598" s="241" t="s">
        <v>644</v>
      </c>
      <c r="C1598" s="3" t="s">
        <v>645</v>
      </c>
      <c r="D1598" s="2" t="s">
        <v>585</v>
      </c>
      <c r="E1598" s="114">
        <v>1</v>
      </c>
      <c r="F1598" s="23">
        <f>VLOOKUP(B1598,'BASE DE DATOS'!$A$5:$E$997,5,FALSE)</f>
        <v>248302</v>
      </c>
      <c r="G1598" s="104">
        <f>1/15</f>
        <v>6.6666666666666666E-2</v>
      </c>
      <c r="H1598" s="252">
        <f t="shared" si="118"/>
        <v>16553.466666666667</v>
      </c>
    </row>
    <row r="1599" spans="1:9" ht="13.5" thickBot="1" x14ac:dyDescent="0.25">
      <c r="A1599" s="482" t="s">
        <v>293</v>
      </c>
      <c r="B1599" s="528" t="s">
        <v>269</v>
      </c>
      <c r="C1599" s="108" t="s">
        <v>284</v>
      </c>
      <c r="D1599" s="109" t="s">
        <v>586</v>
      </c>
      <c r="E1599" s="200">
        <v>0.1</v>
      </c>
      <c r="F1599" s="110">
        <f>H1598</f>
        <v>16553.466666666667</v>
      </c>
      <c r="G1599" s="156">
        <v>0</v>
      </c>
      <c r="H1599" s="479">
        <f t="shared" si="118"/>
        <v>1655.3466666666668</v>
      </c>
    </row>
    <row r="1600" spans="1:9" s="42" customFormat="1" ht="30" x14ac:dyDescent="0.2">
      <c r="A1600" s="67" t="s">
        <v>2502</v>
      </c>
      <c r="B1600" s="529"/>
      <c r="C1600" s="388" t="s">
        <v>3618</v>
      </c>
      <c r="D1600" s="389" t="s">
        <v>3251</v>
      </c>
      <c r="E1600" s="390"/>
      <c r="F1600" s="391">
        <f>ROUND(SUM(H1600:H1606),0)</f>
        <v>130111</v>
      </c>
      <c r="G1600" s="392"/>
      <c r="H1600" s="393"/>
      <c r="I1600" s="738"/>
    </row>
    <row r="1601" spans="1:9" x14ac:dyDescent="0.2">
      <c r="A1601" s="936" t="s">
        <v>382</v>
      </c>
      <c r="B1601" s="241" t="s">
        <v>1303</v>
      </c>
      <c r="C1601" s="44" t="s">
        <v>2608</v>
      </c>
      <c r="D1601" s="2" t="s">
        <v>406</v>
      </c>
      <c r="E1601" s="114">
        <v>0.35</v>
      </c>
      <c r="F1601" s="23">
        <f>VLOOKUP(B1601,'BASE DE DATOS'!$A$5:$E$997,5,FALSE)</f>
        <v>6700</v>
      </c>
      <c r="G1601" s="104">
        <v>1.05</v>
      </c>
      <c r="H1601" s="252">
        <f>IF(G1601&gt;0,(G1601*F1601*E1601),(F1601*E1601))</f>
        <v>2462.25</v>
      </c>
    </row>
    <row r="1602" spans="1:9" x14ac:dyDescent="0.2">
      <c r="A1602" s="936"/>
      <c r="B1602" s="241" t="s">
        <v>1318</v>
      </c>
      <c r="C1602" s="3" t="s">
        <v>677</v>
      </c>
      <c r="D1602" s="2" t="s">
        <v>406</v>
      </c>
      <c r="E1602" s="114">
        <v>1</v>
      </c>
      <c r="F1602" s="23">
        <f>VLOOKUP(B1602,'BASE DE DATOS'!$A$5:$E$997,5,FALSE)</f>
        <v>1675</v>
      </c>
      <c r="G1602" s="104">
        <v>1.05</v>
      </c>
      <c r="H1602" s="252">
        <f t="shared" ref="H1602:H1606" si="119">IF(G1602&gt;0,(G1602*F1602*E1602),(F1602*E1602))</f>
        <v>1758.75</v>
      </c>
    </row>
    <row r="1603" spans="1:9" x14ac:dyDescent="0.2">
      <c r="A1603" s="936"/>
      <c r="B1603" s="241" t="s">
        <v>1392</v>
      </c>
      <c r="C1603" s="3" t="s">
        <v>2892</v>
      </c>
      <c r="D1603" s="2" t="s">
        <v>406</v>
      </c>
      <c r="E1603" s="114">
        <v>4</v>
      </c>
      <c r="F1603" s="23">
        <f>VLOOKUP(B1603,'BASE DE DATOS'!$A$5:$E$997,5,FALSE)</f>
        <v>2852.9500000000003</v>
      </c>
      <c r="G1603" s="104">
        <v>1.05</v>
      </c>
      <c r="H1603" s="252">
        <f>IF(G1603&gt;0,(G1603*F1603*E1603),(F1603*E1603))</f>
        <v>11982.390000000001</v>
      </c>
    </row>
    <row r="1604" spans="1:9" s="33" customFormat="1" ht="14.25" x14ac:dyDescent="0.2">
      <c r="A1604" s="936"/>
      <c r="B1604" s="241" t="s">
        <v>1532</v>
      </c>
      <c r="C1604" s="3" t="s">
        <v>2683</v>
      </c>
      <c r="D1604" s="2" t="s">
        <v>288</v>
      </c>
      <c r="E1604" s="114">
        <v>1</v>
      </c>
      <c r="F1604" s="23">
        <f>VLOOKUP(B1604,'BASE DE DATOS'!$A$5:$E$997,5,FALSE)</f>
        <v>86999</v>
      </c>
      <c r="G1604" s="104">
        <v>1.1000000000000001</v>
      </c>
      <c r="H1604" s="252">
        <f t="shared" si="119"/>
        <v>95698.900000000009</v>
      </c>
    </row>
    <row r="1605" spans="1:9" x14ac:dyDescent="0.2">
      <c r="A1605" s="213" t="s">
        <v>2555</v>
      </c>
      <c r="B1605" s="241" t="s">
        <v>644</v>
      </c>
      <c r="C1605" s="3" t="s">
        <v>645</v>
      </c>
      <c r="D1605" s="2" t="s">
        <v>585</v>
      </c>
      <c r="E1605" s="114">
        <v>1</v>
      </c>
      <c r="F1605" s="23">
        <f>VLOOKUP(B1605,'BASE DE DATOS'!$A$5:$E$997,5,FALSE)</f>
        <v>248302</v>
      </c>
      <c r="G1605" s="104">
        <f>1/15</f>
        <v>6.6666666666666666E-2</v>
      </c>
      <c r="H1605" s="252">
        <f t="shared" si="119"/>
        <v>16553.466666666667</v>
      </c>
    </row>
    <row r="1606" spans="1:9" ht="13.5" thickBot="1" x14ac:dyDescent="0.25">
      <c r="A1606" s="212" t="s">
        <v>293</v>
      </c>
      <c r="B1606" s="528" t="s">
        <v>269</v>
      </c>
      <c r="C1606" s="108" t="s">
        <v>284</v>
      </c>
      <c r="D1606" s="109" t="s">
        <v>586</v>
      </c>
      <c r="E1606" s="200">
        <v>0.1</v>
      </c>
      <c r="F1606" s="110">
        <f>H1605</f>
        <v>16553.466666666667</v>
      </c>
      <c r="G1606" s="156">
        <v>0</v>
      </c>
      <c r="H1606" s="479">
        <f t="shared" si="119"/>
        <v>1655.3466666666668</v>
      </c>
    </row>
    <row r="1607" spans="1:9" s="42" customFormat="1" ht="30" x14ac:dyDescent="0.2">
      <c r="A1607" s="67" t="s">
        <v>2566</v>
      </c>
      <c r="B1607" s="529"/>
      <c r="C1607" s="388" t="s">
        <v>3619</v>
      </c>
      <c r="D1607" s="389" t="s">
        <v>3251</v>
      </c>
      <c r="E1607" s="395"/>
      <c r="F1607" s="391">
        <f>ROUND(SUM(H1607:H1612),0)</f>
        <v>68222</v>
      </c>
      <c r="G1607" s="392"/>
      <c r="H1607" s="393"/>
      <c r="I1607" s="738"/>
    </row>
    <row r="1608" spans="1:9" x14ac:dyDescent="0.2">
      <c r="A1608" s="936" t="s">
        <v>382</v>
      </c>
      <c r="B1608" s="241" t="s">
        <v>1303</v>
      </c>
      <c r="C1608" s="44" t="s">
        <v>2608</v>
      </c>
      <c r="D1608" s="2" t="s">
        <v>406</v>
      </c>
      <c r="E1608" s="114">
        <v>0.5</v>
      </c>
      <c r="F1608" s="23">
        <f>VLOOKUP(B1608,'BASE DE DATOS'!$A$5:$E$997,5,FALSE)</f>
        <v>6700</v>
      </c>
      <c r="G1608" s="104">
        <v>1.05</v>
      </c>
      <c r="H1608" s="252">
        <f>IF(G1608&gt;0,(G1608*F1608*E1608),(F1608*E1608))</f>
        <v>3517.5</v>
      </c>
    </row>
    <row r="1609" spans="1:9" x14ac:dyDescent="0.2">
      <c r="A1609" s="936"/>
      <c r="B1609" s="241" t="s">
        <v>1392</v>
      </c>
      <c r="C1609" s="3" t="s">
        <v>2892</v>
      </c>
      <c r="D1609" s="2" t="s">
        <v>406</v>
      </c>
      <c r="E1609" s="114">
        <v>4</v>
      </c>
      <c r="F1609" s="23">
        <f>VLOOKUP(B1609,'BASE DE DATOS'!$A$5:$E$997,5,FALSE)</f>
        <v>2852.9500000000003</v>
      </c>
      <c r="G1609" s="104">
        <v>1.05</v>
      </c>
      <c r="H1609" s="252">
        <f>IF(G1609&gt;0,(G1609*F1609*E1609),(F1609*E1609))</f>
        <v>11982.390000000001</v>
      </c>
    </row>
    <row r="1610" spans="1:9" ht="25.5" x14ac:dyDescent="0.2">
      <c r="A1610" s="936"/>
      <c r="B1610" s="241" t="s">
        <v>1534</v>
      </c>
      <c r="C1610" s="3" t="s">
        <v>2684</v>
      </c>
      <c r="D1610" s="2" t="s">
        <v>288</v>
      </c>
      <c r="E1610" s="114">
        <v>1</v>
      </c>
      <c r="F1610" s="23">
        <f>VLOOKUP(B1610,'BASE DE DATOS'!$A$5:$E$997,5,FALSE)</f>
        <v>31376</v>
      </c>
      <c r="G1610" s="104">
        <v>1.1000000000000001</v>
      </c>
      <c r="H1610" s="252">
        <f t="shared" ref="H1610:H1612" si="120">IF(G1610&gt;0,(G1610*F1610*E1610),(F1610*E1610))</f>
        <v>34513.600000000006</v>
      </c>
    </row>
    <row r="1611" spans="1:9" x14ac:dyDescent="0.2">
      <c r="A1611" s="81" t="s">
        <v>2555</v>
      </c>
      <c r="B1611" s="241" t="s">
        <v>644</v>
      </c>
      <c r="C1611" s="3" t="s">
        <v>645</v>
      </c>
      <c r="D1611" s="2" t="s">
        <v>585</v>
      </c>
      <c r="E1611" s="114">
        <v>1</v>
      </c>
      <c r="F1611" s="23">
        <f>VLOOKUP(B1611,'BASE DE DATOS'!$A$5:$E$997,5,FALSE)</f>
        <v>248302</v>
      </c>
      <c r="G1611" s="104">
        <f>1/15</f>
        <v>6.6666666666666666E-2</v>
      </c>
      <c r="H1611" s="252">
        <f t="shared" si="120"/>
        <v>16553.466666666667</v>
      </c>
    </row>
    <row r="1612" spans="1:9" ht="13.5" thickBot="1" x14ac:dyDescent="0.25">
      <c r="A1612" s="94" t="s">
        <v>293</v>
      </c>
      <c r="B1612" s="528" t="s">
        <v>269</v>
      </c>
      <c r="C1612" s="108" t="s">
        <v>284</v>
      </c>
      <c r="D1612" s="109" t="s">
        <v>586</v>
      </c>
      <c r="E1612" s="200">
        <v>0.1</v>
      </c>
      <c r="F1612" s="110">
        <f>H1611</f>
        <v>16553.466666666667</v>
      </c>
      <c r="G1612" s="156">
        <v>0</v>
      </c>
      <c r="H1612" s="252">
        <f t="shared" si="120"/>
        <v>1655.3466666666668</v>
      </c>
    </row>
    <row r="1613" spans="1:9" ht="16.5" thickBot="1" x14ac:dyDescent="0.25">
      <c r="A1613" s="941" t="s">
        <v>3480</v>
      </c>
      <c r="B1613" s="942"/>
      <c r="C1613" s="942"/>
      <c r="D1613" s="942"/>
      <c r="E1613" s="942"/>
      <c r="F1613" s="942"/>
      <c r="G1613" s="942"/>
      <c r="H1613" s="943"/>
    </row>
    <row r="1614" spans="1:9" s="42" customFormat="1" ht="30" x14ac:dyDescent="0.2">
      <c r="A1614" s="67" t="s">
        <v>2503</v>
      </c>
      <c r="B1614" s="529"/>
      <c r="C1614" s="388" t="s">
        <v>3620</v>
      </c>
      <c r="D1614" s="389" t="s">
        <v>3251</v>
      </c>
      <c r="E1614" s="390"/>
      <c r="F1614" s="391">
        <f>ROUND(SUM(H1614:H1620),0)</f>
        <v>80170</v>
      </c>
      <c r="G1614" s="392"/>
      <c r="H1614" s="393"/>
      <c r="I1614" s="738"/>
    </row>
    <row r="1615" spans="1:9" x14ac:dyDescent="0.2">
      <c r="A1615" s="936" t="s">
        <v>382</v>
      </c>
      <c r="B1615" s="241" t="s">
        <v>1303</v>
      </c>
      <c r="C1615" s="44" t="s">
        <v>2608</v>
      </c>
      <c r="D1615" s="2" t="s">
        <v>406</v>
      </c>
      <c r="E1615" s="114">
        <v>0.35</v>
      </c>
      <c r="F1615" s="23">
        <f>VLOOKUP(B1615,'BASE DE DATOS'!$A$5:$E$997,5,FALSE)</f>
        <v>6700</v>
      </c>
      <c r="G1615" s="104">
        <v>1.05</v>
      </c>
      <c r="H1615" s="252">
        <f>IF(G1615&gt;0,(G1615*F1615*E1615),(F1615*E1615))</f>
        <v>2462.25</v>
      </c>
    </row>
    <row r="1616" spans="1:9" x14ac:dyDescent="0.2">
      <c r="A1616" s="936"/>
      <c r="B1616" s="241" t="s">
        <v>1318</v>
      </c>
      <c r="C1616" s="3" t="s">
        <v>677</v>
      </c>
      <c r="D1616" s="2" t="s">
        <v>406</v>
      </c>
      <c r="E1616" s="114">
        <v>2</v>
      </c>
      <c r="F1616" s="23">
        <f>VLOOKUP(B1616,'BASE DE DATOS'!$A$5:$E$997,5,FALSE)</f>
        <v>1675</v>
      </c>
      <c r="G1616" s="104">
        <v>1.05</v>
      </c>
      <c r="H1616" s="252">
        <f t="shared" ref="H1616:H1620" si="121">IF(G1616&gt;0,(G1616*F1616*E1616),(F1616*E1616))</f>
        <v>3517.5</v>
      </c>
    </row>
    <row r="1617" spans="1:9" ht="14.25" x14ac:dyDescent="0.2">
      <c r="A1617" s="936"/>
      <c r="B1617" s="241" t="s">
        <v>1327</v>
      </c>
      <c r="C1617" s="3" t="s">
        <v>3823</v>
      </c>
      <c r="D1617" s="2" t="s">
        <v>288</v>
      </c>
      <c r="E1617" s="114">
        <v>1</v>
      </c>
      <c r="F1617" s="23">
        <f>VLOOKUP(B1617,'BASE DE DATOS'!$A$5:$E$997,5,FALSE)</f>
        <v>39999</v>
      </c>
      <c r="G1617" s="104">
        <v>1.1000000000000001</v>
      </c>
      <c r="H1617" s="252">
        <f t="shared" si="121"/>
        <v>43998.9</v>
      </c>
    </row>
    <row r="1618" spans="1:9" s="33" customFormat="1" x14ac:dyDescent="0.2">
      <c r="A1618" s="936"/>
      <c r="B1618" s="241" t="s">
        <v>1392</v>
      </c>
      <c r="C1618" s="3" t="s">
        <v>2892</v>
      </c>
      <c r="D1618" s="2" t="s">
        <v>406</v>
      </c>
      <c r="E1618" s="114">
        <v>4</v>
      </c>
      <c r="F1618" s="23">
        <f>VLOOKUP(B1618,'BASE DE DATOS'!$A$5:$E$997,5,FALSE)</f>
        <v>2852.9500000000003</v>
      </c>
      <c r="G1618" s="104">
        <v>1.05</v>
      </c>
      <c r="H1618" s="252">
        <f t="shared" si="121"/>
        <v>11982.390000000001</v>
      </c>
    </row>
    <row r="1619" spans="1:9" s="33" customFormat="1" x14ac:dyDescent="0.2">
      <c r="A1619" s="81" t="s">
        <v>2555</v>
      </c>
      <c r="B1619" s="241" t="s">
        <v>644</v>
      </c>
      <c r="C1619" s="3" t="s">
        <v>645</v>
      </c>
      <c r="D1619" s="2" t="s">
        <v>585</v>
      </c>
      <c r="E1619" s="114">
        <v>1</v>
      </c>
      <c r="F1619" s="23">
        <f>VLOOKUP(B1619,'BASE DE DATOS'!$A$5:$E$997,5,FALSE)</f>
        <v>248302</v>
      </c>
      <c r="G1619" s="104">
        <f>1/15</f>
        <v>6.6666666666666666E-2</v>
      </c>
      <c r="H1619" s="252">
        <f t="shared" si="121"/>
        <v>16553.466666666667</v>
      </c>
    </row>
    <row r="1620" spans="1:9" ht="13.5" thickBot="1" x14ac:dyDescent="0.25">
      <c r="A1620" s="94" t="s">
        <v>293</v>
      </c>
      <c r="B1620" s="528" t="s">
        <v>269</v>
      </c>
      <c r="C1620" s="108" t="s">
        <v>284</v>
      </c>
      <c r="D1620" s="109" t="s">
        <v>586</v>
      </c>
      <c r="E1620" s="200">
        <v>0.1</v>
      </c>
      <c r="F1620" s="110">
        <f>H1619</f>
        <v>16553.466666666667</v>
      </c>
      <c r="G1620" s="156">
        <v>0</v>
      </c>
      <c r="H1620" s="252">
        <f t="shared" si="121"/>
        <v>1655.3466666666668</v>
      </c>
    </row>
    <row r="1621" spans="1:9" ht="16.5" thickBot="1" x14ac:dyDescent="0.25">
      <c r="A1621" s="941" t="s">
        <v>3479</v>
      </c>
      <c r="B1621" s="942"/>
      <c r="C1621" s="942"/>
      <c r="D1621" s="942"/>
      <c r="E1621" s="942"/>
      <c r="F1621" s="942"/>
      <c r="G1621" s="942"/>
      <c r="H1621" s="943"/>
    </row>
    <row r="1622" spans="1:9" s="42" customFormat="1" ht="30" x14ac:dyDescent="0.2">
      <c r="A1622" s="67" t="s">
        <v>2504</v>
      </c>
      <c r="B1622" s="529"/>
      <c r="C1622" s="388" t="s">
        <v>3296</v>
      </c>
      <c r="D1622" s="389" t="s">
        <v>3251</v>
      </c>
      <c r="E1622" s="395"/>
      <c r="F1622" s="391">
        <f>ROUND(SUM(H1622:H1631),0)</f>
        <v>142603</v>
      </c>
      <c r="G1622" s="392"/>
      <c r="H1622" s="393"/>
      <c r="I1622" s="738"/>
    </row>
    <row r="1623" spans="1:9" x14ac:dyDescent="0.2">
      <c r="A1623" s="939" t="s">
        <v>295</v>
      </c>
      <c r="B1623" s="241" t="s">
        <v>1279</v>
      </c>
      <c r="C1623" s="3" t="s">
        <v>358</v>
      </c>
      <c r="D1623" s="2" t="s">
        <v>617</v>
      </c>
      <c r="E1623" s="196">
        <v>35</v>
      </c>
      <c r="F1623" s="23">
        <f>VLOOKUP(B1623,'BASE DE DATOS'!$A$5:$E$997,5,FALSE)</f>
        <v>19</v>
      </c>
      <c r="G1623" s="104">
        <v>0</v>
      </c>
      <c r="H1623" s="252">
        <f>IF(G1623&gt;0,(G1623*F1623*E1623),(F1623*E1623))</f>
        <v>665</v>
      </c>
    </row>
    <row r="1624" spans="1:9" x14ac:dyDescent="0.2">
      <c r="A1624" s="939"/>
      <c r="B1624" s="241" t="s">
        <v>1318</v>
      </c>
      <c r="C1624" s="3" t="s">
        <v>677</v>
      </c>
      <c r="D1624" s="2" t="s">
        <v>406</v>
      </c>
      <c r="E1624" s="196">
        <v>20</v>
      </c>
      <c r="F1624" s="23">
        <f>VLOOKUP(B1624,'BASE DE DATOS'!$A$5:$E$997,5,FALSE)</f>
        <v>1675</v>
      </c>
      <c r="G1624" s="104">
        <v>1.05</v>
      </c>
      <c r="H1624" s="252">
        <f>IF(G1624&gt;0,(G1624*F1624*E1624),(F1624*E1624))</f>
        <v>35175</v>
      </c>
    </row>
    <row r="1625" spans="1:9" ht="13.15" customHeight="1" x14ac:dyDescent="0.2">
      <c r="A1625" s="939"/>
      <c r="B1625" s="241" t="s">
        <v>1319</v>
      </c>
      <c r="C1625" s="3" t="s">
        <v>2569</v>
      </c>
      <c r="D1625" s="2" t="s">
        <v>616</v>
      </c>
      <c r="E1625" s="114">
        <v>0.15</v>
      </c>
      <c r="F1625" s="23">
        <f>VLOOKUP(B1625,'BASE DE DATOS'!$A$5:$E$997,5,FALSE)</f>
        <v>32900</v>
      </c>
      <c r="G1625" s="104">
        <v>1.05</v>
      </c>
      <c r="H1625" s="252">
        <f t="shared" ref="H1625:H1631" si="122">IF(G1625&gt;0,(G1625*F1625*E1625),(F1625*E1625))</f>
        <v>5181.75</v>
      </c>
    </row>
    <row r="1626" spans="1:9" s="33" customFormat="1" x14ac:dyDescent="0.2">
      <c r="A1626" s="939"/>
      <c r="B1626" s="241" t="s">
        <v>1321</v>
      </c>
      <c r="C1626" s="3" t="s">
        <v>2707</v>
      </c>
      <c r="D1626" s="2" t="s">
        <v>590</v>
      </c>
      <c r="E1626" s="196">
        <v>0.04</v>
      </c>
      <c r="F1626" s="23">
        <f>VLOOKUP(B1626,'BASE DE DATOS'!$A$5:$E$997,5,FALSE)</f>
        <v>3190</v>
      </c>
      <c r="G1626" s="104">
        <v>0</v>
      </c>
      <c r="H1626" s="252">
        <f>IF(G1626&gt;0,(G1626*F1626*E1626),(F1626*E1626))</f>
        <v>127.60000000000001</v>
      </c>
    </row>
    <row r="1627" spans="1:9" x14ac:dyDescent="0.2">
      <c r="A1627" s="939"/>
      <c r="B1627" s="241" t="s">
        <v>1370</v>
      </c>
      <c r="C1627" s="3" t="s">
        <v>3509</v>
      </c>
      <c r="D1627" s="2" t="s">
        <v>405</v>
      </c>
      <c r="E1627" s="196">
        <v>2</v>
      </c>
      <c r="F1627" s="23">
        <f>VLOOKUP(B1627,'BASE DE DATOS'!$A$5:$E$997,5,FALSE)</f>
        <v>19960</v>
      </c>
      <c r="G1627" s="104">
        <v>0</v>
      </c>
      <c r="H1627" s="252">
        <f t="shared" si="122"/>
        <v>39920</v>
      </c>
    </row>
    <row r="1628" spans="1:9" x14ac:dyDescent="0.2">
      <c r="A1628" s="939"/>
      <c r="B1628" s="241" t="s">
        <v>1892</v>
      </c>
      <c r="C1628" s="3" t="s">
        <v>2549</v>
      </c>
      <c r="D1628" s="2" t="s">
        <v>616</v>
      </c>
      <c r="E1628" s="196">
        <v>0.45</v>
      </c>
      <c r="F1628" s="23">
        <f>VLOOKUP(B1628,'BASE DE DATOS'!$A$5:$E$997,5,FALSE)</f>
        <v>30232.5</v>
      </c>
      <c r="G1628" s="104">
        <v>1.03</v>
      </c>
      <c r="H1628" s="252">
        <f t="shared" si="122"/>
        <v>14012.763750000002</v>
      </c>
    </row>
    <row r="1629" spans="1:9" x14ac:dyDescent="0.2">
      <c r="A1629" s="483" t="s">
        <v>2555</v>
      </c>
      <c r="B1629" s="241" t="s">
        <v>644</v>
      </c>
      <c r="C1629" s="3" t="s">
        <v>645</v>
      </c>
      <c r="D1629" s="2" t="s">
        <v>585</v>
      </c>
      <c r="E1629" s="196">
        <v>1</v>
      </c>
      <c r="F1629" s="23">
        <f>VLOOKUP(B1629,'BASE DE DATOS'!$A$5:$E$997,5,FALSE)</f>
        <v>248302</v>
      </c>
      <c r="G1629" s="104">
        <f>1/6</f>
        <v>0.16666666666666666</v>
      </c>
      <c r="H1629" s="252">
        <f t="shared" si="122"/>
        <v>41383.666666666664</v>
      </c>
    </row>
    <row r="1630" spans="1:9" x14ac:dyDescent="0.2">
      <c r="A1630" s="944" t="s">
        <v>293</v>
      </c>
      <c r="B1630" s="241" t="s">
        <v>269</v>
      </c>
      <c r="C1630" s="3" t="s">
        <v>284</v>
      </c>
      <c r="D1630" s="2" t="s">
        <v>586</v>
      </c>
      <c r="E1630" s="196">
        <v>0.1</v>
      </c>
      <c r="F1630" s="23">
        <f>H1629</f>
        <v>41383.666666666664</v>
      </c>
      <c r="G1630" s="104">
        <v>0</v>
      </c>
      <c r="H1630" s="252">
        <f t="shared" si="122"/>
        <v>4138.3666666666668</v>
      </c>
    </row>
    <row r="1631" spans="1:9" ht="13.5" thickBot="1" x14ac:dyDescent="0.25">
      <c r="A1631" s="945"/>
      <c r="B1631" s="528" t="s">
        <v>169</v>
      </c>
      <c r="C1631" s="108" t="s">
        <v>170</v>
      </c>
      <c r="D1631" s="109" t="s">
        <v>585</v>
      </c>
      <c r="E1631" s="203">
        <v>1</v>
      </c>
      <c r="F1631" s="110">
        <f>VLOOKUP(B1631,'BASE DE DATOS'!$A$5:$E$997,5,FALSE)</f>
        <v>39984</v>
      </c>
      <c r="G1631" s="156">
        <f>1/20</f>
        <v>0.05</v>
      </c>
      <c r="H1631" s="479">
        <f t="shared" si="122"/>
        <v>1999.2</v>
      </c>
    </row>
    <row r="1632" spans="1:9" s="42" customFormat="1" ht="30" x14ac:dyDescent="0.2">
      <c r="A1632" s="67" t="s">
        <v>2505</v>
      </c>
      <c r="B1632" s="529"/>
      <c r="C1632" s="388" t="s">
        <v>3621</v>
      </c>
      <c r="D1632" s="389" t="s">
        <v>3251</v>
      </c>
      <c r="E1632" s="395"/>
      <c r="F1632" s="391">
        <f>ROUND(SUM(H1632:H1638),0)</f>
        <v>71604</v>
      </c>
      <c r="G1632" s="392"/>
      <c r="H1632" s="393"/>
      <c r="I1632" s="738"/>
    </row>
    <row r="1633" spans="1:9" x14ac:dyDescent="0.2">
      <c r="A1633" s="936" t="s">
        <v>382</v>
      </c>
      <c r="B1633" s="241" t="s">
        <v>1279</v>
      </c>
      <c r="C1633" s="3" t="s">
        <v>358</v>
      </c>
      <c r="D1633" s="2" t="s">
        <v>617</v>
      </c>
      <c r="E1633" s="114">
        <v>35</v>
      </c>
      <c r="F1633" s="23">
        <f>VLOOKUP(B1633,'BASE DE DATOS'!$A$5:$E$997,5,FALSE)</f>
        <v>19</v>
      </c>
      <c r="G1633" s="104">
        <v>0</v>
      </c>
      <c r="H1633" s="252">
        <f>IF(G1633&gt;0,(G1633*F1633*E1633),(F1633*E1633))</f>
        <v>665</v>
      </c>
    </row>
    <row r="1634" spans="1:9" x14ac:dyDescent="0.2">
      <c r="A1634" s="936"/>
      <c r="B1634" s="241" t="s">
        <v>1319</v>
      </c>
      <c r="C1634" s="3" t="s">
        <v>2569</v>
      </c>
      <c r="D1634" s="2" t="s">
        <v>616</v>
      </c>
      <c r="E1634" s="114">
        <v>0.2</v>
      </c>
      <c r="F1634" s="23">
        <f>VLOOKUP(B1634,'BASE DE DATOS'!$A$5:$E$997,5,FALSE)</f>
        <v>32900</v>
      </c>
      <c r="G1634" s="104">
        <v>1.05</v>
      </c>
      <c r="H1634" s="252">
        <f t="shared" ref="H1634:H1638" si="123">IF(G1634&gt;0,(G1634*F1634*E1634),(F1634*E1634))</f>
        <v>6909</v>
      </c>
    </row>
    <row r="1635" spans="1:9" x14ac:dyDescent="0.2">
      <c r="A1635" s="936"/>
      <c r="B1635" s="241" t="s">
        <v>1372</v>
      </c>
      <c r="C1635" s="3" t="s">
        <v>3850</v>
      </c>
      <c r="D1635" s="2" t="s">
        <v>405</v>
      </c>
      <c r="E1635" s="114">
        <v>1.75</v>
      </c>
      <c r="F1635" s="23">
        <f>VLOOKUP(B1635,'BASE DE DATOS'!$A$5:$E$997,5,FALSE)</f>
        <v>3366</v>
      </c>
      <c r="G1635" s="104">
        <v>0</v>
      </c>
      <c r="H1635" s="252">
        <f>IF(G1635&gt;0,(G1635*F1635*E1635),(F1635*E1635))</f>
        <v>5890.5</v>
      </c>
    </row>
    <row r="1636" spans="1:9" s="33" customFormat="1" x14ac:dyDescent="0.2">
      <c r="A1636" s="936"/>
      <c r="B1636" s="241" t="s">
        <v>1712</v>
      </c>
      <c r="C1636" s="3" t="s">
        <v>2609</v>
      </c>
      <c r="D1636" s="2" t="s">
        <v>616</v>
      </c>
      <c r="E1636" s="114">
        <v>1</v>
      </c>
      <c r="F1636" s="23">
        <f>VLOOKUP(B1636,'BASE DE DATOS'!$A$5:$E$997,5,FALSE)</f>
        <v>12250</v>
      </c>
      <c r="G1636" s="104">
        <v>1.03</v>
      </c>
      <c r="H1636" s="252">
        <f t="shared" si="123"/>
        <v>12617.5</v>
      </c>
    </row>
    <row r="1637" spans="1:9" x14ac:dyDescent="0.2">
      <c r="A1637" s="81" t="s">
        <v>2555</v>
      </c>
      <c r="B1637" s="241" t="s">
        <v>644</v>
      </c>
      <c r="C1637" s="3" t="s">
        <v>645</v>
      </c>
      <c r="D1637" s="2" t="s">
        <v>585</v>
      </c>
      <c r="E1637" s="114">
        <v>1</v>
      </c>
      <c r="F1637" s="23">
        <f>VLOOKUP(B1637,'BASE DE DATOS'!$A$5:$E$997,5,FALSE)</f>
        <v>248302</v>
      </c>
      <c r="G1637" s="104">
        <f>1/6</f>
        <v>0.16666666666666666</v>
      </c>
      <c r="H1637" s="252">
        <f t="shared" si="123"/>
        <v>41383.666666666664</v>
      </c>
    </row>
    <row r="1638" spans="1:9" ht="13.5" thickBot="1" x14ac:dyDescent="0.25">
      <c r="A1638" s="94" t="s">
        <v>293</v>
      </c>
      <c r="B1638" s="528" t="s">
        <v>269</v>
      </c>
      <c r="C1638" s="108" t="s">
        <v>284</v>
      </c>
      <c r="D1638" s="109" t="s">
        <v>586</v>
      </c>
      <c r="E1638" s="200">
        <v>0.1</v>
      </c>
      <c r="F1638" s="110">
        <f>H1637</f>
        <v>41383.666666666664</v>
      </c>
      <c r="G1638" s="156">
        <v>0</v>
      </c>
      <c r="H1638" s="479">
        <f t="shared" si="123"/>
        <v>4138.3666666666668</v>
      </c>
    </row>
    <row r="1639" spans="1:9" s="42" customFormat="1" ht="30" x14ac:dyDescent="0.2">
      <c r="A1639" s="67" t="s">
        <v>2506</v>
      </c>
      <c r="B1639" s="529"/>
      <c r="C1639" s="359" t="s">
        <v>3853</v>
      </c>
      <c r="D1639" s="389" t="s">
        <v>3251</v>
      </c>
      <c r="E1639" s="390"/>
      <c r="F1639" s="391">
        <f>ROUND(SUM(H1639:H1647),0)</f>
        <v>85541</v>
      </c>
      <c r="G1639" s="392"/>
      <c r="H1639" s="393"/>
      <c r="I1639" s="738"/>
    </row>
    <row r="1640" spans="1:9" s="33" customFormat="1" x14ac:dyDescent="0.2">
      <c r="A1640" s="939" t="s">
        <v>295</v>
      </c>
      <c r="B1640" s="241" t="s">
        <v>1279</v>
      </c>
      <c r="C1640" s="3" t="s">
        <v>358</v>
      </c>
      <c r="D1640" s="2" t="s">
        <v>617</v>
      </c>
      <c r="E1640" s="114">
        <v>35</v>
      </c>
      <c r="F1640" s="23">
        <f>VLOOKUP(B1640,'BASE DE DATOS'!$A$5:$E$997,5,FALSE)</f>
        <v>19</v>
      </c>
      <c r="G1640" s="104">
        <v>0</v>
      </c>
      <c r="H1640" s="252">
        <f>IF(G1640&gt;0,(G1640*F1640*E1640),(F1640*E1640))</f>
        <v>665</v>
      </c>
    </row>
    <row r="1641" spans="1:9" x14ac:dyDescent="0.2">
      <c r="A1641" s="939"/>
      <c r="B1641" s="241" t="s">
        <v>1319</v>
      </c>
      <c r="C1641" s="3" t="s">
        <v>2569</v>
      </c>
      <c r="D1641" s="2" t="s">
        <v>616</v>
      </c>
      <c r="E1641" s="114">
        <v>0.15</v>
      </c>
      <c r="F1641" s="23">
        <f>VLOOKUP(B1641,'BASE DE DATOS'!$A$5:$E$997,5,FALSE)</f>
        <v>32900</v>
      </c>
      <c r="G1641" s="104">
        <v>1.05</v>
      </c>
      <c r="H1641" s="252">
        <f t="shared" ref="H1641:H1647" si="124">IF(G1641&gt;0,(G1641*F1641*E1641),(F1641*E1641))</f>
        <v>5181.75</v>
      </c>
    </row>
    <row r="1642" spans="1:9" x14ac:dyDescent="0.2">
      <c r="A1642" s="939"/>
      <c r="B1642" s="241" t="s">
        <v>1372</v>
      </c>
      <c r="C1642" s="3" t="s">
        <v>3850</v>
      </c>
      <c r="D1642" s="2" t="s">
        <v>405</v>
      </c>
      <c r="E1642" s="114">
        <v>1.75</v>
      </c>
      <c r="F1642" s="23">
        <f>VLOOKUP(B1642,'BASE DE DATOS'!$A$5:$E$997,5,FALSE)</f>
        <v>3366</v>
      </c>
      <c r="G1642" s="104">
        <v>0</v>
      </c>
      <c r="H1642" s="252">
        <f>IF(G1642&gt;0,(G1642*F1642*E1642),(F1642*E1642))</f>
        <v>5890.5</v>
      </c>
    </row>
    <row r="1643" spans="1:9" x14ac:dyDescent="0.2">
      <c r="A1643" s="939"/>
      <c r="B1643" s="241" t="s">
        <v>1712</v>
      </c>
      <c r="C1643" s="3" t="s">
        <v>2609</v>
      </c>
      <c r="D1643" s="2" t="s">
        <v>616</v>
      </c>
      <c r="E1643" s="114">
        <v>0.5</v>
      </c>
      <c r="F1643" s="23">
        <f>VLOOKUP(B1643,'BASE DE DATOS'!$A$5:$E$997,5,FALSE)</f>
        <v>12250</v>
      </c>
      <c r="G1643" s="104">
        <v>1.03</v>
      </c>
      <c r="H1643" s="252">
        <f t="shared" si="124"/>
        <v>6308.75</v>
      </c>
    </row>
    <row r="1644" spans="1:9" ht="14.25" x14ac:dyDescent="0.2">
      <c r="A1644" s="939"/>
      <c r="B1644" s="241" t="s">
        <v>1578</v>
      </c>
      <c r="C1644" s="3" t="s">
        <v>177</v>
      </c>
      <c r="D1644" s="2" t="s">
        <v>288</v>
      </c>
      <c r="E1644" s="114">
        <v>0.5</v>
      </c>
      <c r="F1644" s="23">
        <f>VLOOKUP(B1644,'BASE DE DATOS'!$A$5:$E$997,5,FALSE)</f>
        <v>10500</v>
      </c>
      <c r="G1644" s="104">
        <v>1.03</v>
      </c>
      <c r="H1644" s="252">
        <f t="shared" si="124"/>
        <v>5407.5</v>
      </c>
    </row>
    <row r="1645" spans="1:9" ht="14.25" x14ac:dyDescent="0.2">
      <c r="A1645" s="64" t="s">
        <v>3252</v>
      </c>
      <c r="B1645" s="241" t="s">
        <v>810</v>
      </c>
      <c r="C1645" s="3" t="s">
        <v>2097</v>
      </c>
      <c r="D1645" s="2" t="s">
        <v>285</v>
      </c>
      <c r="E1645" s="114">
        <v>0.03</v>
      </c>
      <c r="F1645" s="23">
        <f>F90</f>
        <v>525897</v>
      </c>
      <c r="G1645" s="104">
        <v>1.05</v>
      </c>
      <c r="H1645" s="252">
        <f t="shared" si="124"/>
        <v>16565.755499999999</v>
      </c>
    </row>
    <row r="1646" spans="1:9" x14ac:dyDescent="0.2">
      <c r="A1646" s="81" t="s">
        <v>2555</v>
      </c>
      <c r="B1646" s="241" t="s">
        <v>644</v>
      </c>
      <c r="C1646" s="3" t="s">
        <v>645</v>
      </c>
      <c r="D1646" s="2" t="s">
        <v>585</v>
      </c>
      <c r="E1646" s="114">
        <v>1</v>
      </c>
      <c r="F1646" s="23">
        <f>VLOOKUP(B1646,'BASE DE DATOS'!$A$5:$E$997,5,FALSE)</f>
        <v>248302</v>
      </c>
      <c r="G1646" s="104">
        <f>1/6</f>
        <v>0.16666666666666666</v>
      </c>
      <c r="H1646" s="252">
        <f t="shared" si="124"/>
        <v>41383.666666666664</v>
      </c>
    </row>
    <row r="1647" spans="1:9" ht="13.5" thickBot="1" x14ac:dyDescent="0.25">
      <c r="A1647" s="94" t="s">
        <v>293</v>
      </c>
      <c r="B1647" s="528" t="s">
        <v>269</v>
      </c>
      <c r="C1647" s="108" t="s">
        <v>284</v>
      </c>
      <c r="D1647" s="109" t="s">
        <v>586</v>
      </c>
      <c r="E1647" s="200">
        <v>0.1</v>
      </c>
      <c r="F1647" s="110">
        <f>H1646</f>
        <v>41383.666666666664</v>
      </c>
      <c r="G1647" s="156">
        <v>0</v>
      </c>
      <c r="H1647" s="479">
        <f t="shared" si="124"/>
        <v>4138.3666666666668</v>
      </c>
    </row>
    <row r="1648" spans="1:9" s="42" customFormat="1" ht="30" x14ac:dyDescent="0.2">
      <c r="A1648" s="67" t="s">
        <v>2507</v>
      </c>
      <c r="B1648" s="529"/>
      <c r="C1648" s="388" t="s">
        <v>3622</v>
      </c>
      <c r="D1648" s="389" t="s">
        <v>3251</v>
      </c>
      <c r="E1648" s="390"/>
      <c r="F1648" s="391">
        <f>ROUND(SUM(H1648:H1656),0)</f>
        <v>92925</v>
      </c>
      <c r="G1648" s="392"/>
      <c r="H1648" s="393"/>
      <c r="I1648" s="738"/>
    </row>
    <row r="1649" spans="1:9" x14ac:dyDescent="0.2">
      <c r="A1649" s="939" t="s">
        <v>295</v>
      </c>
      <c r="B1649" s="241" t="s">
        <v>1279</v>
      </c>
      <c r="C1649" s="3" t="s">
        <v>349</v>
      </c>
      <c r="D1649" s="2" t="s">
        <v>617</v>
      </c>
      <c r="E1649" s="114">
        <v>35</v>
      </c>
      <c r="F1649" s="23">
        <f>VLOOKUP(B1649,'BASE DE DATOS'!$A$5:$E$997,5,FALSE)</f>
        <v>19</v>
      </c>
      <c r="G1649" s="104">
        <v>0</v>
      </c>
      <c r="H1649" s="252">
        <f>IF(G1649&gt;0,(G1649*F1649*E1649),(F1649*E1649))</f>
        <v>665</v>
      </c>
    </row>
    <row r="1650" spans="1:9" x14ac:dyDescent="0.2">
      <c r="A1650" s="939"/>
      <c r="B1650" s="241" t="s">
        <v>1319</v>
      </c>
      <c r="C1650" s="3" t="s">
        <v>2569</v>
      </c>
      <c r="D1650" s="2" t="s">
        <v>616</v>
      </c>
      <c r="E1650" s="114">
        <v>0.2</v>
      </c>
      <c r="F1650" s="23">
        <f>VLOOKUP(B1650,'BASE DE DATOS'!$A$5:$E$997,5,FALSE)</f>
        <v>32900</v>
      </c>
      <c r="G1650" s="104">
        <v>1.05</v>
      </c>
      <c r="H1650" s="252">
        <f t="shared" ref="H1650:H1656" si="125">IF(G1650&gt;0,(G1650*F1650*E1650),(F1650*E1650))</f>
        <v>6909</v>
      </c>
    </row>
    <row r="1651" spans="1:9" x14ac:dyDescent="0.2">
      <c r="A1651" s="939"/>
      <c r="B1651" s="241" t="s">
        <v>1372</v>
      </c>
      <c r="C1651" s="3" t="s">
        <v>3850</v>
      </c>
      <c r="D1651" s="2" t="s">
        <v>405</v>
      </c>
      <c r="E1651" s="114">
        <v>1.75</v>
      </c>
      <c r="F1651" s="23">
        <f>VLOOKUP(B1651,'BASE DE DATOS'!$A$5:$E$997,5,FALSE)</f>
        <v>3366</v>
      </c>
      <c r="G1651" s="104">
        <v>0</v>
      </c>
      <c r="H1651" s="252">
        <f>IF(G1651&gt;0,(G1651*F1651*E1651),(F1651*E1651))</f>
        <v>5890.5</v>
      </c>
    </row>
    <row r="1652" spans="1:9" x14ac:dyDescent="0.2">
      <c r="A1652" s="939"/>
      <c r="B1652" s="241" t="s">
        <v>1712</v>
      </c>
      <c r="C1652" s="3" t="s">
        <v>2609</v>
      </c>
      <c r="D1652" s="2" t="s">
        <v>616</v>
      </c>
      <c r="E1652" s="114">
        <v>0.5</v>
      </c>
      <c r="F1652" s="23">
        <f>VLOOKUP(B1652,'BASE DE DATOS'!$A$5:$E$997,5,FALSE)</f>
        <v>12250</v>
      </c>
      <c r="G1652" s="104">
        <v>1.03</v>
      </c>
      <c r="H1652" s="252">
        <f t="shared" si="125"/>
        <v>6308.75</v>
      </c>
    </row>
    <row r="1653" spans="1:9" ht="14.25" x14ac:dyDescent="0.2">
      <c r="A1653" s="939"/>
      <c r="B1653" s="241" t="s">
        <v>1575</v>
      </c>
      <c r="C1653" s="3" t="s">
        <v>3872</v>
      </c>
      <c r="D1653" s="2" t="s">
        <v>288</v>
      </c>
      <c r="E1653" s="114">
        <v>0.44</v>
      </c>
      <c r="F1653" s="23">
        <f>VLOOKUP(B1653,'BASE DE DATOS'!$A$5:$E$997,5,FALSE)</f>
        <v>35900</v>
      </c>
      <c r="G1653" s="104">
        <v>1.05</v>
      </c>
      <c r="H1653" s="252">
        <f t="shared" si="125"/>
        <v>16585.8</v>
      </c>
    </row>
    <row r="1654" spans="1:9" ht="14.25" x14ac:dyDescent="0.2">
      <c r="A1654" s="64" t="s">
        <v>3252</v>
      </c>
      <c r="B1654" s="241" t="s">
        <v>810</v>
      </c>
      <c r="C1654" s="3" t="s">
        <v>2097</v>
      </c>
      <c r="D1654" s="2" t="s">
        <v>285</v>
      </c>
      <c r="E1654" s="114">
        <v>0.02</v>
      </c>
      <c r="F1654" s="23">
        <f>F90</f>
        <v>525897</v>
      </c>
      <c r="G1654" s="104">
        <v>1.05</v>
      </c>
      <c r="H1654" s="252">
        <f t="shared" si="125"/>
        <v>11043.837</v>
      </c>
    </row>
    <row r="1655" spans="1:9" x14ac:dyDescent="0.2">
      <c r="A1655" s="81" t="s">
        <v>2555</v>
      </c>
      <c r="B1655" s="241" t="s">
        <v>644</v>
      </c>
      <c r="C1655" s="3" t="s">
        <v>645</v>
      </c>
      <c r="D1655" s="2" t="s">
        <v>585</v>
      </c>
      <c r="E1655" s="114">
        <v>1</v>
      </c>
      <c r="F1655" s="23">
        <f>VLOOKUP(B1655,'BASE DE DATOS'!$A$5:$E$997,5,FALSE)</f>
        <v>248302</v>
      </c>
      <c r="G1655" s="104">
        <f>1/6</f>
        <v>0.16666666666666666</v>
      </c>
      <c r="H1655" s="252">
        <f t="shared" si="125"/>
        <v>41383.666666666664</v>
      </c>
    </row>
    <row r="1656" spans="1:9" s="33" customFormat="1" ht="13.5" thickBot="1" x14ac:dyDescent="0.25">
      <c r="A1656" s="94" t="s">
        <v>293</v>
      </c>
      <c r="B1656" s="528" t="s">
        <v>269</v>
      </c>
      <c r="C1656" s="108" t="s">
        <v>284</v>
      </c>
      <c r="D1656" s="109" t="s">
        <v>586</v>
      </c>
      <c r="E1656" s="200">
        <v>0.1</v>
      </c>
      <c r="F1656" s="110">
        <f>H1655</f>
        <v>41383.666666666664</v>
      </c>
      <c r="G1656" s="156">
        <v>0</v>
      </c>
      <c r="H1656" s="252">
        <f t="shared" si="125"/>
        <v>4138.3666666666668</v>
      </c>
    </row>
    <row r="1657" spans="1:9" ht="16.5" thickBot="1" x14ac:dyDescent="0.25">
      <c r="A1657" s="941" t="s">
        <v>3478</v>
      </c>
      <c r="B1657" s="942"/>
      <c r="C1657" s="942"/>
      <c r="D1657" s="942"/>
      <c r="E1657" s="942"/>
      <c r="F1657" s="942"/>
      <c r="G1657" s="942"/>
      <c r="H1657" s="943"/>
    </row>
    <row r="1658" spans="1:9" s="42" customFormat="1" ht="30" x14ac:dyDescent="0.2">
      <c r="A1658" s="67" t="s">
        <v>1220</v>
      </c>
      <c r="B1658" s="529"/>
      <c r="C1658" s="388" t="s">
        <v>3579</v>
      </c>
      <c r="D1658" s="389" t="s">
        <v>3251</v>
      </c>
      <c r="E1658" s="395"/>
      <c r="F1658" s="391">
        <f>ROUND(SUM(H1658:H1662),0)</f>
        <v>77167</v>
      </c>
      <c r="G1658" s="392"/>
      <c r="H1658" s="393"/>
      <c r="I1658" s="738"/>
    </row>
    <row r="1659" spans="1:9" x14ac:dyDescent="0.2">
      <c r="A1659" s="936" t="s">
        <v>382</v>
      </c>
      <c r="B1659" s="241" t="s">
        <v>1273</v>
      </c>
      <c r="C1659" s="3" t="s">
        <v>49</v>
      </c>
      <c r="D1659" s="2" t="s">
        <v>642</v>
      </c>
      <c r="E1659" s="114">
        <v>1</v>
      </c>
      <c r="F1659" s="23">
        <f>VLOOKUP(B1659,'BASE DE DATOS'!$A$5:$E$997,5,FALSE)</f>
        <v>25745</v>
      </c>
      <c r="G1659" s="104">
        <f>1/12</f>
        <v>8.3333333333333329E-2</v>
      </c>
      <c r="H1659" s="252">
        <f>IF(G1659&gt;0,(G1659*F1659*E1659),(F1659*E1659))</f>
        <v>2145.4166666666665</v>
      </c>
    </row>
    <row r="1660" spans="1:9" ht="25.5" x14ac:dyDescent="0.2">
      <c r="A1660" s="936"/>
      <c r="B1660" s="241" t="s">
        <v>1535</v>
      </c>
      <c r="C1660" s="3" t="s">
        <v>3579</v>
      </c>
      <c r="D1660" s="2" t="s">
        <v>288</v>
      </c>
      <c r="E1660" s="114">
        <v>1</v>
      </c>
      <c r="F1660" s="23">
        <f>VLOOKUP(B1660,'BASE DE DATOS'!$A$5:$E$997,5,FALSE)</f>
        <v>52400</v>
      </c>
      <c r="G1660" s="104">
        <v>1.1000000000000001</v>
      </c>
      <c r="H1660" s="252">
        <f t="shared" ref="H1660:H1662" si="126">IF(G1660&gt;0,(G1660*F1660*E1660),(F1660*E1660))</f>
        <v>57640.000000000007</v>
      </c>
    </row>
    <row r="1661" spans="1:9" x14ac:dyDescent="0.2">
      <c r="A1661" s="81" t="s">
        <v>2555</v>
      </c>
      <c r="B1661" s="241" t="s">
        <v>644</v>
      </c>
      <c r="C1661" s="3" t="s">
        <v>645</v>
      </c>
      <c r="D1661" s="2" t="s">
        <v>585</v>
      </c>
      <c r="E1661" s="114">
        <v>1</v>
      </c>
      <c r="F1661" s="23">
        <f>VLOOKUP(B1661,'BASE DE DATOS'!$A$5:$E$997,5,FALSE)</f>
        <v>248302</v>
      </c>
      <c r="G1661" s="104">
        <f>1/15</f>
        <v>6.6666666666666666E-2</v>
      </c>
      <c r="H1661" s="252">
        <f t="shared" si="126"/>
        <v>16553.466666666667</v>
      </c>
    </row>
    <row r="1662" spans="1:9" ht="13.5" thickBot="1" x14ac:dyDescent="0.25">
      <c r="A1662" s="130" t="s">
        <v>293</v>
      </c>
      <c r="B1662" s="528" t="s">
        <v>269</v>
      </c>
      <c r="C1662" s="108" t="s">
        <v>284</v>
      </c>
      <c r="D1662" s="109" t="s">
        <v>586</v>
      </c>
      <c r="E1662" s="200">
        <v>0.05</v>
      </c>
      <c r="F1662" s="110">
        <f>H1661</f>
        <v>16553.466666666667</v>
      </c>
      <c r="G1662" s="156">
        <v>0</v>
      </c>
      <c r="H1662" s="479">
        <f t="shared" si="126"/>
        <v>827.6733333333334</v>
      </c>
    </row>
    <row r="1663" spans="1:9" s="42" customFormat="1" ht="17.25" x14ac:dyDescent="0.2">
      <c r="A1663" s="67" t="s">
        <v>2508</v>
      </c>
      <c r="B1663" s="529"/>
      <c r="C1663" s="388" t="s">
        <v>3149</v>
      </c>
      <c r="D1663" s="389" t="s">
        <v>3251</v>
      </c>
      <c r="E1663" s="390"/>
      <c r="F1663" s="391">
        <f>ROUND(SUM(H1663:H1667),0)</f>
        <v>76405</v>
      </c>
      <c r="G1663" s="392"/>
      <c r="H1663" s="393"/>
      <c r="I1663" s="738"/>
    </row>
    <row r="1664" spans="1:9" x14ac:dyDescent="0.2">
      <c r="A1664" s="936" t="s">
        <v>382</v>
      </c>
      <c r="B1664" s="241" t="s">
        <v>1273</v>
      </c>
      <c r="C1664" s="3" t="s">
        <v>49</v>
      </c>
      <c r="D1664" s="2" t="s">
        <v>406</v>
      </c>
      <c r="E1664" s="114">
        <f>1/4</f>
        <v>0.25</v>
      </c>
      <c r="F1664" s="23">
        <f>VLOOKUP(B1664,'BASE DE DATOS'!$A$5:$E$997,5,FALSE)</f>
        <v>25745</v>
      </c>
      <c r="G1664" s="104">
        <v>1.03</v>
      </c>
      <c r="H1664" s="252">
        <f>IF(G1664&gt;0,(G1664*F1664*E1664),(F1664*E1664))</f>
        <v>6629.3375000000005</v>
      </c>
    </row>
    <row r="1665" spans="1:9" ht="14.25" x14ac:dyDescent="0.2">
      <c r="A1665" s="936"/>
      <c r="B1665" s="241" t="s">
        <v>1565</v>
      </c>
      <c r="C1665" s="3" t="s">
        <v>3887</v>
      </c>
      <c r="D1665" s="2" t="s">
        <v>288</v>
      </c>
      <c r="E1665" s="114">
        <v>1</v>
      </c>
      <c r="F1665" s="23">
        <f>VLOOKUP(B1665,'BASE DE DATOS'!$A$5:$E$997,5,FALSE)</f>
        <v>49900</v>
      </c>
      <c r="G1665" s="104">
        <v>1.05</v>
      </c>
      <c r="H1665" s="252">
        <f t="shared" ref="H1665:H1667" si="127">IF(G1665&gt;0,(G1665*F1665*E1665),(F1665*E1665))</f>
        <v>52395</v>
      </c>
    </row>
    <row r="1666" spans="1:9" x14ac:dyDescent="0.2">
      <c r="A1666" s="81" t="s">
        <v>2555</v>
      </c>
      <c r="B1666" s="241" t="s">
        <v>644</v>
      </c>
      <c r="C1666" s="3" t="s">
        <v>645</v>
      </c>
      <c r="D1666" s="2" t="s">
        <v>585</v>
      </c>
      <c r="E1666" s="114">
        <v>1</v>
      </c>
      <c r="F1666" s="23">
        <f>VLOOKUP(B1666,'BASE DE DATOS'!$A$5:$E$997,5,FALSE)</f>
        <v>248302</v>
      </c>
      <c r="G1666" s="104">
        <f>1/15</f>
        <v>6.6666666666666666E-2</v>
      </c>
      <c r="H1666" s="252">
        <f t="shared" si="127"/>
        <v>16553.466666666667</v>
      </c>
    </row>
    <row r="1667" spans="1:9" ht="13.5" thickBot="1" x14ac:dyDescent="0.25">
      <c r="A1667" s="94" t="s">
        <v>293</v>
      </c>
      <c r="B1667" s="528" t="s">
        <v>269</v>
      </c>
      <c r="C1667" s="108" t="s">
        <v>284</v>
      </c>
      <c r="D1667" s="109" t="s">
        <v>586</v>
      </c>
      <c r="E1667" s="200">
        <v>0.05</v>
      </c>
      <c r="F1667" s="110">
        <f>H1666</f>
        <v>16553.466666666667</v>
      </c>
      <c r="G1667" s="156">
        <v>0</v>
      </c>
      <c r="H1667" s="252">
        <f t="shared" si="127"/>
        <v>827.6733333333334</v>
      </c>
    </row>
    <row r="1668" spans="1:9" ht="16.5" thickBot="1" x14ac:dyDescent="0.25">
      <c r="A1668" s="941" t="s">
        <v>3477</v>
      </c>
      <c r="B1668" s="942"/>
      <c r="C1668" s="942"/>
      <c r="D1668" s="942"/>
      <c r="E1668" s="942"/>
      <c r="F1668" s="942"/>
      <c r="G1668" s="942"/>
      <c r="H1668" s="943"/>
    </row>
    <row r="1669" spans="1:9" s="42" customFormat="1" ht="30" x14ac:dyDescent="0.2">
      <c r="A1669" s="67" t="s">
        <v>2509</v>
      </c>
      <c r="B1669" s="529"/>
      <c r="C1669" s="388" t="s">
        <v>510</v>
      </c>
      <c r="D1669" s="389" t="s">
        <v>3251</v>
      </c>
      <c r="E1669" s="395"/>
      <c r="F1669" s="391">
        <f>ROUND(SUM(H1669:H1676),0)</f>
        <v>159935</v>
      </c>
      <c r="G1669" s="392"/>
      <c r="H1669" s="393"/>
      <c r="I1669" s="738"/>
    </row>
    <row r="1670" spans="1:9" x14ac:dyDescent="0.2">
      <c r="A1670" s="936" t="s">
        <v>382</v>
      </c>
      <c r="B1670" s="241" t="s">
        <v>1298</v>
      </c>
      <c r="C1670" s="3" t="s">
        <v>181</v>
      </c>
      <c r="D1670" s="2" t="s">
        <v>642</v>
      </c>
      <c r="E1670" s="114">
        <v>0.2</v>
      </c>
      <c r="F1670" s="23">
        <f>VLOOKUP(B1670,'BASE DE DATOS'!$A$5:$E$997,5,FALSE)</f>
        <v>109900</v>
      </c>
      <c r="G1670" s="104">
        <v>1.03</v>
      </c>
      <c r="H1670" s="252">
        <f>IF(G1670&gt;0,(G1670*F1670*E1670),(F1670*E1670))</f>
        <v>22639.4</v>
      </c>
    </row>
    <row r="1671" spans="1:9" ht="13.15" customHeight="1" x14ac:dyDescent="0.2">
      <c r="A1671" s="936"/>
      <c r="B1671" s="241" t="s">
        <v>1367</v>
      </c>
      <c r="C1671" s="3" t="s">
        <v>592</v>
      </c>
      <c r="D1671" s="2" t="s">
        <v>405</v>
      </c>
      <c r="E1671" s="114">
        <v>1.6</v>
      </c>
      <c r="F1671" s="23">
        <f>VLOOKUP(B1671,'BASE DE DATOS'!$A$5:$E$997,5,FALSE)</f>
        <v>6534</v>
      </c>
      <c r="G1671" s="104">
        <v>1.03</v>
      </c>
      <c r="H1671" s="252">
        <f t="shared" ref="H1671:H1676" si="128">IF(G1671&gt;0,(G1671*F1671*E1671),(F1671*E1671))</f>
        <v>10768.032000000001</v>
      </c>
    </row>
    <row r="1672" spans="1:9" x14ac:dyDescent="0.2">
      <c r="A1672" s="936"/>
      <c r="B1672" s="241" t="s">
        <v>1558</v>
      </c>
      <c r="C1672" s="3" t="s">
        <v>2023</v>
      </c>
      <c r="D1672" s="2" t="s">
        <v>590</v>
      </c>
      <c r="E1672" s="114">
        <v>0.3</v>
      </c>
      <c r="F1672" s="23">
        <f>VLOOKUP(B1672,'BASE DE DATOS'!$A$5:$E$997,5,FALSE)</f>
        <v>5650</v>
      </c>
      <c r="G1672" s="104">
        <v>0</v>
      </c>
      <c r="H1672" s="252">
        <f t="shared" si="128"/>
        <v>1695</v>
      </c>
    </row>
    <row r="1673" spans="1:9" ht="14.25" x14ac:dyDescent="0.2">
      <c r="A1673" s="936"/>
      <c r="B1673" s="241" t="s">
        <v>1576</v>
      </c>
      <c r="C1673" s="3" t="s">
        <v>361</v>
      </c>
      <c r="D1673" s="2" t="s">
        <v>288</v>
      </c>
      <c r="E1673" s="114">
        <v>1</v>
      </c>
      <c r="F1673" s="23">
        <f>VLOOKUP(B1673,'BASE DE DATOS'!$A$5:$E$997,5,FALSE)</f>
        <v>87921</v>
      </c>
      <c r="G1673" s="104">
        <v>1.03</v>
      </c>
      <c r="H1673" s="252">
        <f t="shared" si="128"/>
        <v>90558.63</v>
      </c>
    </row>
    <row r="1674" spans="1:9" s="33" customFormat="1" x14ac:dyDescent="0.2">
      <c r="A1674" s="936"/>
      <c r="B1674" s="241" t="s">
        <v>1689</v>
      </c>
      <c r="C1674" s="3" t="s">
        <v>182</v>
      </c>
      <c r="D1674" s="2" t="s">
        <v>405</v>
      </c>
      <c r="E1674" s="114">
        <v>0.1</v>
      </c>
      <c r="F1674" s="23">
        <f>VLOOKUP(B1674,'BASE DE DATOS'!$A$5:$E$997,5,FALSE)</f>
        <v>1285.7142857142858</v>
      </c>
      <c r="G1674" s="104">
        <v>1.03</v>
      </c>
      <c r="H1674" s="252">
        <f t="shared" si="128"/>
        <v>132.42857142857144</v>
      </c>
    </row>
    <row r="1675" spans="1:9" x14ac:dyDescent="0.2">
      <c r="A1675" s="81" t="s">
        <v>2555</v>
      </c>
      <c r="B1675" s="241" t="s">
        <v>644</v>
      </c>
      <c r="C1675" s="3" t="s">
        <v>645</v>
      </c>
      <c r="D1675" s="2" t="s">
        <v>585</v>
      </c>
      <c r="E1675" s="114">
        <v>1</v>
      </c>
      <c r="F1675" s="23">
        <f>VLOOKUP(B1675,'BASE DE DATOS'!$A$5:$E$997,5,FALSE)</f>
        <v>248302</v>
      </c>
      <c r="G1675" s="104">
        <f>1/8</f>
        <v>0.125</v>
      </c>
      <c r="H1675" s="252">
        <f t="shared" si="128"/>
        <v>31037.75</v>
      </c>
    </row>
    <row r="1676" spans="1:9" ht="13.5" thickBot="1" x14ac:dyDescent="0.25">
      <c r="A1676" s="94" t="s">
        <v>293</v>
      </c>
      <c r="B1676" s="528" t="s">
        <v>269</v>
      </c>
      <c r="C1676" s="108" t="s">
        <v>284</v>
      </c>
      <c r="D1676" s="109" t="s">
        <v>586</v>
      </c>
      <c r="E1676" s="200">
        <v>0.1</v>
      </c>
      <c r="F1676" s="110">
        <f>H1675</f>
        <v>31037.75</v>
      </c>
      <c r="G1676" s="156">
        <v>0</v>
      </c>
      <c r="H1676" s="252">
        <f t="shared" si="128"/>
        <v>3103.7750000000001</v>
      </c>
    </row>
    <row r="1677" spans="1:9" ht="16.5" thickBot="1" x14ac:dyDescent="0.25">
      <c r="A1677" s="941" t="s">
        <v>3476</v>
      </c>
      <c r="B1677" s="942"/>
      <c r="C1677" s="942"/>
      <c r="D1677" s="942"/>
      <c r="E1677" s="942"/>
      <c r="F1677" s="942"/>
      <c r="G1677" s="942"/>
      <c r="H1677" s="943"/>
    </row>
    <row r="1678" spans="1:9" s="42" customFormat="1" ht="30" x14ac:dyDescent="0.2">
      <c r="A1678" s="67" t="s">
        <v>2510</v>
      </c>
      <c r="B1678" s="529"/>
      <c r="C1678" s="388" t="s">
        <v>3293</v>
      </c>
      <c r="D1678" s="389" t="s">
        <v>3251</v>
      </c>
      <c r="E1678" s="390"/>
      <c r="F1678" s="391">
        <f>ROUND(SUM(H1678:H1685),0)</f>
        <v>88394</v>
      </c>
      <c r="G1678" s="392"/>
      <c r="H1678" s="393"/>
      <c r="I1678" s="738"/>
    </row>
    <row r="1679" spans="1:9" x14ac:dyDescent="0.2">
      <c r="A1679" s="936" t="s">
        <v>382</v>
      </c>
      <c r="B1679" s="241" t="s">
        <v>2761</v>
      </c>
      <c r="C1679" s="3" t="s">
        <v>3294</v>
      </c>
      <c r="D1679" s="2" t="s">
        <v>406</v>
      </c>
      <c r="E1679" s="114">
        <v>5</v>
      </c>
      <c r="F1679" s="23">
        <f>VLOOKUP(B1679,'BASE DE DATOS'!$A$5:$E$997,5,FALSE)</f>
        <v>2700</v>
      </c>
      <c r="G1679" s="104">
        <v>0</v>
      </c>
      <c r="H1679" s="252">
        <f t="shared" ref="H1679:H1685" si="129">IF(G1679&gt;0,(G1679*F1679*E1679),(F1679*E1679))</f>
        <v>13500</v>
      </c>
    </row>
    <row r="1680" spans="1:9" x14ac:dyDescent="0.2">
      <c r="A1680" s="936"/>
      <c r="B1680" s="241" t="s">
        <v>2763</v>
      </c>
      <c r="C1680" s="3" t="s">
        <v>3840</v>
      </c>
      <c r="D1680" s="2" t="s">
        <v>406</v>
      </c>
      <c r="E1680" s="114">
        <v>0.25</v>
      </c>
      <c r="F1680" s="23">
        <f>VLOOKUP(B1680,'BASE DE DATOS'!$A$5:$E$997,5,FALSE)</f>
        <v>9774</v>
      </c>
      <c r="G1680" s="104">
        <v>1.03</v>
      </c>
      <c r="H1680" s="252">
        <f>IF(G1680&gt;0,(G1680*F1680*E1680),(F1680*E1680))</f>
        <v>2516.8050000000003</v>
      </c>
    </row>
    <row r="1681" spans="1:9" x14ac:dyDescent="0.2">
      <c r="A1681" s="936"/>
      <c r="B1681" s="241" t="s">
        <v>2762</v>
      </c>
      <c r="C1681" s="3" t="s">
        <v>3295</v>
      </c>
      <c r="D1681" s="2" t="s">
        <v>617</v>
      </c>
      <c r="E1681" s="114">
        <v>0.25</v>
      </c>
      <c r="F1681" s="23">
        <f>VLOOKUP(B1681,'BASE DE DATOS'!$A$5:$E$997,5,FALSE)</f>
        <v>32000</v>
      </c>
      <c r="G1681" s="104">
        <v>0</v>
      </c>
      <c r="H1681" s="252">
        <f t="shared" si="129"/>
        <v>8000</v>
      </c>
    </row>
    <row r="1682" spans="1:9" ht="14.25" x14ac:dyDescent="0.2">
      <c r="A1682" s="480" t="s">
        <v>3252</v>
      </c>
      <c r="B1682" s="241" t="s">
        <v>797</v>
      </c>
      <c r="C1682" s="3" t="s">
        <v>2083</v>
      </c>
      <c r="D1682" s="2" t="s">
        <v>288</v>
      </c>
      <c r="E1682" s="114">
        <v>0.06</v>
      </c>
      <c r="F1682" s="667">
        <f>F18</f>
        <v>421463</v>
      </c>
      <c r="G1682" s="104">
        <v>1.01</v>
      </c>
      <c r="H1682" s="252">
        <f t="shared" si="129"/>
        <v>25540.657800000001</v>
      </c>
    </row>
    <row r="1683" spans="1:9" x14ac:dyDescent="0.2">
      <c r="A1683" s="481" t="s">
        <v>2555</v>
      </c>
      <c r="B1683" s="241" t="s">
        <v>644</v>
      </c>
      <c r="C1683" s="3" t="s">
        <v>645</v>
      </c>
      <c r="D1683" s="2" t="s">
        <v>585</v>
      </c>
      <c r="E1683" s="114">
        <v>1</v>
      </c>
      <c r="F1683" s="23">
        <f>VLOOKUP(B1683,'BASE DE DATOS'!$A$5:$E$997,5,FALSE)</f>
        <v>248302</v>
      </c>
      <c r="G1683" s="104">
        <f>1/9.5</f>
        <v>0.10526315789473684</v>
      </c>
      <c r="H1683" s="252">
        <f t="shared" si="129"/>
        <v>26137.052631578947</v>
      </c>
    </row>
    <row r="1684" spans="1:9" x14ac:dyDescent="0.2">
      <c r="A1684" s="937" t="s">
        <v>293</v>
      </c>
      <c r="B1684" s="241" t="s">
        <v>269</v>
      </c>
      <c r="C1684" s="218" t="s">
        <v>284</v>
      </c>
      <c r="D1684" s="219" t="s">
        <v>586</v>
      </c>
      <c r="E1684" s="114">
        <v>0.05</v>
      </c>
      <c r="F1684" s="220">
        <f>H1683</f>
        <v>26137.052631578947</v>
      </c>
      <c r="G1684" s="187">
        <v>0</v>
      </c>
      <c r="H1684" s="252">
        <f>IF(G1684&gt;0,(G1684*F1684*E1684),(F1684*E1684))</f>
        <v>1306.8526315789475</v>
      </c>
    </row>
    <row r="1685" spans="1:9" ht="13.5" thickBot="1" x14ac:dyDescent="0.25">
      <c r="A1685" s="938"/>
      <c r="B1685" s="528" t="s">
        <v>345</v>
      </c>
      <c r="C1685" s="88" t="s">
        <v>3784</v>
      </c>
      <c r="D1685" s="89" t="s">
        <v>411</v>
      </c>
      <c r="E1685" s="193">
        <v>2.8</v>
      </c>
      <c r="F1685" s="90">
        <f>VLOOKUP(B1685,'BASE DE DATOS'!$A$5:$E$997,5,FALSE)</f>
        <v>406886</v>
      </c>
      <c r="G1685" s="153">
        <f>1/100</f>
        <v>0.01</v>
      </c>
      <c r="H1685" s="255">
        <f t="shared" si="129"/>
        <v>11392.807999999999</v>
      </c>
    </row>
    <row r="1686" spans="1:9" s="42" customFormat="1" ht="17.25" x14ac:dyDescent="0.2">
      <c r="A1686" s="67" t="s">
        <v>2511</v>
      </c>
      <c r="B1686" s="529"/>
      <c r="C1686" s="388" t="s">
        <v>112</v>
      </c>
      <c r="D1686" s="389" t="s">
        <v>3251</v>
      </c>
      <c r="E1686" s="395"/>
      <c r="F1686" s="391">
        <f>ROUND(SUM(H1686:H1691),0)</f>
        <v>114717</v>
      </c>
      <c r="G1686" s="392"/>
      <c r="H1686" s="393"/>
      <c r="I1686" s="738"/>
    </row>
    <row r="1687" spans="1:9" ht="14.25" x14ac:dyDescent="0.2">
      <c r="A1687" s="936" t="s">
        <v>382</v>
      </c>
      <c r="B1687" s="241" t="s">
        <v>1291</v>
      </c>
      <c r="C1687" s="3" t="s">
        <v>648</v>
      </c>
      <c r="D1687" s="2" t="s">
        <v>285</v>
      </c>
      <c r="E1687" s="114">
        <v>0.06</v>
      </c>
      <c r="F1687" s="23">
        <f>VLOOKUP(B1687,'BASE DE DATOS'!$A$5:$E$997,5,FALSE)</f>
        <v>71990</v>
      </c>
      <c r="G1687" s="104">
        <v>1.05</v>
      </c>
      <c r="H1687" s="252">
        <f>IF(G1687&gt;0,(G1687*F1687*E1687),(F1687*E1687))</f>
        <v>4535.37</v>
      </c>
    </row>
    <row r="1688" spans="1:9" x14ac:dyDescent="0.2">
      <c r="A1688" s="936"/>
      <c r="B1688" s="241" t="s">
        <v>1319</v>
      </c>
      <c r="C1688" s="3" t="s">
        <v>2569</v>
      </c>
      <c r="D1688" s="2" t="s">
        <v>616</v>
      </c>
      <c r="E1688" s="114">
        <v>0.15</v>
      </c>
      <c r="F1688" s="23">
        <f>VLOOKUP(B1688,'BASE DE DATOS'!$A$5:$E$997,5,FALSE)</f>
        <v>32900</v>
      </c>
      <c r="G1688" s="104">
        <v>1.05</v>
      </c>
      <c r="H1688" s="252">
        <f t="shared" ref="H1688:H1691" si="130">IF(G1688&gt;0,(G1688*F1688*E1688),(F1688*E1688))</f>
        <v>5181.75</v>
      </c>
    </row>
    <row r="1689" spans="1:9" ht="25.5" x14ac:dyDescent="0.2">
      <c r="A1689" s="936"/>
      <c r="B1689" s="241" t="s">
        <v>1471</v>
      </c>
      <c r="C1689" s="11" t="s">
        <v>3715</v>
      </c>
      <c r="D1689" s="2" t="s">
        <v>288</v>
      </c>
      <c r="E1689" s="114">
        <v>1</v>
      </c>
      <c r="F1689" s="23">
        <f>VLOOKUP(B1689,'BASE DE DATOS'!$A$5:$E$997,5,FALSE)</f>
        <v>78901</v>
      </c>
      <c r="G1689" s="104">
        <v>1.1000000000000001</v>
      </c>
      <c r="H1689" s="252">
        <f t="shared" si="130"/>
        <v>86791.1</v>
      </c>
    </row>
    <row r="1690" spans="1:9" x14ac:dyDescent="0.2">
      <c r="A1690" s="81" t="s">
        <v>2555</v>
      </c>
      <c r="B1690" s="241" t="s">
        <v>644</v>
      </c>
      <c r="C1690" s="3" t="s">
        <v>645</v>
      </c>
      <c r="D1690" s="2" t="s">
        <v>585</v>
      </c>
      <c r="E1690" s="114">
        <v>1</v>
      </c>
      <c r="F1690" s="23">
        <f>VLOOKUP(B1690,'BASE DE DATOS'!$A$5:$E$997,5,FALSE)</f>
        <v>248302</v>
      </c>
      <c r="G1690" s="104">
        <f>1/15</f>
        <v>6.6666666666666666E-2</v>
      </c>
      <c r="H1690" s="252">
        <f t="shared" si="130"/>
        <v>16553.466666666667</v>
      </c>
    </row>
    <row r="1691" spans="1:9" ht="13.5" thickBot="1" x14ac:dyDescent="0.25">
      <c r="A1691" s="94" t="s">
        <v>293</v>
      </c>
      <c r="B1691" s="528" t="s">
        <v>269</v>
      </c>
      <c r="C1691" s="108" t="s">
        <v>284</v>
      </c>
      <c r="D1691" s="109" t="s">
        <v>586</v>
      </c>
      <c r="E1691" s="200">
        <v>0.1</v>
      </c>
      <c r="F1691" s="110">
        <f>H1690</f>
        <v>16553.466666666667</v>
      </c>
      <c r="G1691" s="156">
        <v>0</v>
      </c>
      <c r="H1691" s="252">
        <f t="shared" si="130"/>
        <v>1655.3466666666668</v>
      </c>
    </row>
    <row r="1692" spans="1:9" ht="16.5" thickBot="1" x14ac:dyDescent="0.25">
      <c r="A1692" s="941" t="s">
        <v>3475</v>
      </c>
      <c r="B1692" s="942"/>
      <c r="C1692" s="942"/>
      <c r="D1692" s="942"/>
      <c r="E1692" s="942"/>
      <c r="F1692" s="942"/>
      <c r="G1692" s="942"/>
      <c r="H1692" s="943"/>
    </row>
    <row r="1693" spans="1:9" s="42" customFormat="1" ht="15" x14ac:dyDescent="0.2">
      <c r="A1693" s="67" t="s">
        <v>2512</v>
      </c>
      <c r="B1693" s="529"/>
      <c r="C1693" s="388" t="s">
        <v>3315</v>
      </c>
      <c r="D1693" s="389" t="s">
        <v>405</v>
      </c>
      <c r="E1693" s="390"/>
      <c r="F1693" s="391">
        <f>ROUND(SUM(H1693:H1699),0)</f>
        <v>17257</v>
      </c>
      <c r="G1693" s="392"/>
      <c r="H1693" s="393"/>
      <c r="I1693" s="738"/>
    </row>
    <row r="1694" spans="1:9" x14ac:dyDescent="0.2">
      <c r="A1694" s="936" t="s">
        <v>382</v>
      </c>
      <c r="B1694" s="241" t="s">
        <v>1303</v>
      </c>
      <c r="C1694" s="44" t="s">
        <v>2608</v>
      </c>
      <c r="D1694" s="2" t="s">
        <v>406</v>
      </c>
      <c r="E1694" s="114">
        <v>0.04</v>
      </c>
      <c r="F1694" s="23">
        <f>VLOOKUP(B1694,'BASE DE DATOS'!$A$5:$E$997,5,FALSE)</f>
        <v>6700</v>
      </c>
      <c r="G1694" s="104">
        <v>1.05</v>
      </c>
      <c r="H1694" s="252">
        <f>IF(G1694&gt;0,(G1694*F1694*E1694),(F1694*E1694))</f>
        <v>281.40000000000003</v>
      </c>
    </row>
    <row r="1695" spans="1:9" x14ac:dyDescent="0.2">
      <c r="A1695" s="936"/>
      <c r="B1695" s="241" t="s">
        <v>1319</v>
      </c>
      <c r="C1695" s="3" t="s">
        <v>2569</v>
      </c>
      <c r="D1695" s="2" t="s">
        <v>616</v>
      </c>
      <c r="E1695" s="114">
        <v>0.01</v>
      </c>
      <c r="F1695" s="23">
        <f>VLOOKUP(B1695,'BASE DE DATOS'!$A$5:$E$997,5,FALSE)</f>
        <v>32900</v>
      </c>
      <c r="G1695" s="104">
        <v>1.05</v>
      </c>
      <c r="H1695" s="252">
        <f t="shared" ref="H1695:H1699" si="131">IF(G1695&gt;0,(G1695*F1695*E1695),(F1695*E1695))</f>
        <v>345.45</v>
      </c>
    </row>
    <row r="1696" spans="1:9" x14ac:dyDescent="0.2">
      <c r="A1696" s="936"/>
      <c r="B1696" s="241" t="s">
        <v>1392</v>
      </c>
      <c r="C1696" s="3" t="s">
        <v>2892</v>
      </c>
      <c r="D1696" s="2" t="s">
        <v>406</v>
      </c>
      <c r="E1696" s="114">
        <v>0.4</v>
      </c>
      <c r="F1696" s="23">
        <f>VLOOKUP(B1696,'BASE DE DATOS'!$A$5:$E$997,5,FALSE)</f>
        <v>2852.9500000000003</v>
      </c>
      <c r="G1696" s="104">
        <v>1.05</v>
      </c>
      <c r="H1696" s="252">
        <f>IF(G1696&gt;0,(G1696*F1696*E1696),(F1696*E1696))</f>
        <v>1198.2390000000003</v>
      </c>
    </row>
    <row r="1697" spans="1:9" ht="14.25" x14ac:dyDescent="0.2">
      <c r="A1697" s="936"/>
      <c r="B1697" s="241" t="s">
        <v>1578</v>
      </c>
      <c r="C1697" s="3" t="s">
        <v>177</v>
      </c>
      <c r="D1697" s="2" t="s">
        <v>288</v>
      </c>
      <c r="E1697" s="114">
        <v>0.1</v>
      </c>
      <c r="F1697" s="23">
        <f>VLOOKUP(B1697,'BASE DE DATOS'!$A$5:$E$997,5,FALSE)</f>
        <v>10500</v>
      </c>
      <c r="G1697" s="104">
        <v>1.1000000000000001</v>
      </c>
      <c r="H1697" s="252">
        <f t="shared" si="131"/>
        <v>1155.0000000000002</v>
      </c>
    </row>
    <row r="1698" spans="1:9" x14ac:dyDescent="0.2">
      <c r="A1698" s="81" t="s">
        <v>2555</v>
      </c>
      <c r="B1698" s="241" t="s">
        <v>644</v>
      </c>
      <c r="C1698" s="3" t="s">
        <v>645</v>
      </c>
      <c r="D1698" s="2" t="s">
        <v>585</v>
      </c>
      <c r="E1698" s="114">
        <v>1</v>
      </c>
      <c r="F1698" s="23">
        <f>VLOOKUP(B1698,'BASE DE DATOS'!$A$5:$E$997,5,FALSE)</f>
        <v>248302</v>
      </c>
      <c r="G1698" s="104">
        <f>1/20</f>
        <v>0.05</v>
      </c>
      <c r="H1698" s="252">
        <f t="shared" si="131"/>
        <v>12415.1</v>
      </c>
    </row>
    <row r="1699" spans="1:9" ht="13.5" thickBot="1" x14ac:dyDescent="0.25">
      <c r="A1699" s="94" t="s">
        <v>293</v>
      </c>
      <c r="B1699" s="528" t="s">
        <v>269</v>
      </c>
      <c r="C1699" s="108" t="s">
        <v>284</v>
      </c>
      <c r="D1699" s="109" t="s">
        <v>586</v>
      </c>
      <c r="E1699" s="200">
        <v>0.15</v>
      </c>
      <c r="F1699" s="110">
        <f>H1698</f>
        <v>12415.1</v>
      </c>
      <c r="G1699" s="156">
        <v>0</v>
      </c>
      <c r="H1699" s="479">
        <f t="shared" si="131"/>
        <v>1862.2649999999999</v>
      </c>
    </row>
    <row r="1700" spans="1:9" s="42" customFormat="1" ht="35.25" customHeight="1" x14ac:dyDescent="0.2">
      <c r="A1700" s="67" t="s">
        <v>2513</v>
      </c>
      <c r="B1700" s="529"/>
      <c r="C1700" s="388" t="s">
        <v>3314</v>
      </c>
      <c r="D1700" s="389" t="s">
        <v>405</v>
      </c>
      <c r="E1700" s="390"/>
      <c r="F1700" s="391">
        <f>ROUND(SUM(H1700:H1706),0)</f>
        <v>22003</v>
      </c>
      <c r="G1700" s="392"/>
      <c r="H1700" s="393"/>
      <c r="I1700" s="738"/>
    </row>
    <row r="1701" spans="1:9" x14ac:dyDescent="0.2">
      <c r="A1701" s="939" t="s">
        <v>295</v>
      </c>
      <c r="B1701" s="241" t="s">
        <v>1303</v>
      </c>
      <c r="C1701" s="44" t="s">
        <v>2608</v>
      </c>
      <c r="D1701" s="2" t="s">
        <v>406</v>
      </c>
      <c r="E1701" s="114">
        <v>0.04</v>
      </c>
      <c r="F1701" s="23">
        <f>VLOOKUP(B1701,'BASE DE DATOS'!$A$5:$E$997,5,FALSE)</f>
        <v>6700</v>
      </c>
      <c r="G1701" s="104">
        <v>1.05</v>
      </c>
      <c r="H1701" s="252">
        <f>IF(G1701&gt;0,(G1701*F1701*E1701),(F1701*E1701))</f>
        <v>281.40000000000003</v>
      </c>
    </row>
    <row r="1702" spans="1:9" x14ac:dyDescent="0.2">
      <c r="A1702" s="939"/>
      <c r="B1702" s="241" t="s">
        <v>1318</v>
      </c>
      <c r="C1702" s="3" t="s">
        <v>677</v>
      </c>
      <c r="D1702" s="2" t="s">
        <v>406</v>
      </c>
      <c r="E1702" s="196">
        <v>0.2</v>
      </c>
      <c r="F1702" s="23">
        <f>VLOOKUP(B1702,'BASE DE DATOS'!$A$5:$E$997,5,FALSE)</f>
        <v>1675</v>
      </c>
      <c r="G1702" s="104">
        <v>1.05</v>
      </c>
      <c r="H1702" s="252">
        <f t="shared" ref="H1702:H1706" si="132">IF(G1702&gt;0,(G1702*F1702*E1702),(F1702*E1702))</f>
        <v>351.75</v>
      </c>
    </row>
    <row r="1703" spans="1:9" x14ac:dyDescent="0.2">
      <c r="A1703" s="939"/>
      <c r="B1703" s="241" t="s">
        <v>1392</v>
      </c>
      <c r="C1703" s="3" t="s">
        <v>2892</v>
      </c>
      <c r="D1703" s="2" t="s">
        <v>406</v>
      </c>
      <c r="E1703" s="114">
        <v>0.4</v>
      </c>
      <c r="F1703" s="23">
        <f>VLOOKUP(B1703,'BASE DE DATOS'!$A$5:$E$997,5,FALSE)</f>
        <v>2852.9500000000003</v>
      </c>
      <c r="G1703" s="104">
        <v>1.05</v>
      </c>
      <c r="H1703" s="252">
        <f>IF(G1703&gt;0,(G1703*F1703*E1703),(F1703*E1703))</f>
        <v>1198.2390000000003</v>
      </c>
    </row>
    <row r="1704" spans="1:9" ht="25.5" x14ac:dyDescent="0.2">
      <c r="A1704" s="939"/>
      <c r="B1704" s="241" t="s">
        <v>1765</v>
      </c>
      <c r="C1704" s="3" t="s">
        <v>2681</v>
      </c>
      <c r="D1704" s="2" t="s">
        <v>288</v>
      </c>
      <c r="E1704" s="196">
        <v>0.1</v>
      </c>
      <c r="F1704" s="23">
        <f>VLOOKUP(B1704,'BASE DE DATOS'!$A$5:$E$997,5,FALSE)</f>
        <v>64871</v>
      </c>
      <c r="G1704" s="104">
        <v>1.1000000000000001</v>
      </c>
      <c r="H1704" s="252">
        <f t="shared" si="132"/>
        <v>7135.8100000000013</v>
      </c>
    </row>
    <row r="1705" spans="1:9" x14ac:dyDescent="0.2">
      <c r="A1705" s="213" t="s">
        <v>2555</v>
      </c>
      <c r="B1705" s="241" t="s">
        <v>644</v>
      </c>
      <c r="C1705" s="3" t="s">
        <v>645</v>
      </c>
      <c r="D1705" s="2" t="s">
        <v>585</v>
      </c>
      <c r="E1705" s="196">
        <v>1</v>
      </c>
      <c r="F1705" s="23">
        <f>VLOOKUP(B1705,'BASE DE DATOS'!$A$5:$E$997,5,FALSE)</f>
        <v>248302</v>
      </c>
      <c r="G1705" s="104">
        <f>1/20</f>
        <v>0.05</v>
      </c>
      <c r="H1705" s="252">
        <f t="shared" si="132"/>
        <v>12415.1</v>
      </c>
    </row>
    <row r="1706" spans="1:9" ht="13.5" thickBot="1" x14ac:dyDescent="0.25">
      <c r="A1706" s="212" t="s">
        <v>293</v>
      </c>
      <c r="B1706" s="528" t="s">
        <v>269</v>
      </c>
      <c r="C1706" s="108" t="s">
        <v>284</v>
      </c>
      <c r="D1706" s="109" t="s">
        <v>586</v>
      </c>
      <c r="E1706" s="203">
        <v>0.05</v>
      </c>
      <c r="F1706" s="110">
        <f>H1705</f>
        <v>12415.1</v>
      </c>
      <c r="G1706" s="156">
        <v>0</v>
      </c>
      <c r="H1706" s="479">
        <f t="shared" si="132"/>
        <v>620.75500000000011</v>
      </c>
    </row>
    <row r="1707" spans="1:9" s="42" customFormat="1" ht="35.25" customHeight="1" x14ac:dyDescent="0.2">
      <c r="A1707" s="67" t="s">
        <v>2514</v>
      </c>
      <c r="B1707" s="529"/>
      <c r="C1707" s="388" t="s">
        <v>3830</v>
      </c>
      <c r="D1707" s="389" t="s">
        <v>405</v>
      </c>
      <c r="E1707" s="390"/>
      <c r="F1707" s="391">
        <f>ROUND(SUM(H1707:H1713),0)</f>
        <v>23586</v>
      </c>
      <c r="G1707" s="392"/>
      <c r="H1707" s="393"/>
      <c r="I1707" s="738"/>
    </row>
    <row r="1708" spans="1:9" x14ac:dyDescent="0.2">
      <c r="A1708" s="936" t="s">
        <v>382</v>
      </c>
      <c r="B1708" s="241" t="s">
        <v>1303</v>
      </c>
      <c r="C1708" s="44" t="s">
        <v>2608</v>
      </c>
      <c r="D1708" s="2" t="s">
        <v>406</v>
      </c>
      <c r="E1708" s="114">
        <v>0.04</v>
      </c>
      <c r="F1708" s="23">
        <f>VLOOKUP(B1708,'BASE DE DATOS'!$A$5:$E$997,5,FALSE)</f>
        <v>6700</v>
      </c>
      <c r="G1708" s="104">
        <v>1.05</v>
      </c>
      <c r="H1708" s="252">
        <f>IF(G1708&gt;0,(G1708*F1708*E1708),(F1708*E1708))</f>
        <v>281.40000000000003</v>
      </c>
    </row>
    <row r="1709" spans="1:9" x14ac:dyDescent="0.2">
      <c r="A1709" s="936"/>
      <c r="B1709" s="241" t="s">
        <v>1318</v>
      </c>
      <c r="C1709" s="3" t="s">
        <v>677</v>
      </c>
      <c r="D1709" s="2" t="s">
        <v>406</v>
      </c>
      <c r="E1709" s="196">
        <v>0.2</v>
      </c>
      <c r="F1709" s="23">
        <f>VLOOKUP(B1709,'BASE DE DATOS'!$A$5:$E$997,5,FALSE)</f>
        <v>1675</v>
      </c>
      <c r="G1709" s="104">
        <v>1.05</v>
      </c>
      <c r="H1709" s="252">
        <f t="shared" ref="H1709:H1713" si="133">IF(G1709&gt;0,(G1709*F1709*E1709),(F1709*E1709))</f>
        <v>351.75</v>
      </c>
    </row>
    <row r="1710" spans="1:9" x14ac:dyDescent="0.2">
      <c r="A1710" s="936"/>
      <c r="B1710" s="241" t="s">
        <v>1392</v>
      </c>
      <c r="C1710" s="3" t="s">
        <v>2892</v>
      </c>
      <c r="D1710" s="2" t="s">
        <v>406</v>
      </c>
      <c r="E1710" s="114">
        <v>0.4</v>
      </c>
      <c r="F1710" s="23">
        <f>VLOOKUP(B1710,'BASE DE DATOS'!$A$5:$E$997,5,FALSE)</f>
        <v>2852.9500000000003</v>
      </c>
      <c r="G1710" s="104">
        <v>1.05</v>
      </c>
      <c r="H1710" s="252">
        <f>IF(G1710&gt;0,(G1710*F1710*E1710),(F1710*E1710))</f>
        <v>1198.2390000000003</v>
      </c>
    </row>
    <row r="1711" spans="1:9" ht="14.25" x14ac:dyDescent="0.2">
      <c r="A1711" s="936"/>
      <c r="B1711" s="241" t="s">
        <v>2739</v>
      </c>
      <c r="C1711" s="3" t="s">
        <v>3914</v>
      </c>
      <c r="D1711" s="2" t="s">
        <v>288</v>
      </c>
      <c r="E1711" s="196">
        <v>0.1</v>
      </c>
      <c r="F1711" s="23">
        <f>VLOOKUP(B1711,'BASE DE DATOS'!$A$5:$E$997,5,FALSE)</f>
        <v>79260</v>
      </c>
      <c r="G1711" s="104">
        <v>1.1000000000000001</v>
      </c>
      <c r="H1711" s="252">
        <f t="shared" si="133"/>
        <v>8718.6</v>
      </c>
    </row>
    <row r="1712" spans="1:9" x14ac:dyDescent="0.2">
      <c r="A1712" s="234" t="s">
        <v>2555</v>
      </c>
      <c r="B1712" s="241" t="s">
        <v>644</v>
      </c>
      <c r="C1712" s="3" t="s">
        <v>645</v>
      </c>
      <c r="D1712" s="2" t="s">
        <v>585</v>
      </c>
      <c r="E1712" s="196">
        <v>1</v>
      </c>
      <c r="F1712" s="23">
        <f>VLOOKUP(B1712,'BASE DE DATOS'!$A$5:$E$997,5,FALSE)</f>
        <v>248302</v>
      </c>
      <c r="G1712" s="104">
        <f>1/20</f>
        <v>0.05</v>
      </c>
      <c r="H1712" s="252">
        <f t="shared" si="133"/>
        <v>12415.1</v>
      </c>
    </row>
    <row r="1713" spans="1:9" ht="13.5" thickBot="1" x14ac:dyDescent="0.25">
      <c r="A1713" s="233" t="s">
        <v>293</v>
      </c>
      <c r="B1713" s="528" t="s">
        <v>269</v>
      </c>
      <c r="C1713" s="108" t="s">
        <v>284</v>
      </c>
      <c r="D1713" s="109" t="s">
        <v>586</v>
      </c>
      <c r="E1713" s="203">
        <v>0.05</v>
      </c>
      <c r="F1713" s="110">
        <f>H1712</f>
        <v>12415.1</v>
      </c>
      <c r="G1713" s="156">
        <v>0</v>
      </c>
      <c r="H1713" s="479">
        <f t="shared" si="133"/>
        <v>620.75500000000011</v>
      </c>
    </row>
    <row r="1714" spans="1:9" s="42" customFormat="1" ht="15" x14ac:dyDescent="0.2">
      <c r="A1714" s="67" t="s">
        <v>2515</v>
      </c>
      <c r="B1714" s="529"/>
      <c r="C1714" s="388" t="s">
        <v>3313</v>
      </c>
      <c r="D1714" s="389" t="s">
        <v>405</v>
      </c>
      <c r="E1714" s="390"/>
      <c r="F1714" s="391">
        <f>ROUND(SUM(H1714:H1720),0)</f>
        <v>30493</v>
      </c>
      <c r="G1714" s="392"/>
      <c r="H1714" s="393"/>
      <c r="I1714" s="738"/>
    </row>
    <row r="1715" spans="1:9" x14ac:dyDescent="0.2">
      <c r="A1715" s="936" t="s">
        <v>382</v>
      </c>
      <c r="B1715" s="241" t="s">
        <v>1303</v>
      </c>
      <c r="C1715" s="44" t="s">
        <v>2608</v>
      </c>
      <c r="D1715" s="2" t="s">
        <v>406</v>
      </c>
      <c r="E1715" s="114">
        <v>0.04</v>
      </c>
      <c r="F1715" s="23">
        <f>VLOOKUP(B1715,'BASE DE DATOS'!$A$5:$E$997,5,FALSE)</f>
        <v>6700</v>
      </c>
      <c r="G1715" s="104">
        <v>1.05</v>
      </c>
      <c r="H1715" s="252">
        <f>IF(G1715&gt;0,(G1715*F1715*E1715),(F1715*E1715))</f>
        <v>281.40000000000003</v>
      </c>
    </row>
    <row r="1716" spans="1:9" x14ac:dyDescent="0.2">
      <c r="A1716" s="936"/>
      <c r="B1716" s="241" t="s">
        <v>1318</v>
      </c>
      <c r="C1716" s="3" t="s">
        <v>677</v>
      </c>
      <c r="D1716" s="2" t="s">
        <v>406</v>
      </c>
      <c r="E1716" s="114">
        <v>0.2</v>
      </c>
      <c r="F1716" s="23">
        <f>VLOOKUP(B1716,'BASE DE DATOS'!$A$5:$E$997,5,FALSE)</f>
        <v>1675</v>
      </c>
      <c r="G1716" s="104">
        <v>1.05</v>
      </c>
      <c r="H1716" s="252">
        <f t="shared" ref="H1716:H1720" si="134">IF(G1716&gt;0,(G1716*F1716*E1716),(F1716*E1716))</f>
        <v>351.75</v>
      </c>
    </row>
    <row r="1717" spans="1:9" x14ac:dyDescent="0.2">
      <c r="A1717" s="936"/>
      <c r="B1717" s="241" t="s">
        <v>1392</v>
      </c>
      <c r="C1717" s="3" t="s">
        <v>2892</v>
      </c>
      <c r="D1717" s="2" t="s">
        <v>406</v>
      </c>
      <c r="E1717" s="114">
        <v>0.4</v>
      </c>
      <c r="F1717" s="23">
        <f>VLOOKUP(B1717,'BASE DE DATOS'!$A$5:$E$997,5,FALSE)</f>
        <v>2852.9500000000003</v>
      </c>
      <c r="G1717" s="104">
        <v>1.05</v>
      </c>
      <c r="H1717" s="252">
        <f>IF(G1717&gt;0,(G1717*F1717*E1717),(F1717*E1717))</f>
        <v>1198.2390000000003</v>
      </c>
    </row>
    <row r="1718" spans="1:9" ht="14.25" x14ac:dyDescent="0.2">
      <c r="A1718" s="936"/>
      <c r="B1718" s="241" t="s">
        <v>1297</v>
      </c>
      <c r="C1718" s="3" t="s">
        <v>2682</v>
      </c>
      <c r="D1718" s="2" t="s">
        <v>288</v>
      </c>
      <c r="E1718" s="114">
        <v>0.1</v>
      </c>
      <c r="F1718" s="23">
        <f>VLOOKUP(B1718,'BASE DE DATOS'!$A$5:$E$997,5,FALSE)</f>
        <v>63579</v>
      </c>
      <c r="G1718" s="104">
        <v>1.3</v>
      </c>
      <c r="H1718" s="252">
        <f t="shared" si="134"/>
        <v>8265.27</v>
      </c>
    </row>
    <row r="1719" spans="1:9" x14ac:dyDescent="0.2">
      <c r="A1719" s="81" t="s">
        <v>2555</v>
      </c>
      <c r="B1719" s="241" t="s">
        <v>644</v>
      </c>
      <c r="C1719" s="3" t="s">
        <v>645</v>
      </c>
      <c r="D1719" s="2" t="s">
        <v>585</v>
      </c>
      <c r="E1719" s="114">
        <v>1</v>
      </c>
      <c r="F1719" s="23">
        <f>VLOOKUP(B1719,'BASE DE DATOS'!$A$5:$E$997,5,FALSE)</f>
        <v>248302</v>
      </c>
      <c r="G1719" s="104">
        <f>1/14</f>
        <v>7.1428571428571425E-2</v>
      </c>
      <c r="H1719" s="252">
        <f t="shared" si="134"/>
        <v>17735.857142857141</v>
      </c>
    </row>
    <row r="1720" spans="1:9" ht="13.5" thickBot="1" x14ac:dyDescent="0.25">
      <c r="A1720" s="94" t="s">
        <v>293</v>
      </c>
      <c r="B1720" s="528" t="s">
        <v>269</v>
      </c>
      <c r="C1720" s="108" t="s">
        <v>284</v>
      </c>
      <c r="D1720" s="109" t="s">
        <v>586</v>
      </c>
      <c r="E1720" s="200">
        <v>0.15</v>
      </c>
      <c r="F1720" s="110">
        <f>H1719</f>
        <v>17735.857142857141</v>
      </c>
      <c r="G1720" s="156">
        <v>0</v>
      </c>
      <c r="H1720" s="479">
        <f t="shared" si="134"/>
        <v>2660.3785714285709</v>
      </c>
    </row>
    <row r="1721" spans="1:9" s="42" customFormat="1" ht="15" x14ac:dyDescent="0.2">
      <c r="A1721" s="67" t="s">
        <v>2516</v>
      </c>
      <c r="B1721" s="529"/>
      <c r="C1721" s="388" t="s">
        <v>3829</v>
      </c>
      <c r="D1721" s="389" t="s">
        <v>405</v>
      </c>
      <c r="E1721" s="390"/>
      <c r="F1721" s="391">
        <f>ROUND(SUM(H1721:H1727),0)</f>
        <v>32446</v>
      </c>
      <c r="G1721" s="392"/>
      <c r="H1721" s="393"/>
      <c r="I1721" s="738"/>
    </row>
    <row r="1722" spans="1:9" x14ac:dyDescent="0.2">
      <c r="A1722" s="936" t="s">
        <v>382</v>
      </c>
      <c r="B1722" s="241" t="s">
        <v>1303</v>
      </c>
      <c r="C1722" s="44" t="s">
        <v>2608</v>
      </c>
      <c r="D1722" s="2" t="s">
        <v>406</v>
      </c>
      <c r="E1722" s="114">
        <v>0.04</v>
      </c>
      <c r="F1722" s="23">
        <f>VLOOKUP(B1722,'BASE DE DATOS'!$A$5:$E$997,5,FALSE)</f>
        <v>6700</v>
      </c>
      <c r="G1722" s="104">
        <v>1.05</v>
      </c>
      <c r="H1722" s="252">
        <f>IF(G1722&gt;0,(G1722*F1722*E1722),(F1722*E1722))</f>
        <v>281.40000000000003</v>
      </c>
    </row>
    <row r="1723" spans="1:9" x14ac:dyDescent="0.2">
      <c r="A1723" s="936"/>
      <c r="B1723" s="241" t="s">
        <v>1318</v>
      </c>
      <c r="C1723" s="3" t="s">
        <v>677</v>
      </c>
      <c r="D1723" s="2" t="s">
        <v>406</v>
      </c>
      <c r="E1723" s="114">
        <v>0.2</v>
      </c>
      <c r="F1723" s="23">
        <f>VLOOKUP(B1723,'BASE DE DATOS'!$A$5:$E$997,5,FALSE)</f>
        <v>1675</v>
      </c>
      <c r="G1723" s="104">
        <v>1.05</v>
      </c>
      <c r="H1723" s="252">
        <f t="shared" ref="H1723:H1727" si="135">IF(G1723&gt;0,(G1723*F1723*E1723),(F1723*E1723))</f>
        <v>351.75</v>
      </c>
    </row>
    <row r="1724" spans="1:9" ht="14.25" x14ac:dyDescent="0.2">
      <c r="A1724" s="936"/>
      <c r="B1724" s="241" t="s">
        <v>1329</v>
      </c>
      <c r="C1724" s="3" t="s">
        <v>3828</v>
      </c>
      <c r="D1724" s="2" t="s">
        <v>288</v>
      </c>
      <c r="E1724" s="114">
        <v>0.1</v>
      </c>
      <c r="F1724" s="23">
        <f>VLOOKUP(B1724,'BASE DE DATOS'!$A$5:$E$997,5,FALSE)</f>
        <v>78600</v>
      </c>
      <c r="G1724" s="104">
        <v>1.3</v>
      </c>
      <c r="H1724" s="252">
        <f t="shared" si="135"/>
        <v>10218</v>
      </c>
    </row>
    <row r="1725" spans="1:9" x14ac:dyDescent="0.2">
      <c r="A1725" s="936"/>
      <c r="B1725" s="241" t="s">
        <v>1392</v>
      </c>
      <c r="C1725" s="3" t="s">
        <v>2892</v>
      </c>
      <c r="D1725" s="2" t="s">
        <v>406</v>
      </c>
      <c r="E1725" s="114">
        <v>0.4</v>
      </c>
      <c r="F1725" s="23">
        <f>VLOOKUP(B1725,'BASE DE DATOS'!$A$5:$E$997,5,FALSE)</f>
        <v>2852.9500000000003</v>
      </c>
      <c r="G1725" s="104">
        <v>1.05</v>
      </c>
      <c r="H1725" s="252">
        <f t="shared" si="135"/>
        <v>1198.2390000000003</v>
      </c>
    </row>
    <row r="1726" spans="1:9" x14ac:dyDescent="0.2">
      <c r="A1726" s="483" t="s">
        <v>2555</v>
      </c>
      <c r="B1726" s="241" t="s">
        <v>644</v>
      </c>
      <c r="C1726" s="3" t="s">
        <v>645</v>
      </c>
      <c r="D1726" s="2" t="s">
        <v>585</v>
      </c>
      <c r="E1726" s="114">
        <v>1</v>
      </c>
      <c r="F1726" s="23">
        <f>VLOOKUP(B1726,'BASE DE DATOS'!$A$5:$E$997,5,FALSE)</f>
        <v>248302</v>
      </c>
      <c r="G1726" s="104">
        <f>1/14</f>
        <v>7.1428571428571425E-2</v>
      </c>
      <c r="H1726" s="252">
        <f t="shared" si="135"/>
        <v>17735.857142857141</v>
      </c>
    </row>
    <row r="1727" spans="1:9" ht="13.5" thickBot="1" x14ac:dyDescent="0.25">
      <c r="A1727" s="482" t="s">
        <v>293</v>
      </c>
      <c r="B1727" s="528" t="s">
        <v>269</v>
      </c>
      <c r="C1727" s="108" t="s">
        <v>284</v>
      </c>
      <c r="D1727" s="109" t="s">
        <v>586</v>
      </c>
      <c r="E1727" s="200">
        <v>0.15</v>
      </c>
      <c r="F1727" s="110">
        <f>H1726</f>
        <v>17735.857142857141</v>
      </c>
      <c r="G1727" s="156">
        <v>0</v>
      </c>
      <c r="H1727" s="479">
        <f t="shared" si="135"/>
        <v>2660.3785714285709</v>
      </c>
    </row>
    <row r="1728" spans="1:9" s="42" customFormat="1" ht="30" x14ac:dyDescent="0.2">
      <c r="A1728" s="67" t="s">
        <v>2517</v>
      </c>
      <c r="B1728" s="529"/>
      <c r="C1728" s="388" t="s">
        <v>3825</v>
      </c>
      <c r="D1728" s="389" t="s">
        <v>405</v>
      </c>
      <c r="E1728" s="390"/>
      <c r="F1728" s="391">
        <f>ROUND(SUM(H1728:H1734),0)</f>
        <v>27193</v>
      </c>
      <c r="G1728" s="392"/>
      <c r="H1728" s="393"/>
      <c r="I1728" s="738"/>
    </row>
    <row r="1729" spans="1:9" x14ac:dyDescent="0.2">
      <c r="A1729" s="936" t="s">
        <v>382</v>
      </c>
      <c r="B1729" s="241" t="s">
        <v>1303</v>
      </c>
      <c r="C1729" s="44" t="s">
        <v>2608</v>
      </c>
      <c r="D1729" s="2" t="s">
        <v>406</v>
      </c>
      <c r="E1729" s="114">
        <v>0.04</v>
      </c>
      <c r="F1729" s="23">
        <f>VLOOKUP(B1729,'BASE DE DATOS'!$A$5:$E$997,5,FALSE)</f>
        <v>6700</v>
      </c>
      <c r="G1729" s="104">
        <v>1.05</v>
      </c>
      <c r="H1729" s="252">
        <f>IF(G1729&gt;0,(G1729*F1729*E1729),(F1729*E1729))</f>
        <v>281.40000000000003</v>
      </c>
    </row>
    <row r="1730" spans="1:9" x14ac:dyDescent="0.2">
      <c r="A1730" s="936"/>
      <c r="B1730" s="241" t="s">
        <v>1318</v>
      </c>
      <c r="C1730" s="3" t="s">
        <v>677</v>
      </c>
      <c r="D1730" s="2" t="s">
        <v>406</v>
      </c>
      <c r="E1730" s="114">
        <v>0.2</v>
      </c>
      <c r="F1730" s="23">
        <f>VLOOKUP(B1730,'BASE DE DATOS'!$A$5:$E$997,5,FALSE)</f>
        <v>1675</v>
      </c>
      <c r="G1730" s="104">
        <v>1.05</v>
      </c>
      <c r="H1730" s="252">
        <f t="shared" ref="H1730:H1734" si="136">IF(G1730&gt;0,(G1730*F1730*E1730),(F1730*E1730))</f>
        <v>351.75</v>
      </c>
    </row>
    <row r="1731" spans="1:9" ht="14.25" x14ac:dyDescent="0.2">
      <c r="A1731" s="936"/>
      <c r="B1731" s="241" t="s">
        <v>1323</v>
      </c>
      <c r="C1731" s="3" t="s">
        <v>3824</v>
      </c>
      <c r="D1731" s="2" t="s">
        <v>288</v>
      </c>
      <c r="E1731" s="114">
        <v>0.1</v>
      </c>
      <c r="F1731" s="23">
        <f>VLOOKUP(B1731,'BASE DE DATOS'!$A$5:$E$997,5,FALSE)</f>
        <v>33100</v>
      </c>
      <c r="G1731" s="104">
        <v>1.5</v>
      </c>
      <c r="H1731" s="252">
        <f t="shared" si="136"/>
        <v>4965</v>
      </c>
    </row>
    <row r="1732" spans="1:9" x14ac:dyDescent="0.2">
      <c r="A1732" s="936"/>
      <c r="B1732" s="241" t="s">
        <v>1392</v>
      </c>
      <c r="C1732" s="3" t="s">
        <v>2892</v>
      </c>
      <c r="D1732" s="2" t="s">
        <v>406</v>
      </c>
      <c r="E1732" s="114">
        <v>0.4</v>
      </c>
      <c r="F1732" s="23">
        <f>VLOOKUP(B1732,'BASE DE DATOS'!$A$5:$E$997,5,FALSE)</f>
        <v>2852.9500000000003</v>
      </c>
      <c r="G1732" s="104">
        <v>1.05</v>
      </c>
      <c r="H1732" s="252">
        <f t="shared" si="136"/>
        <v>1198.2390000000003</v>
      </c>
    </row>
    <row r="1733" spans="1:9" x14ac:dyDescent="0.2">
      <c r="A1733" s="488" t="s">
        <v>2555</v>
      </c>
      <c r="B1733" s="241" t="s">
        <v>644</v>
      </c>
      <c r="C1733" s="3" t="s">
        <v>645</v>
      </c>
      <c r="D1733" s="2" t="s">
        <v>585</v>
      </c>
      <c r="E1733" s="114">
        <v>1</v>
      </c>
      <c r="F1733" s="23">
        <f>VLOOKUP(B1733,'BASE DE DATOS'!$A$5:$E$997,5,FALSE)</f>
        <v>248302</v>
      </c>
      <c r="G1733" s="104">
        <f>1/14</f>
        <v>7.1428571428571425E-2</v>
      </c>
      <c r="H1733" s="252">
        <f t="shared" si="136"/>
        <v>17735.857142857141</v>
      </c>
    </row>
    <row r="1734" spans="1:9" ht="13.5" thickBot="1" x14ac:dyDescent="0.25">
      <c r="A1734" s="487" t="s">
        <v>293</v>
      </c>
      <c r="B1734" s="528" t="s">
        <v>269</v>
      </c>
      <c r="C1734" s="108" t="s">
        <v>284</v>
      </c>
      <c r="D1734" s="109" t="s">
        <v>586</v>
      </c>
      <c r="E1734" s="200">
        <v>0.15</v>
      </c>
      <c r="F1734" s="110">
        <f>H1733</f>
        <v>17735.857142857141</v>
      </c>
      <c r="G1734" s="156">
        <v>0</v>
      </c>
      <c r="H1734" s="479">
        <f t="shared" si="136"/>
        <v>2660.3785714285709</v>
      </c>
    </row>
    <row r="1735" spans="1:9" s="42" customFormat="1" ht="30" x14ac:dyDescent="0.2">
      <c r="A1735" s="67" t="s">
        <v>2518</v>
      </c>
      <c r="B1735" s="529"/>
      <c r="C1735" s="388" t="s">
        <v>3316</v>
      </c>
      <c r="D1735" s="389" t="s">
        <v>405</v>
      </c>
      <c r="E1735" s="390"/>
      <c r="F1735" s="391">
        <f>ROUND(SUM(H1735:H1741),0)</f>
        <v>29495</v>
      </c>
      <c r="G1735" s="392"/>
      <c r="H1735" s="393"/>
      <c r="I1735" s="738"/>
    </row>
    <row r="1736" spans="1:9" x14ac:dyDescent="0.2">
      <c r="A1736" s="936" t="s">
        <v>382</v>
      </c>
      <c r="B1736" s="241" t="s">
        <v>1303</v>
      </c>
      <c r="C1736" s="44" t="s">
        <v>2608</v>
      </c>
      <c r="D1736" s="2" t="s">
        <v>406</v>
      </c>
      <c r="E1736" s="114">
        <v>0.04</v>
      </c>
      <c r="F1736" s="23">
        <f>VLOOKUP(B1736,'BASE DE DATOS'!$A$5:$E$997,5,FALSE)</f>
        <v>6700</v>
      </c>
      <c r="G1736" s="104">
        <v>1.05</v>
      </c>
      <c r="H1736" s="252">
        <f>IF(G1736&gt;0,(G1736*F1736*E1736),(F1736*E1736))</f>
        <v>281.40000000000003</v>
      </c>
    </row>
    <row r="1737" spans="1:9" x14ac:dyDescent="0.2">
      <c r="A1737" s="936"/>
      <c r="B1737" s="241" t="s">
        <v>1318</v>
      </c>
      <c r="C1737" s="3" t="s">
        <v>677</v>
      </c>
      <c r="D1737" s="2" t="s">
        <v>406</v>
      </c>
      <c r="E1737" s="114">
        <v>0.2</v>
      </c>
      <c r="F1737" s="23">
        <f>VLOOKUP(B1737,'BASE DE DATOS'!$A$5:$E$997,5,FALSE)</f>
        <v>1675</v>
      </c>
      <c r="G1737" s="104">
        <v>1.05</v>
      </c>
      <c r="H1737" s="252">
        <f t="shared" ref="H1737:H1741" si="137">IF(G1737&gt;0,(G1737*F1737*E1737),(F1737*E1737))</f>
        <v>351.75</v>
      </c>
    </row>
    <row r="1738" spans="1:9" ht="14.25" x14ac:dyDescent="0.2">
      <c r="A1738" s="936"/>
      <c r="B1738" s="241" t="s">
        <v>1328</v>
      </c>
      <c r="C1738" s="3" t="s">
        <v>2708</v>
      </c>
      <c r="D1738" s="2" t="s">
        <v>288</v>
      </c>
      <c r="E1738" s="114">
        <v>0.1</v>
      </c>
      <c r="F1738" s="23">
        <f>VLOOKUP(B1738,'BASE DE DATOS'!$A$5:$E$997,5,FALSE)</f>
        <v>48451</v>
      </c>
      <c r="G1738" s="104">
        <v>1.5</v>
      </c>
      <c r="H1738" s="252">
        <f t="shared" si="137"/>
        <v>7267.6500000000005</v>
      </c>
    </row>
    <row r="1739" spans="1:9" x14ac:dyDescent="0.2">
      <c r="A1739" s="936"/>
      <c r="B1739" s="241" t="s">
        <v>1392</v>
      </c>
      <c r="C1739" s="3" t="s">
        <v>2892</v>
      </c>
      <c r="D1739" s="2" t="s">
        <v>406</v>
      </c>
      <c r="E1739" s="114">
        <v>0.4</v>
      </c>
      <c r="F1739" s="23">
        <f>VLOOKUP(B1739,'BASE DE DATOS'!$A$5:$E$997,5,FALSE)</f>
        <v>2852.9500000000003</v>
      </c>
      <c r="G1739" s="104">
        <v>1.05</v>
      </c>
      <c r="H1739" s="252">
        <f t="shared" si="137"/>
        <v>1198.2390000000003</v>
      </c>
    </row>
    <row r="1740" spans="1:9" x14ac:dyDescent="0.2">
      <c r="A1740" s="483" t="s">
        <v>2555</v>
      </c>
      <c r="B1740" s="241" t="s">
        <v>644</v>
      </c>
      <c r="C1740" s="3" t="s">
        <v>645</v>
      </c>
      <c r="D1740" s="2" t="s">
        <v>585</v>
      </c>
      <c r="E1740" s="114">
        <v>1</v>
      </c>
      <c r="F1740" s="23">
        <f>VLOOKUP(B1740,'BASE DE DATOS'!$A$5:$E$997,5,FALSE)</f>
        <v>248302</v>
      </c>
      <c r="G1740" s="104">
        <f>1/14</f>
        <v>7.1428571428571425E-2</v>
      </c>
      <c r="H1740" s="252">
        <f t="shared" si="137"/>
        <v>17735.857142857141</v>
      </c>
    </row>
    <row r="1741" spans="1:9" ht="13.5" thickBot="1" x14ac:dyDescent="0.25">
      <c r="A1741" s="482" t="s">
        <v>293</v>
      </c>
      <c r="B1741" s="528" t="s">
        <v>269</v>
      </c>
      <c r="C1741" s="108" t="s">
        <v>284</v>
      </c>
      <c r="D1741" s="109" t="s">
        <v>586</v>
      </c>
      <c r="E1741" s="200">
        <v>0.15</v>
      </c>
      <c r="F1741" s="110">
        <f>H1740</f>
        <v>17735.857142857141</v>
      </c>
      <c r="G1741" s="156">
        <v>0</v>
      </c>
      <c r="H1741" s="479">
        <f t="shared" si="137"/>
        <v>2660.3785714285709</v>
      </c>
    </row>
    <row r="1742" spans="1:9" s="42" customFormat="1" ht="30" x14ac:dyDescent="0.2">
      <c r="A1742" s="67" t="s">
        <v>2519</v>
      </c>
      <c r="B1742" s="529"/>
      <c r="C1742" s="388" t="s">
        <v>3317</v>
      </c>
      <c r="D1742" s="389" t="s">
        <v>405</v>
      </c>
      <c r="E1742" s="390"/>
      <c r="F1742" s="391">
        <f>ROUND(SUM(H1742:H1748),0)</f>
        <v>26321</v>
      </c>
      <c r="G1742" s="392"/>
      <c r="H1742" s="393"/>
      <c r="I1742" s="738"/>
    </row>
    <row r="1743" spans="1:9" x14ac:dyDescent="0.2">
      <c r="A1743" s="939" t="s">
        <v>295</v>
      </c>
      <c r="B1743" s="241" t="s">
        <v>1303</v>
      </c>
      <c r="C1743" s="44" t="s">
        <v>2608</v>
      </c>
      <c r="D1743" s="2" t="s">
        <v>406</v>
      </c>
      <c r="E1743" s="114">
        <v>0.04</v>
      </c>
      <c r="F1743" s="23">
        <f>VLOOKUP(B1743,'BASE DE DATOS'!$A$5:$E$997,5,FALSE)</f>
        <v>6700</v>
      </c>
      <c r="G1743" s="104">
        <v>1.05</v>
      </c>
      <c r="H1743" s="252">
        <f>IF(G1743&gt;0,(G1743*F1743*E1743),(F1743*E1743))</f>
        <v>281.40000000000003</v>
      </c>
    </row>
    <row r="1744" spans="1:9" x14ac:dyDescent="0.2">
      <c r="A1744" s="939"/>
      <c r="B1744" s="241" t="s">
        <v>1318</v>
      </c>
      <c r="C1744" s="3" t="s">
        <v>677</v>
      </c>
      <c r="D1744" s="2" t="s">
        <v>406</v>
      </c>
      <c r="E1744" s="114">
        <v>0.2</v>
      </c>
      <c r="F1744" s="23">
        <f>VLOOKUP(B1744,'BASE DE DATOS'!$A$5:$E$997,5,FALSE)</f>
        <v>1675</v>
      </c>
      <c r="G1744" s="104">
        <v>1.05</v>
      </c>
      <c r="H1744" s="252">
        <f t="shared" ref="H1744:H1748" si="138">IF(G1744&gt;0,(G1744*F1744*E1744),(F1744*E1744))</f>
        <v>351.75</v>
      </c>
    </row>
    <row r="1745" spans="1:9" x14ac:dyDescent="0.2">
      <c r="A1745" s="939"/>
      <c r="B1745" s="241" t="s">
        <v>1392</v>
      </c>
      <c r="C1745" s="3" t="s">
        <v>2892</v>
      </c>
      <c r="D1745" s="2" t="s">
        <v>406</v>
      </c>
      <c r="E1745" s="114">
        <v>0.4</v>
      </c>
      <c r="F1745" s="23">
        <f>VLOOKUP(B1745,'BASE DE DATOS'!$A$5:$E$997,5,FALSE)</f>
        <v>2852.9500000000003</v>
      </c>
      <c r="G1745" s="104">
        <v>1.05</v>
      </c>
      <c r="H1745" s="252">
        <f>IF(G1745&gt;0,(G1745*F1745*E1745),(F1745*E1745))</f>
        <v>1198.2390000000003</v>
      </c>
    </row>
    <row r="1746" spans="1:9" ht="25.5" x14ac:dyDescent="0.2">
      <c r="A1746" s="939"/>
      <c r="B1746" s="241" t="s">
        <v>1536</v>
      </c>
      <c r="C1746" s="3" t="s">
        <v>2738</v>
      </c>
      <c r="D1746" s="2" t="s">
        <v>288</v>
      </c>
      <c r="E1746" s="114">
        <v>0.1</v>
      </c>
      <c r="F1746" s="23">
        <f>VLOOKUP(B1746,'BASE DE DATOS'!$A$5:$E$997,5,FALSE)</f>
        <v>37900</v>
      </c>
      <c r="G1746" s="104">
        <v>1.08</v>
      </c>
      <c r="H1746" s="252">
        <f t="shared" si="138"/>
        <v>4093.2000000000003</v>
      </c>
    </row>
    <row r="1747" spans="1:9" x14ac:dyDescent="0.2">
      <c r="A1747" s="483" t="s">
        <v>2555</v>
      </c>
      <c r="B1747" s="241" t="s">
        <v>644</v>
      </c>
      <c r="C1747" s="3" t="s">
        <v>645</v>
      </c>
      <c r="D1747" s="2" t="s">
        <v>585</v>
      </c>
      <c r="E1747" s="114">
        <v>1</v>
      </c>
      <c r="F1747" s="23">
        <f>VLOOKUP(B1747,'BASE DE DATOS'!$A$5:$E$997,5,FALSE)</f>
        <v>248302</v>
      </c>
      <c r="G1747" s="104">
        <f>1/14</f>
        <v>7.1428571428571425E-2</v>
      </c>
      <c r="H1747" s="252">
        <f t="shared" si="138"/>
        <v>17735.857142857141</v>
      </c>
    </row>
    <row r="1748" spans="1:9" ht="13.5" thickBot="1" x14ac:dyDescent="0.25">
      <c r="A1748" s="482" t="s">
        <v>293</v>
      </c>
      <c r="B1748" s="528" t="s">
        <v>269</v>
      </c>
      <c r="C1748" s="108" t="s">
        <v>284</v>
      </c>
      <c r="D1748" s="109" t="s">
        <v>586</v>
      </c>
      <c r="E1748" s="200">
        <v>0.15</v>
      </c>
      <c r="F1748" s="110">
        <f>H1747</f>
        <v>17735.857142857141</v>
      </c>
      <c r="G1748" s="156">
        <v>0</v>
      </c>
      <c r="H1748" s="479">
        <f t="shared" si="138"/>
        <v>2660.3785714285709</v>
      </c>
    </row>
    <row r="1749" spans="1:9" s="42" customFormat="1" ht="15" x14ac:dyDescent="0.2">
      <c r="A1749" s="67" t="s">
        <v>3378</v>
      </c>
      <c r="B1749" s="529"/>
      <c r="C1749" s="388" t="s">
        <v>3297</v>
      </c>
      <c r="D1749" s="389" t="s">
        <v>405</v>
      </c>
      <c r="E1749" s="390"/>
      <c r="F1749" s="391">
        <f>ROUND(SUM(H1749:H1755),0)</f>
        <v>26743</v>
      </c>
      <c r="G1749" s="392"/>
      <c r="H1749" s="393"/>
      <c r="I1749" s="738"/>
    </row>
    <row r="1750" spans="1:9" x14ac:dyDescent="0.2">
      <c r="A1750" s="936" t="s">
        <v>382</v>
      </c>
      <c r="B1750" s="241" t="s">
        <v>1303</v>
      </c>
      <c r="C1750" s="44" t="s">
        <v>2608</v>
      </c>
      <c r="D1750" s="2" t="s">
        <v>406</v>
      </c>
      <c r="E1750" s="114">
        <v>0.04</v>
      </c>
      <c r="F1750" s="23">
        <f>VLOOKUP(B1750,'BASE DE DATOS'!$A$5:$E$997,5,FALSE)</f>
        <v>6700</v>
      </c>
      <c r="G1750" s="104">
        <v>1.05</v>
      </c>
      <c r="H1750" s="252">
        <f>IF(G1750&gt;0,(G1750*F1750*E1750),(F1750*E1750))</f>
        <v>281.40000000000003</v>
      </c>
    </row>
    <row r="1751" spans="1:9" x14ac:dyDescent="0.2">
      <c r="A1751" s="936"/>
      <c r="B1751" s="241" t="s">
        <v>1318</v>
      </c>
      <c r="C1751" s="3" t="s">
        <v>677</v>
      </c>
      <c r="D1751" s="2" t="s">
        <v>406</v>
      </c>
      <c r="E1751" s="114">
        <v>0.2</v>
      </c>
      <c r="F1751" s="23">
        <f>VLOOKUP(B1751,'BASE DE DATOS'!$A$5:$E$997,5,FALSE)</f>
        <v>1675</v>
      </c>
      <c r="G1751" s="104">
        <v>1.05</v>
      </c>
      <c r="H1751" s="252">
        <f t="shared" ref="H1751:H1755" si="139">IF(G1751&gt;0,(G1751*F1751*E1751),(F1751*E1751))</f>
        <v>351.75</v>
      </c>
    </row>
    <row r="1752" spans="1:9" x14ac:dyDescent="0.2">
      <c r="A1752" s="936"/>
      <c r="B1752" s="241" t="s">
        <v>1392</v>
      </c>
      <c r="C1752" s="3" t="s">
        <v>2892</v>
      </c>
      <c r="D1752" s="2" t="s">
        <v>406</v>
      </c>
      <c r="E1752" s="114">
        <v>0.4</v>
      </c>
      <c r="F1752" s="23">
        <f>VLOOKUP(B1752,'BASE DE DATOS'!$A$5:$E$997,5,FALSE)</f>
        <v>2852.9500000000003</v>
      </c>
      <c r="G1752" s="104">
        <v>1.05</v>
      </c>
      <c r="H1752" s="252">
        <f>IF(G1752&gt;0,(G1752*F1752*E1752),(F1752*E1752))</f>
        <v>1198.2390000000003</v>
      </c>
    </row>
    <row r="1753" spans="1:9" ht="14.25" x14ac:dyDescent="0.2">
      <c r="A1753" s="936"/>
      <c r="B1753" s="241" t="s">
        <v>1533</v>
      </c>
      <c r="C1753" s="3" t="s">
        <v>2978</v>
      </c>
      <c r="D1753" s="2" t="s">
        <v>288</v>
      </c>
      <c r="E1753" s="114">
        <v>0.1</v>
      </c>
      <c r="F1753" s="23">
        <f>VLOOKUP(B1753,'BASE DE DATOS'!$A$5:$E$997,5,FALSE)</f>
        <v>40313</v>
      </c>
      <c r="G1753" s="104">
        <v>1.1200000000000001</v>
      </c>
      <c r="H1753" s="252">
        <f t="shared" si="139"/>
        <v>4515.0560000000005</v>
      </c>
    </row>
    <row r="1754" spans="1:9" x14ac:dyDescent="0.2">
      <c r="A1754" s="483" t="s">
        <v>2555</v>
      </c>
      <c r="B1754" s="241" t="s">
        <v>644</v>
      </c>
      <c r="C1754" s="3" t="s">
        <v>645</v>
      </c>
      <c r="D1754" s="2" t="s">
        <v>585</v>
      </c>
      <c r="E1754" s="114">
        <v>1</v>
      </c>
      <c r="F1754" s="23">
        <f>VLOOKUP(B1754,'BASE DE DATOS'!$A$5:$E$997,5,FALSE)</f>
        <v>248302</v>
      </c>
      <c r="G1754" s="104">
        <f>1/14</f>
        <v>7.1428571428571425E-2</v>
      </c>
      <c r="H1754" s="252">
        <f t="shared" si="139"/>
        <v>17735.857142857141</v>
      </c>
    </row>
    <row r="1755" spans="1:9" ht="13.5" thickBot="1" x14ac:dyDescent="0.25">
      <c r="A1755" s="482" t="s">
        <v>293</v>
      </c>
      <c r="B1755" s="528" t="s">
        <v>269</v>
      </c>
      <c r="C1755" s="108" t="s">
        <v>284</v>
      </c>
      <c r="D1755" s="109" t="s">
        <v>586</v>
      </c>
      <c r="E1755" s="200">
        <v>0.15</v>
      </c>
      <c r="F1755" s="110">
        <f>H1754</f>
        <v>17735.857142857141</v>
      </c>
      <c r="G1755" s="156">
        <v>0</v>
      </c>
      <c r="H1755" s="479">
        <f t="shared" si="139"/>
        <v>2660.3785714285709</v>
      </c>
    </row>
    <row r="1756" spans="1:9" s="42" customFormat="1" ht="30" x14ac:dyDescent="0.2">
      <c r="A1756" s="67" t="s">
        <v>2520</v>
      </c>
      <c r="B1756" s="529"/>
      <c r="C1756" s="388" t="s">
        <v>3318</v>
      </c>
      <c r="D1756" s="389" t="s">
        <v>405</v>
      </c>
      <c r="E1756" s="390"/>
      <c r="F1756" s="391">
        <f>ROUND(SUM(H1756:H1762),0)</f>
        <v>18596</v>
      </c>
      <c r="G1756" s="392"/>
      <c r="H1756" s="393"/>
      <c r="I1756" s="738"/>
    </row>
    <row r="1757" spans="1:9" x14ac:dyDescent="0.2">
      <c r="A1757" s="936" t="s">
        <v>382</v>
      </c>
      <c r="B1757" s="241" t="s">
        <v>1303</v>
      </c>
      <c r="C1757" s="44" t="s">
        <v>2608</v>
      </c>
      <c r="D1757" s="2" t="s">
        <v>406</v>
      </c>
      <c r="E1757" s="114">
        <v>0.04</v>
      </c>
      <c r="F1757" s="23">
        <f>VLOOKUP(B1757,'BASE DE DATOS'!$A$5:$E$997,5,FALSE)</f>
        <v>6700</v>
      </c>
      <c r="G1757" s="104">
        <v>1.05</v>
      </c>
      <c r="H1757" s="252">
        <f>IF(G1757&gt;0,(G1757*F1757*E1757),(F1757*E1757))</f>
        <v>281.40000000000003</v>
      </c>
    </row>
    <row r="1758" spans="1:9" x14ac:dyDescent="0.2">
      <c r="A1758" s="936"/>
      <c r="B1758" s="241" t="s">
        <v>1318</v>
      </c>
      <c r="C1758" s="3" t="s">
        <v>677</v>
      </c>
      <c r="D1758" s="2" t="s">
        <v>406</v>
      </c>
      <c r="E1758" s="196">
        <v>0.2</v>
      </c>
      <c r="F1758" s="23">
        <f>VLOOKUP(B1758,'BASE DE DATOS'!$A$5:$E$997,5,FALSE)</f>
        <v>1675</v>
      </c>
      <c r="G1758" s="104">
        <v>1.05</v>
      </c>
      <c r="H1758" s="252">
        <f t="shared" ref="H1758:H1762" si="140">IF(G1758&gt;0,(G1758*F1758*E1758),(F1758*E1758))</f>
        <v>351.75</v>
      </c>
    </row>
    <row r="1759" spans="1:9" ht="14.25" x14ac:dyDescent="0.2">
      <c r="A1759" s="936"/>
      <c r="B1759" s="241" t="s">
        <v>1325</v>
      </c>
      <c r="C1759" s="3" t="s">
        <v>2049</v>
      </c>
      <c r="D1759" s="2" t="s">
        <v>288</v>
      </c>
      <c r="E1759" s="196">
        <v>0.1</v>
      </c>
      <c r="F1759" s="23">
        <f>VLOOKUP(B1759,'BASE DE DATOS'!$A$5:$E$997,5,FALSE)</f>
        <v>33898.86363636364</v>
      </c>
      <c r="G1759" s="104">
        <v>1.1000000000000001</v>
      </c>
      <c r="H1759" s="252">
        <f t="shared" si="140"/>
        <v>3728.8750000000009</v>
      </c>
    </row>
    <row r="1760" spans="1:9" x14ac:dyDescent="0.2">
      <c r="A1760" s="936"/>
      <c r="B1760" s="241" t="s">
        <v>1392</v>
      </c>
      <c r="C1760" s="3" t="s">
        <v>2892</v>
      </c>
      <c r="D1760" s="2" t="s">
        <v>406</v>
      </c>
      <c r="E1760" s="114">
        <v>0.4</v>
      </c>
      <c r="F1760" s="23">
        <f>VLOOKUP(B1760,'BASE DE DATOS'!$A$5:$E$997,5,FALSE)</f>
        <v>2852.9500000000003</v>
      </c>
      <c r="G1760" s="104">
        <v>1.05</v>
      </c>
      <c r="H1760" s="252">
        <f t="shared" si="140"/>
        <v>1198.2390000000003</v>
      </c>
    </row>
    <row r="1761" spans="1:9" x14ac:dyDescent="0.2">
      <c r="A1761" s="81" t="s">
        <v>2555</v>
      </c>
      <c r="B1761" s="241" t="s">
        <v>644</v>
      </c>
      <c r="C1761" s="3" t="s">
        <v>645</v>
      </c>
      <c r="D1761" s="2" t="s">
        <v>585</v>
      </c>
      <c r="E1761" s="196">
        <v>1</v>
      </c>
      <c r="F1761" s="23">
        <f>VLOOKUP(B1761,'BASE DE DATOS'!$A$5:$E$997,5,FALSE)</f>
        <v>248302</v>
      </c>
      <c r="G1761" s="104">
        <f>1/20</f>
        <v>0.05</v>
      </c>
      <c r="H1761" s="252">
        <f t="shared" si="140"/>
        <v>12415.1</v>
      </c>
    </row>
    <row r="1762" spans="1:9" ht="13.5" thickBot="1" x14ac:dyDescent="0.25">
      <c r="A1762" s="94" t="s">
        <v>293</v>
      </c>
      <c r="B1762" s="528" t="s">
        <v>269</v>
      </c>
      <c r="C1762" s="108" t="s">
        <v>284</v>
      </c>
      <c r="D1762" s="109" t="s">
        <v>586</v>
      </c>
      <c r="E1762" s="203">
        <v>0.05</v>
      </c>
      <c r="F1762" s="110">
        <f>H1761</f>
        <v>12415.1</v>
      </c>
      <c r="G1762" s="156">
        <v>0</v>
      </c>
      <c r="H1762" s="479">
        <f t="shared" si="140"/>
        <v>620.75500000000011</v>
      </c>
    </row>
    <row r="1763" spans="1:9" s="42" customFormat="1" ht="15" x14ac:dyDescent="0.2">
      <c r="A1763" s="67" t="s">
        <v>2488</v>
      </c>
      <c r="B1763" s="529"/>
      <c r="C1763" s="388" t="s">
        <v>3319</v>
      </c>
      <c r="D1763" s="389" t="s">
        <v>405</v>
      </c>
      <c r="E1763" s="390"/>
      <c r="F1763" s="391">
        <f>ROUND(SUM(H1763:H1769),0)</f>
        <v>19256</v>
      </c>
      <c r="G1763" s="392"/>
      <c r="H1763" s="393"/>
      <c r="I1763" s="738"/>
    </row>
    <row r="1764" spans="1:9" x14ac:dyDescent="0.2">
      <c r="A1764" s="936" t="s">
        <v>382</v>
      </c>
      <c r="B1764" s="241" t="s">
        <v>1303</v>
      </c>
      <c r="C1764" s="44" t="s">
        <v>2608</v>
      </c>
      <c r="D1764" s="2" t="s">
        <v>406</v>
      </c>
      <c r="E1764" s="114">
        <v>0.04</v>
      </c>
      <c r="F1764" s="23">
        <f>VLOOKUP(B1764,'BASE DE DATOS'!$A$5:$E$997,5,FALSE)</f>
        <v>6700</v>
      </c>
      <c r="G1764" s="104">
        <v>1.05</v>
      </c>
      <c r="H1764" s="252">
        <f>IF(G1764&gt;0,(G1764*F1764*E1764),(F1764*E1764))</f>
        <v>281.40000000000003</v>
      </c>
    </row>
    <row r="1765" spans="1:9" x14ac:dyDescent="0.2">
      <c r="A1765" s="936"/>
      <c r="B1765" s="241" t="s">
        <v>1318</v>
      </c>
      <c r="C1765" s="3" t="s">
        <v>677</v>
      </c>
      <c r="D1765" s="2" t="s">
        <v>406</v>
      </c>
      <c r="E1765" s="196">
        <v>0.2</v>
      </c>
      <c r="F1765" s="23">
        <f>VLOOKUP(B1765,'BASE DE DATOS'!$A$5:$E$997,5,FALSE)</f>
        <v>1675</v>
      </c>
      <c r="G1765" s="104">
        <v>1.05</v>
      </c>
      <c r="H1765" s="252">
        <f t="shared" ref="H1765:H1769" si="141">IF(G1765&gt;0,(G1765*F1765*E1765),(F1765*E1765))</f>
        <v>351.75</v>
      </c>
    </row>
    <row r="1766" spans="1:9" ht="14.25" x14ac:dyDescent="0.2">
      <c r="A1766" s="936"/>
      <c r="B1766" s="241" t="s">
        <v>1322</v>
      </c>
      <c r="C1766" s="3" t="s">
        <v>3311</v>
      </c>
      <c r="D1766" s="2" t="s">
        <v>288</v>
      </c>
      <c r="E1766" s="196">
        <v>0.1</v>
      </c>
      <c r="F1766" s="23">
        <f>VLOOKUP(B1766,'BASE DE DATOS'!$A$5:$E$997,5,FALSE)</f>
        <v>39900</v>
      </c>
      <c r="G1766" s="104">
        <v>1.1000000000000001</v>
      </c>
      <c r="H1766" s="252">
        <f t="shared" si="141"/>
        <v>4389</v>
      </c>
    </row>
    <row r="1767" spans="1:9" x14ac:dyDescent="0.2">
      <c r="A1767" s="936"/>
      <c r="B1767" s="241" t="s">
        <v>1392</v>
      </c>
      <c r="C1767" s="3" t="s">
        <v>2892</v>
      </c>
      <c r="D1767" s="2" t="s">
        <v>406</v>
      </c>
      <c r="E1767" s="114">
        <v>0.4</v>
      </c>
      <c r="F1767" s="23">
        <f>VLOOKUP(B1767,'BASE DE DATOS'!$A$5:$E$997,5,FALSE)</f>
        <v>2852.9500000000003</v>
      </c>
      <c r="G1767" s="104">
        <v>1.05</v>
      </c>
      <c r="H1767" s="252">
        <f t="shared" si="141"/>
        <v>1198.2390000000003</v>
      </c>
    </row>
    <row r="1768" spans="1:9" x14ac:dyDescent="0.2">
      <c r="A1768" s="488" t="s">
        <v>2555</v>
      </c>
      <c r="B1768" s="241" t="s">
        <v>644</v>
      </c>
      <c r="C1768" s="3" t="s">
        <v>645</v>
      </c>
      <c r="D1768" s="2" t="s">
        <v>585</v>
      </c>
      <c r="E1768" s="196">
        <v>1</v>
      </c>
      <c r="F1768" s="23">
        <f>VLOOKUP(B1768,'BASE DE DATOS'!$A$5:$E$997,5,FALSE)</f>
        <v>248302</v>
      </c>
      <c r="G1768" s="104">
        <f>1/20</f>
        <v>0.05</v>
      </c>
      <c r="H1768" s="252">
        <f t="shared" si="141"/>
        <v>12415.1</v>
      </c>
    </row>
    <row r="1769" spans="1:9" ht="13.5" thickBot="1" x14ac:dyDescent="0.25">
      <c r="A1769" s="487" t="s">
        <v>293</v>
      </c>
      <c r="B1769" s="528" t="s">
        <v>269</v>
      </c>
      <c r="C1769" s="108" t="s">
        <v>284</v>
      </c>
      <c r="D1769" s="109" t="s">
        <v>586</v>
      </c>
      <c r="E1769" s="203">
        <v>0.05</v>
      </c>
      <c r="F1769" s="110">
        <f>H1768</f>
        <v>12415.1</v>
      </c>
      <c r="G1769" s="156">
        <v>0</v>
      </c>
      <c r="H1769" s="479">
        <f t="shared" si="141"/>
        <v>620.75500000000011</v>
      </c>
    </row>
    <row r="1770" spans="1:9" s="42" customFormat="1" ht="15" x14ac:dyDescent="0.2">
      <c r="A1770" s="67" t="s">
        <v>2487</v>
      </c>
      <c r="B1770" s="529"/>
      <c r="C1770" s="388" t="s">
        <v>3298</v>
      </c>
      <c r="D1770" s="389" t="s">
        <v>405</v>
      </c>
      <c r="E1770" s="390"/>
      <c r="F1770" s="391">
        <f>ROUND(SUM(H1770:H1776),0)</f>
        <v>19475</v>
      </c>
      <c r="G1770" s="392"/>
      <c r="H1770" s="393"/>
      <c r="I1770" s="738"/>
    </row>
    <row r="1771" spans="1:9" x14ac:dyDescent="0.2">
      <c r="A1771" s="936" t="s">
        <v>382</v>
      </c>
      <c r="B1771" s="241" t="s">
        <v>1303</v>
      </c>
      <c r="C1771" s="44" t="s">
        <v>2608</v>
      </c>
      <c r="D1771" s="2" t="s">
        <v>406</v>
      </c>
      <c r="E1771" s="114">
        <v>0.04</v>
      </c>
      <c r="F1771" s="23">
        <f>VLOOKUP(B1771,'BASE DE DATOS'!$A$5:$E$997,5,FALSE)</f>
        <v>6700</v>
      </c>
      <c r="G1771" s="104">
        <v>1.05</v>
      </c>
      <c r="H1771" s="252">
        <f>IF(G1771&gt;0,(G1771*F1771*E1771),(F1771*E1771))</f>
        <v>281.40000000000003</v>
      </c>
    </row>
    <row r="1772" spans="1:9" x14ac:dyDescent="0.2">
      <c r="A1772" s="936"/>
      <c r="B1772" s="241" t="s">
        <v>1318</v>
      </c>
      <c r="C1772" s="3" t="s">
        <v>677</v>
      </c>
      <c r="D1772" s="2" t="s">
        <v>406</v>
      </c>
      <c r="E1772" s="114">
        <v>0.2</v>
      </c>
      <c r="F1772" s="23">
        <f>VLOOKUP(B1772,'BASE DE DATOS'!$A$5:$E$997,5,FALSE)</f>
        <v>1675</v>
      </c>
      <c r="G1772" s="104">
        <v>1.05</v>
      </c>
      <c r="H1772" s="252">
        <f t="shared" ref="H1772:H1776" si="142">IF(G1772&gt;0,(G1772*F1772*E1772),(F1772*E1772))</f>
        <v>351.75</v>
      </c>
    </row>
    <row r="1773" spans="1:9" ht="14.25" x14ac:dyDescent="0.2">
      <c r="A1773" s="936"/>
      <c r="B1773" s="241" t="s">
        <v>1326</v>
      </c>
      <c r="C1773" s="3" t="s">
        <v>3302</v>
      </c>
      <c r="D1773" s="2" t="s">
        <v>288</v>
      </c>
      <c r="E1773" s="114">
        <v>0.1</v>
      </c>
      <c r="F1773" s="23">
        <f>VLOOKUP(B1773,'BASE DE DATOS'!$A$5:$E$997,5,FALSE)</f>
        <v>30600</v>
      </c>
      <c r="G1773" s="104">
        <v>1.1000000000000001</v>
      </c>
      <c r="H1773" s="252">
        <f t="shared" si="142"/>
        <v>3366</v>
      </c>
    </row>
    <row r="1774" spans="1:9" x14ac:dyDescent="0.2">
      <c r="A1774" s="936"/>
      <c r="B1774" s="241" t="s">
        <v>1392</v>
      </c>
      <c r="C1774" s="3" t="s">
        <v>2892</v>
      </c>
      <c r="D1774" s="2" t="s">
        <v>406</v>
      </c>
      <c r="E1774" s="114">
        <v>0.4</v>
      </c>
      <c r="F1774" s="23">
        <f>VLOOKUP(B1774,'BASE DE DATOS'!$A$5:$E$997,5,FALSE)</f>
        <v>2852.9500000000003</v>
      </c>
      <c r="G1774" s="104">
        <v>1.05</v>
      </c>
      <c r="H1774" s="252">
        <f t="shared" si="142"/>
        <v>1198.2390000000003</v>
      </c>
    </row>
    <row r="1775" spans="1:9" x14ac:dyDescent="0.2">
      <c r="A1775" s="483" t="s">
        <v>2555</v>
      </c>
      <c r="B1775" s="241" t="s">
        <v>644</v>
      </c>
      <c r="C1775" s="3" t="s">
        <v>645</v>
      </c>
      <c r="D1775" s="2" t="s">
        <v>585</v>
      </c>
      <c r="E1775" s="114">
        <v>1</v>
      </c>
      <c r="F1775" s="23">
        <f>VLOOKUP(B1775,'BASE DE DATOS'!$A$5:$E$997,5,FALSE)</f>
        <v>248302</v>
      </c>
      <c r="G1775" s="104">
        <f>1/20</f>
        <v>0.05</v>
      </c>
      <c r="H1775" s="252">
        <f t="shared" si="142"/>
        <v>12415.1</v>
      </c>
    </row>
    <row r="1776" spans="1:9" ht="13.5" thickBot="1" x14ac:dyDescent="0.25">
      <c r="A1776" s="482" t="s">
        <v>293</v>
      </c>
      <c r="B1776" s="528" t="s">
        <v>269</v>
      </c>
      <c r="C1776" s="108" t="s">
        <v>284</v>
      </c>
      <c r="D1776" s="109" t="s">
        <v>586</v>
      </c>
      <c r="E1776" s="200">
        <v>0.15</v>
      </c>
      <c r="F1776" s="110">
        <f>H1775</f>
        <v>12415.1</v>
      </c>
      <c r="G1776" s="156">
        <v>0</v>
      </c>
      <c r="H1776" s="479">
        <f t="shared" si="142"/>
        <v>1862.2649999999999</v>
      </c>
    </row>
    <row r="1777" spans="1:9" s="42" customFormat="1" ht="30" x14ac:dyDescent="0.2">
      <c r="A1777" s="67" t="s">
        <v>2486</v>
      </c>
      <c r="B1777" s="529"/>
      <c r="C1777" s="388" t="s">
        <v>3299</v>
      </c>
      <c r="D1777" s="389" t="s">
        <v>405</v>
      </c>
      <c r="E1777" s="390"/>
      <c r="F1777" s="391">
        <f>ROUND(SUM(H1777:H1783),0)</f>
        <v>25679</v>
      </c>
      <c r="G1777" s="392"/>
      <c r="H1777" s="393"/>
      <c r="I1777" s="738"/>
    </row>
    <row r="1778" spans="1:9" x14ac:dyDescent="0.2">
      <c r="A1778" s="936" t="s">
        <v>382</v>
      </c>
      <c r="B1778" s="241" t="s">
        <v>1303</v>
      </c>
      <c r="C1778" s="44" t="s">
        <v>2608</v>
      </c>
      <c r="D1778" s="2" t="s">
        <v>406</v>
      </c>
      <c r="E1778" s="114">
        <v>0.04</v>
      </c>
      <c r="F1778" s="23">
        <f>VLOOKUP(B1778,'BASE DE DATOS'!$A$5:$E$997,5,FALSE)</f>
        <v>6700</v>
      </c>
      <c r="G1778" s="104">
        <v>1.05</v>
      </c>
      <c r="H1778" s="252">
        <f>IF(G1778&gt;0,(G1778*F1778*E1778),(F1778*E1778))</f>
        <v>281.40000000000003</v>
      </c>
    </row>
    <row r="1779" spans="1:9" x14ac:dyDescent="0.2">
      <c r="A1779" s="936"/>
      <c r="B1779" s="241" t="s">
        <v>1318</v>
      </c>
      <c r="C1779" s="3" t="s">
        <v>677</v>
      </c>
      <c r="D1779" s="2" t="s">
        <v>406</v>
      </c>
      <c r="E1779" s="114">
        <v>0.2</v>
      </c>
      <c r="F1779" s="23">
        <f>VLOOKUP(B1779,'BASE DE DATOS'!$A$5:$E$997,5,FALSE)</f>
        <v>1675</v>
      </c>
      <c r="G1779" s="104">
        <v>1.05</v>
      </c>
      <c r="H1779" s="252">
        <f t="shared" ref="H1779:H1783" si="143">IF(G1779&gt;0,(G1779*F1779*E1779),(F1779*E1779))</f>
        <v>351.75</v>
      </c>
    </row>
    <row r="1780" spans="1:9" x14ac:dyDescent="0.2">
      <c r="A1780" s="936"/>
      <c r="B1780" s="241" t="s">
        <v>1392</v>
      </c>
      <c r="C1780" s="3" t="s">
        <v>2892</v>
      </c>
      <c r="D1780" s="2" t="s">
        <v>406</v>
      </c>
      <c r="E1780" s="114">
        <v>0.4</v>
      </c>
      <c r="F1780" s="23">
        <f>VLOOKUP(B1780,'BASE DE DATOS'!$A$5:$E$997,5,FALSE)</f>
        <v>2852.9500000000003</v>
      </c>
      <c r="G1780" s="104">
        <v>1.05</v>
      </c>
      <c r="H1780" s="252">
        <f>IF(G1780&gt;0,(G1780*F1780*E1780),(F1780*E1780))</f>
        <v>1198.2390000000003</v>
      </c>
    </row>
    <row r="1781" spans="1:9" ht="14.25" x14ac:dyDescent="0.2">
      <c r="A1781" s="936"/>
      <c r="B1781" s="241" t="s">
        <v>1532</v>
      </c>
      <c r="C1781" s="3" t="s">
        <v>2683</v>
      </c>
      <c r="D1781" s="2" t="s">
        <v>288</v>
      </c>
      <c r="E1781" s="114">
        <v>0.1</v>
      </c>
      <c r="F1781" s="23">
        <f>VLOOKUP(B1781,'BASE DE DATOS'!$A$5:$E$997,5,FALSE)</f>
        <v>86999</v>
      </c>
      <c r="G1781" s="104">
        <v>1.1000000000000001</v>
      </c>
      <c r="H1781" s="252">
        <f t="shared" si="143"/>
        <v>9569.8900000000012</v>
      </c>
    </row>
    <row r="1782" spans="1:9" x14ac:dyDescent="0.2">
      <c r="A1782" s="483" t="s">
        <v>2555</v>
      </c>
      <c r="B1782" s="241" t="s">
        <v>644</v>
      </c>
      <c r="C1782" s="3" t="s">
        <v>645</v>
      </c>
      <c r="D1782" s="2" t="s">
        <v>585</v>
      </c>
      <c r="E1782" s="114">
        <v>1</v>
      </c>
      <c r="F1782" s="23">
        <f>VLOOKUP(B1782,'BASE DE DATOS'!$A$5:$E$997,5,FALSE)</f>
        <v>248302</v>
      </c>
      <c r="G1782" s="104">
        <f>1/20</f>
        <v>0.05</v>
      </c>
      <c r="H1782" s="252">
        <f t="shared" si="143"/>
        <v>12415.1</v>
      </c>
    </row>
    <row r="1783" spans="1:9" ht="13.5" thickBot="1" x14ac:dyDescent="0.25">
      <c r="A1783" s="482" t="s">
        <v>293</v>
      </c>
      <c r="B1783" s="528" t="s">
        <v>269</v>
      </c>
      <c r="C1783" s="108" t="s">
        <v>284</v>
      </c>
      <c r="D1783" s="109" t="s">
        <v>586</v>
      </c>
      <c r="E1783" s="200">
        <v>0.15</v>
      </c>
      <c r="F1783" s="110">
        <f>H1782</f>
        <v>12415.1</v>
      </c>
      <c r="G1783" s="156">
        <v>0</v>
      </c>
      <c r="H1783" s="479">
        <f t="shared" si="143"/>
        <v>1862.2649999999999</v>
      </c>
    </row>
    <row r="1784" spans="1:9" s="42" customFormat="1" ht="30" x14ac:dyDescent="0.2">
      <c r="A1784" s="67" t="s">
        <v>2485</v>
      </c>
      <c r="B1784" s="529"/>
      <c r="C1784" s="388" t="s">
        <v>3300</v>
      </c>
      <c r="D1784" s="389" t="s">
        <v>405</v>
      </c>
      <c r="E1784" s="395"/>
      <c r="F1784" s="391">
        <f>ROUND(SUM(H1784:H1790),0)</f>
        <v>18319</v>
      </c>
      <c r="G1784" s="392"/>
      <c r="H1784" s="393"/>
      <c r="I1784" s="738"/>
    </row>
    <row r="1785" spans="1:9" s="33" customFormat="1" x14ac:dyDescent="0.2">
      <c r="A1785" s="936" t="s">
        <v>382</v>
      </c>
      <c r="B1785" s="241" t="s">
        <v>1303</v>
      </c>
      <c r="C1785" s="44" t="s">
        <v>2608</v>
      </c>
      <c r="D1785" s="2" t="s">
        <v>406</v>
      </c>
      <c r="E1785" s="114">
        <v>0.04</v>
      </c>
      <c r="F1785" s="23">
        <f>VLOOKUP(B1785,'BASE DE DATOS'!$A$5:$E$997,5,FALSE)</f>
        <v>6700</v>
      </c>
      <c r="G1785" s="104">
        <v>1.05</v>
      </c>
      <c r="H1785" s="252">
        <f>IF(G1785&gt;0,(G1785*F1785*E1785),(F1785*E1785))</f>
        <v>281.40000000000003</v>
      </c>
    </row>
    <row r="1786" spans="1:9" x14ac:dyDescent="0.2">
      <c r="A1786" s="936"/>
      <c r="B1786" s="241" t="s">
        <v>1318</v>
      </c>
      <c r="C1786" s="3" t="s">
        <v>677</v>
      </c>
      <c r="D1786" s="2" t="s">
        <v>406</v>
      </c>
      <c r="E1786" s="114">
        <v>0.2</v>
      </c>
      <c r="F1786" s="23">
        <f>VLOOKUP(B1786,'BASE DE DATOS'!$A$5:$E$997,5,FALSE)</f>
        <v>1675</v>
      </c>
      <c r="G1786" s="104">
        <v>1.05</v>
      </c>
      <c r="H1786" s="252">
        <f t="shared" ref="H1786:H1790" si="144">IF(G1786&gt;0,(G1786*F1786*E1786),(F1786*E1786))</f>
        <v>351.75</v>
      </c>
    </row>
    <row r="1787" spans="1:9" x14ac:dyDescent="0.2">
      <c r="A1787" s="936"/>
      <c r="B1787" s="241" t="s">
        <v>1392</v>
      </c>
      <c r="C1787" s="3" t="s">
        <v>2892</v>
      </c>
      <c r="D1787" s="2" t="s">
        <v>406</v>
      </c>
      <c r="E1787" s="114">
        <v>0.4</v>
      </c>
      <c r="F1787" s="23">
        <f>VLOOKUP(B1787,'BASE DE DATOS'!$A$5:$E$997,5,FALSE)</f>
        <v>2852.9500000000003</v>
      </c>
      <c r="G1787" s="104">
        <v>1.05</v>
      </c>
      <c r="H1787" s="252">
        <f>IF(G1787&gt;0,(G1787*F1787*E1787),(F1787*E1787))</f>
        <v>1198.2390000000003</v>
      </c>
    </row>
    <row r="1788" spans="1:9" ht="25.5" x14ac:dyDescent="0.2">
      <c r="A1788" s="936"/>
      <c r="B1788" s="241" t="s">
        <v>1534</v>
      </c>
      <c r="C1788" s="3" t="s">
        <v>2684</v>
      </c>
      <c r="D1788" s="2" t="s">
        <v>288</v>
      </c>
      <c r="E1788" s="114">
        <v>0.1</v>
      </c>
      <c r="F1788" s="23">
        <f>VLOOKUP(B1788,'BASE DE DATOS'!$A$5:$E$997,5,FALSE)</f>
        <v>31376</v>
      </c>
      <c r="G1788" s="104">
        <v>1.1000000000000001</v>
      </c>
      <c r="H1788" s="252">
        <f t="shared" si="144"/>
        <v>3451.3600000000006</v>
      </c>
    </row>
    <row r="1789" spans="1:9" x14ac:dyDescent="0.2">
      <c r="A1789" s="213" t="s">
        <v>2555</v>
      </c>
      <c r="B1789" s="241" t="s">
        <v>644</v>
      </c>
      <c r="C1789" s="3" t="s">
        <v>645</v>
      </c>
      <c r="D1789" s="2" t="s">
        <v>585</v>
      </c>
      <c r="E1789" s="114">
        <v>1</v>
      </c>
      <c r="F1789" s="23">
        <f>VLOOKUP(B1789,'BASE DE DATOS'!$A$5:$E$997,5,FALSE)</f>
        <v>248302</v>
      </c>
      <c r="G1789" s="104">
        <f>1/20</f>
        <v>0.05</v>
      </c>
      <c r="H1789" s="252">
        <f t="shared" si="144"/>
        <v>12415.1</v>
      </c>
    </row>
    <row r="1790" spans="1:9" ht="13.5" thickBot="1" x14ac:dyDescent="0.25">
      <c r="A1790" s="212" t="s">
        <v>293</v>
      </c>
      <c r="B1790" s="528" t="s">
        <v>269</v>
      </c>
      <c r="C1790" s="108" t="s">
        <v>284</v>
      </c>
      <c r="D1790" s="109" t="s">
        <v>586</v>
      </c>
      <c r="E1790" s="200">
        <v>0.05</v>
      </c>
      <c r="F1790" s="110">
        <f>H1789</f>
        <v>12415.1</v>
      </c>
      <c r="G1790" s="156">
        <v>0</v>
      </c>
      <c r="H1790" s="479">
        <f t="shared" si="144"/>
        <v>620.75500000000011</v>
      </c>
    </row>
    <row r="1791" spans="1:9" s="42" customFormat="1" ht="15" x14ac:dyDescent="0.2">
      <c r="A1791" s="67" t="s">
        <v>2484</v>
      </c>
      <c r="B1791" s="529"/>
      <c r="C1791" s="388" t="s">
        <v>3303</v>
      </c>
      <c r="D1791" s="389" t="s">
        <v>405</v>
      </c>
      <c r="E1791" s="395"/>
      <c r="F1791" s="391">
        <f>ROUND(SUM(H1791:H1797),0)</f>
        <v>24854</v>
      </c>
      <c r="G1791" s="392"/>
      <c r="H1791" s="393"/>
      <c r="I1791" s="738"/>
    </row>
    <row r="1792" spans="1:9" s="33" customFormat="1" x14ac:dyDescent="0.2">
      <c r="A1792" s="936" t="s">
        <v>382</v>
      </c>
      <c r="B1792" s="241" t="s">
        <v>1303</v>
      </c>
      <c r="C1792" s="44" t="s">
        <v>2608</v>
      </c>
      <c r="D1792" s="2" t="s">
        <v>406</v>
      </c>
      <c r="E1792" s="114">
        <v>0.04</v>
      </c>
      <c r="F1792" s="23">
        <f>VLOOKUP(B1792,'BASE DE DATOS'!$A$5:$E$997,5,FALSE)</f>
        <v>6700</v>
      </c>
      <c r="G1792" s="104">
        <v>1.05</v>
      </c>
      <c r="H1792" s="252">
        <f>IF(G1792&gt;0,(G1792*F1792*E1792),(F1792*E1792))</f>
        <v>281.40000000000003</v>
      </c>
    </row>
    <row r="1793" spans="1:9" x14ac:dyDescent="0.2">
      <c r="A1793" s="936"/>
      <c r="B1793" s="241" t="s">
        <v>1318</v>
      </c>
      <c r="C1793" s="3" t="s">
        <v>677</v>
      </c>
      <c r="D1793" s="2" t="s">
        <v>406</v>
      </c>
      <c r="E1793" s="114">
        <v>0.2</v>
      </c>
      <c r="F1793" s="23">
        <f>VLOOKUP(B1793,'BASE DE DATOS'!$A$5:$E$997,5,FALSE)</f>
        <v>1675</v>
      </c>
      <c r="G1793" s="104">
        <v>1.05</v>
      </c>
      <c r="H1793" s="252">
        <f t="shared" ref="H1793:H1797" si="145">IF(G1793&gt;0,(G1793*F1793*E1793),(F1793*E1793))</f>
        <v>351.75</v>
      </c>
    </row>
    <row r="1794" spans="1:9" x14ac:dyDescent="0.2">
      <c r="A1794" s="936"/>
      <c r="B1794" s="241" t="s">
        <v>1392</v>
      </c>
      <c r="C1794" s="3" t="s">
        <v>2892</v>
      </c>
      <c r="D1794" s="2" t="s">
        <v>406</v>
      </c>
      <c r="E1794" s="114">
        <v>0.4</v>
      </c>
      <c r="F1794" s="23">
        <f>VLOOKUP(B1794,'BASE DE DATOS'!$A$5:$E$997,5,FALSE)</f>
        <v>2852.9500000000003</v>
      </c>
      <c r="G1794" s="104">
        <v>1.05</v>
      </c>
      <c r="H1794" s="252">
        <f>IF(G1794&gt;0,(G1794*F1794*E1794),(F1794*E1794))</f>
        <v>1198.2390000000003</v>
      </c>
    </row>
    <row r="1795" spans="1:9" ht="14.25" x14ac:dyDescent="0.2">
      <c r="A1795" s="936"/>
      <c r="B1795" s="241" t="s">
        <v>1327</v>
      </c>
      <c r="C1795" s="3" t="s">
        <v>3823</v>
      </c>
      <c r="D1795" s="2" t="s">
        <v>288</v>
      </c>
      <c r="E1795" s="114">
        <v>0.1</v>
      </c>
      <c r="F1795" s="23">
        <f>VLOOKUP(B1795,'BASE DE DATOS'!$A$5:$E$997,5,FALSE)</f>
        <v>39999</v>
      </c>
      <c r="G1795" s="104">
        <v>1.1000000000000001</v>
      </c>
      <c r="H1795" s="252">
        <f t="shared" si="145"/>
        <v>4399.8900000000003</v>
      </c>
    </row>
    <row r="1796" spans="1:9" x14ac:dyDescent="0.2">
      <c r="A1796" s="486" t="s">
        <v>2555</v>
      </c>
      <c r="B1796" s="241" t="s">
        <v>644</v>
      </c>
      <c r="C1796" s="3" t="s">
        <v>645</v>
      </c>
      <c r="D1796" s="2" t="s">
        <v>585</v>
      </c>
      <c r="E1796" s="114">
        <v>1</v>
      </c>
      <c r="F1796" s="23">
        <f>VLOOKUP(B1796,'BASE DE DATOS'!$A$5:$E$997,5,FALSE)</f>
        <v>248302</v>
      </c>
      <c r="G1796" s="104">
        <f>1/14</f>
        <v>7.1428571428571425E-2</v>
      </c>
      <c r="H1796" s="252">
        <f t="shared" si="145"/>
        <v>17735.857142857141</v>
      </c>
    </row>
    <row r="1797" spans="1:9" ht="13.5" thickBot="1" x14ac:dyDescent="0.25">
      <c r="A1797" s="485" t="s">
        <v>293</v>
      </c>
      <c r="B1797" s="528" t="s">
        <v>269</v>
      </c>
      <c r="C1797" s="108" t="s">
        <v>284</v>
      </c>
      <c r="D1797" s="109" t="s">
        <v>586</v>
      </c>
      <c r="E1797" s="200">
        <v>0.05</v>
      </c>
      <c r="F1797" s="110">
        <f>H1796</f>
        <v>17735.857142857141</v>
      </c>
      <c r="G1797" s="156">
        <v>0</v>
      </c>
      <c r="H1797" s="479">
        <f t="shared" si="145"/>
        <v>886.79285714285709</v>
      </c>
    </row>
    <row r="1798" spans="1:9" s="42" customFormat="1" ht="30" x14ac:dyDescent="0.2">
      <c r="A1798" s="67" t="s">
        <v>2483</v>
      </c>
      <c r="B1798" s="529"/>
      <c r="C1798" s="388" t="s">
        <v>3305</v>
      </c>
      <c r="D1798" s="389" t="s">
        <v>405</v>
      </c>
      <c r="E1798" s="390"/>
      <c r="F1798" s="391">
        <f>ROUND(SUM(H1798:H1808),0)</f>
        <v>42280</v>
      </c>
      <c r="G1798" s="392"/>
      <c r="H1798" s="393"/>
      <c r="I1798" s="738"/>
    </row>
    <row r="1799" spans="1:9" x14ac:dyDescent="0.2">
      <c r="A1799" s="939" t="s">
        <v>295</v>
      </c>
      <c r="B1799" s="241" t="s">
        <v>1279</v>
      </c>
      <c r="C1799" s="3" t="s">
        <v>349</v>
      </c>
      <c r="D1799" s="2" t="s">
        <v>617</v>
      </c>
      <c r="E1799" s="196">
        <v>10</v>
      </c>
      <c r="F1799" s="23">
        <f>VLOOKUP(B1799,'BASE DE DATOS'!$A$5:$E$997,5,FALSE)</f>
        <v>19</v>
      </c>
      <c r="G1799" s="104">
        <v>0</v>
      </c>
      <c r="H1799" s="252">
        <f>IF(G1799&gt;0,(G1799*F1799*E1799),(F1799*E1799))</f>
        <v>190</v>
      </c>
    </row>
    <row r="1800" spans="1:9" x14ac:dyDescent="0.2">
      <c r="A1800" s="939"/>
      <c r="B1800" s="241" t="s">
        <v>1318</v>
      </c>
      <c r="C1800" s="3" t="s">
        <v>677</v>
      </c>
      <c r="D1800" s="2" t="s">
        <v>406</v>
      </c>
      <c r="E1800" s="196">
        <v>4</v>
      </c>
      <c r="F1800" s="23">
        <f>VLOOKUP(B1800,'BASE DE DATOS'!$A$5:$E$997,5,FALSE)</f>
        <v>1675</v>
      </c>
      <c r="G1800" s="104">
        <v>1.05</v>
      </c>
      <c r="H1800" s="252">
        <f>IF(G1800&gt;0,(G1800*F1800*E1800),(F1800*E1800))</f>
        <v>7035</v>
      </c>
    </row>
    <row r="1801" spans="1:9" ht="13.15" customHeight="1" x14ac:dyDescent="0.2">
      <c r="A1801" s="939"/>
      <c r="B1801" s="241" t="s">
        <v>1319</v>
      </c>
      <c r="C1801" s="3" t="s">
        <v>2569</v>
      </c>
      <c r="D1801" s="2" t="s">
        <v>616</v>
      </c>
      <c r="E1801" s="196">
        <v>0.01</v>
      </c>
      <c r="F1801" s="23">
        <f>VLOOKUP(B1801,'BASE DE DATOS'!$A$5:$E$997,5,FALSE)</f>
        <v>32900</v>
      </c>
      <c r="G1801" s="104">
        <v>1.05</v>
      </c>
      <c r="H1801" s="252">
        <f t="shared" ref="H1801:H1808" si="146">IF(G1801&gt;0,(G1801*F1801*E1801),(F1801*E1801))</f>
        <v>345.45</v>
      </c>
    </row>
    <row r="1802" spans="1:9" x14ac:dyDescent="0.2">
      <c r="A1802" s="939"/>
      <c r="B1802" s="241" t="s">
        <v>1372</v>
      </c>
      <c r="C1802" s="3" t="s">
        <v>3850</v>
      </c>
      <c r="D1802" s="2" t="s">
        <v>405</v>
      </c>
      <c r="E1802" s="114">
        <v>0.1</v>
      </c>
      <c r="F1802" s="23">
        <f>VLOOKUP(B1802,'BASE DE DATOS'!$A$5:$E$997,5,FALSE)</f>
        <v>3366</v>
      </c>
      <c r="G1802" s="104">
        <v>0</v>
      </c>
      <c r="H1802" s="252">
        <f>IF(G1802&gt;0,(G1802*F1802*E1802),(F1802*E1802))</f>
        <v>336.6</v>
      </c>
    </row>
    <row r="1803" spans="1:9" x14ac:dyDescent="0.2">
      <c r="A1803" s="939"/>
      <c r="B1803" s="241" t="s">
        <v>1892</v>
      </c>
      <c r="C1803" s="3" t="s">
        <v>2463</v>
      </c>
      <c r="D1803" s="2" t="s">
        <v>616</v>
      </c>
      <c r="E1803" s="196">
        <v>0.08</v>
      </c>
      <c r="F1803" s="23">
        <f>VLOOKUP(B1803,'BASE DE DATOS'!$A$5:$E$997,5,FALSE)</f>
        <v>30232.5</v>
      </c>
      <c r="G1803" s="104">
        <v>1.03</v>
      </c>
      <c r="H1803" s="252">
        <f>IF(G1803&gt;0,(G1803*F1803*E1803),(F1803*E1803))</f>
        <v>2491.1580000000004</v>
      </c>
    </row>
    <row r="1804" spans="1:9" x14ac:dyDescent="0.2">
      <c r="A1804" s="939"/>
      <c r="B1804" s="241" t="s">
        <v>1558</v>
      </c>
      <c r="C1804" s="3" t="s">
        <v>2023</v>
      </c>
      <c r="D1804" s="2" t="s">
        <v>590</v>
      </c>
      <c r="E1804" s="196">
        <v>0.01</v>
      </c>
      <c r="F1804" s="23">
        <f>VLOOKUP(B1804,'BASE DE DATOS'!$A$5:$E$997,5,FALSE)</f>
        <v>5650</v>
      </c>
      <c r="G1804" s="104">
        <v>0</v>
      </c>
      <c r="H1804" s="252">
        <f t="shared" si="146"/>
        <v>56.5</v>
      </c>
    </row>
    <row r="1805" spans="1:9" x14ac:dyDescent="0.2">
      <c r="A1805" s="939"/>
      <c r="B1805" s="241" t="s">
        <v>1690</v>
      </c>
      <c r="C1805" s="3" t="s">
        <v>2749</v>
      </c>
      <c r="D1805" s="2" t="s">
        <v>405</v>
      </c>
      <c r="E1805" s="114">
        <v>1</v>
      </c>
      <c r="F1805" s="23">
        <f>VLOOKUP(B1805,'BASE DE DATOS'!$A$5:$E$997,5,FALSE)</f>
        <v>1540</v>
      </c>
      <c r="G1805" s="104">
        <f>1/3</f>
        <v>0.33333333333333331</v>
      </c>
      <c r="H1805" s="252">
        <f>IF(G1805&gt;0,(G1805*F1805*E1805),(F1805*E1805))</f>
        <v>513.33333333333326</v>
      </c>
    </row>
    <row r="1806" spans="1:9" x14ac:dyDescent="0.2">
      <c r="A1806" s="81" t="s">
        <v>2555</v>
      </c>
      <c r="B1806" s="241" t="s">
        <v>644</v>
      </c>
      <c r="C1806" s="3" t="s">
        <v>645</v>
      </c>
      <c r="D1806" s="2" t="s">
        <v>585</v>
      </c>
      <c r="E1806" s="196">
        <v>1</v>
      </c>
      <c r="F1806" s="23">
        <f>VLOOKUP(B1806,'BASE DE DATOS'!$A$5:$E$997,5,FALSE)</f>
        <v>248302</v>
      </c>
      <c r="G1806" s="104">
        <f>1/10</f>
        <v>0.1</v>
      </c>
      <c r="H1806" s="252">
        <f t="shared" si="146"/>
        <v>24830.2</v>
      </c>
    </row>
    <row r="1807" spans="1:9" x14ac:dyDescent="0.2">
      <c r="A1807" s="944" t="s">
        <v>293</v>
      </c>
      <c r="B1807" s="241" t="s">
        <v>269</v>
      </c>
      <c r="C1807" s="3" t="s">
        <v>284</v>
      </c>
      <c r="D1807" s="2" t="s">
        <v>586</v>
      </c>
      <c r="E1807" s="196">
        <v>0.1</v>
      </c>
      <c r="F1807" s="23">
        <f>H1806</f>
        <v>24830.2</v>
      </c>
      <c r="G1807" s="104">
        <v>0</v>
      </c>
      <c r="H1807" s="252">
        <f t="shared" si="146"/>
        <v>2483.0200000000004</v>
      </c>
    </row>
    <row r="1808" spans="1:9" ht="13.5" thickBot="1" x14ac:dyDescent="0.25">
      <c r="A1808" s="945"/>
      <c r="B1808" s="528" t="s">
        <v>169</v>
      </c>
      <c r="C1808" s="108" t="s">
        <v>170</v>
      </c>
      <c r="D1808" s="109" t="s">
        <v>585</v>
      </c>
      <c r="E1808" s="203">
        <v>1</v>
      </c>
      <c r="F1808" s="110">
        <f>VLOOKUP(B1808,'BASE DE DATOS'!$A$5:$E$997,5,FALSE)</f>
        <v>39984</v>
      </c>
      <c r="G1808" s="156">
        <f>1/10</f>
        <v>0.1</v>
      </c>
      <c r="H1808" s="479">
        <f t="shared" si="146"/>
        <v>3998.4</v>
      </c>
    </row>
    <row r="1809" spans="1:9" s="42" customFormat="1" ht="30" x14ac:dyDescent="0.2">
      <c r="A1809" s="67" t="s">
        <v>2482</v>
      </c>
      <c r="B1809" s="529"/>
      <c r="C1809" s="388" t="s">
        <v>3304</v>
      </c>
      <c r="D1809" s="389" t="s">
        <v>405</v>
      </c>
      <c r="E1809" s="390"/>
      <c r="F1809" s="391">
        <f>ROUND(SUM(H1809:H1820),0)</f>
        <v>71898</v>
      </c>
      <c r="G1809" s="392"/>
      <c r="H1809" s="393"/>
      <c r="I1809" s="738"/>
    </row>
    <row r="1810" spans="1:9" x14ac:dyDescent="0.2">
      <c r="A1810" s="939" t="s">
        <v>295</v>
      </c>
      <c r="B1810" s="241" t="s">
        <v>1279</v>
      </c>
      <c r="C1810" s="3" t="s">
        <v>349</v>
      </c>
      <c r="D1810" s="2" t="s">
        <v>617</v>
      </c>
      <c r="E1810" s="196">
        <v>20</v>
      </c>
      <c r="F1810" s="23">
        <f>VLOOKUP(B1810,'BASE DE DATOS'!$A$5:$E$997,5,FALSE)</f>
        <v>19</v>
      </c>
      <c r="G1810" s="104">
        <v>0</v>
      </c>
      <c r="H1810" s="252">
        <f>IF(G1810&gt;0,(G1810*F1810*E1810),(F1810*E1810))</f>
        <v>380</v>
      </c>
    </row>
    <row r="1811" spans="1:9" x14ac:dyDescent="0.2">
      <c r="A1811" s="939"/>
      <c r="B1811" s="241" t="s">
        <v>1318</v>
      </c>
      <c r="C1811" s="3" t="s">
        <v>677</v>
      </c>
      <c r="D1811" s="2" t="s">
        <v>406</v>
      </c>
      <c r="E1811" s="196">
        <v>8</v>
      </c>
      <c r="F1811" s="23">
        <f>VLOOKUP(B1811,'BASE DE DATOS'!$A$5:$E$997,5,FALSE)</f>
        <v>1675</v>
      </c>
      <c r="G1811" s="104">
        <v>1.05</v>
      </c>
      <c r="H1811" s="252">
        <f>IF(G1811&gt;0,(G1811*F1811*E1811),(F1811*E1811))</f>
        <v>14070</v>
      </c>
    </row>
    <row r="1812" spans="1:9" ht="13.15" customHeight="1" x14ac:dyDescent="0.2">
      <c r="A1812" s="939"/>
      <c r="B1812" s="241" t="s">
        <v>1319</v>
      </c>
      <c r="C1812" s="3" t="s">
        <v>2569</v>
      </c>
      <c r="D1812" s="2" t="s">
        <v>616</v>
      </c>
      <c r="E1812" s="196">
        <v>5.8000000000000003E-2</v>
      </c>
      <c r="F1812" s="23">
        <f>VLOOKUP(B1812,'BASE DE DATOS'!$A$5:$E$997,5,FALSE)</f>
        <v>32900</v>
      </c>
      <c r="G1812" s="104">
        <v>1.05</v>
      </c>
      <c r="H1812" s="252">
        <f t="shared" ref="H1812:H1820" si="147">IF(G1812&gt;0,(G1812*F1812*E1812),(F1812*E1812))</f>
        <v>2003.6100000000001</v>
      </c>
    </row>
    <row r="1813" spans="1:9" x14ac:dyDescent="0.2">
      <c r="A1813" s="939"/>
      <c r="B1813" s="241" t="s">
        <v>1372</v>
      </c>
      <c r="C1813" s="3" t="s">
        <v>3850</v>
      </c>
      <c r="D1813" s="2" t="s">
        <v>405</v>
      </c>
      <c r="E1813" s="114">
        <v>1.25</v>
      </c>
      <c r="F1813" s="23">
        <f>VLOOKUP(B1813,'BASE DE DATOS'!$A$5:$E$997,5,FALSE)</f>
        <v>3366</v>
      </c>
      <c r="G1813" s="104">
        <v>0</v>
      </c>
      <c r="H1813" s="252">
        <f>IF(G1813&gt;0,(G1813*F1813*E1813),(F1813*E1813))</f>
        <v>4207.5</v>
      </c>
    </row>
    <row r="1814" spans="1:9" x14ac:dyDescent="0.2">
      <c r="A1814" s="939"/>
      <c r="B1814" s="241" t="s">
        <v>1892</v>
      </c>
      <c r="C1814" s="3" t="s">
        <v>2463</v>
      </c>
      <c r="D1814" s="2" t="s">
        <v>616</v>
      </c>
      <c r="E1814" s="196">
        <v>0.25</v>
      </c>
      <c r="F1814" s="23">
        <f>VLOOKUP(B1814,'BASE DE DATOS'!$A$5:$E$997,5,FALSE)</f>
        <v>30232.5</v>
      </c>
      <c r="G1814" s="104">
        <v>1.03</v>
      </c>
      <c r="H1814" s="252">
        <f>IF(G1814&gt;0,(G1814*F1814*E1814),(F1814*E1814))</f>
        <v>7784.8687500000005</v>
      </c>
    </row>
    <row r="1815" spans="1:9" x14ac:dyDescent="0.2">
      <c r="A1815" s="939"/>
      <c r="B1815" s="241" t="s">
        <v>2764</v>
      </c>
      <c r="C1815" s="3" t="s">
        <v>3306</v>
      </c>
      <c r="D1815" s="2" t="s">
        <v>2402</v>
      </c>
      <c r="E1815" s="114">
        <v>0.2</v>
      </c>
      <c r="F1815" s="23">
        <f>VLOOKUP(B1815,'BASE DE DATOS'!$A$5:$E$997,5,FALSE)</f>
        <v>11900</v>
      </c>
      <c r="G1815" s="104">
        <v>1.03</v>
      </c>
      <c r="H1815" s="252">
        <f t="shared" si="147"/>
        <v>2451.4</v>
      </c>
    </row>
    <row r="1816" spans="1:9" x14ac:dyDescent="0.2">
      <c r="A1816" s="939"/>
      <c r="B1816" s="241" t="s">
        <v>1558</v>
      </c>
      <c r="C1816" s="3" t="s">
        <v>2023</v>
      </c>
      <c r="D1816" s="2" t="s">
        <v>590</v>
      </c>
      <c r="E1816" s="196">
        <v>0.05</v>
      </c>
      <c r="F1816" s="23">
        <f>VLOOKUP(B1816,'BASE DE DATOS'!$A$5:$E$997,5,FALSE)</f>
        <v>5650</v>
      </c>
      <c r="G1816" s="104">
        <v>0</v>
      </c>
      <c r="H1816" s="252">
        <f t="shared" si="147"/>
        <v>282.5</v>
      </c>
    </row>
    <row r="1817" spans="1:9" x14ac:dyDescent="0.2">
      <c r="A1817" s="939"/>
      <c r="B1817" s="241" t="s">
        <v>1690</v>
      </c>
      <c r="C1817" s="3" t="s">
        <v>2749</v>
      </c>
      <c r="D1817" s="2" t="s">
        <v>405</v>
      </c>
      <c r="E1817" s="114">
        <v>2</v>
      </c>
      <c r="F1817" s="23">
        <f>VLOOKUP(B1817,'BASE DE DATOS'!$A$5:$E$997,5,FALSE)</f>
        <v>1540</v>
      </c>
      <c r="G1817" s="104">
        <f>1/3</f>
        <v>0.33333333333333331</v>
      </c>
      <c r="H1817" s="252">
        <f>IF(G1817&gt;0,(G1817*F1817*E1817),(F1817*E1817))</f>
        <v>1026.6666666666665</v>
      </c>
    </row>
    <row r="1818" spans="1:9" x14ac:dyDescent="0.2">
      <c r="A1818" s="486" t="s">
        <v>2555</v>
      </c>
      <c r="B1818" s="241" t="s">
        <v>644</v>
      </c>
      <c r="C1818" s="3" t="s">
        <v>645</v>
      </c>
      <c r="D1818" s="2" t="s">
        <v>585</v>
      </c>
      <c r="E1818" s="196">
        <v>1</v>
      </c>
      <c r="F1818" s="23">
        <f>VLOOKUP(B1818,'BASE DE DATOS'!$A$5:$E$997,5,FALSE)</f>
        <v>248302</v>
      </c>
      <c r="G1818" s="104">
        <f>1/8</f>
        <v>0.125</v>
      </c>
      <c r="H1818" s="252">
        <f t="shared" si="147"/>
        <v>31037.75</v>
      </c>
    </row>
    <row r="1819" spans="1:9" x14ac:dyDescent="0.2">
      <c r="A1819" s="944" t="s">
        <v>293</v>
      </c>
      <c r="B1819" s="241" t="s">
        <v>269</v>
      </c>
      <c r="C1819" s="3" t="s">
        <v>284</v>
      </c>
      <c r="D1819" s="2" t="s">
        <v>586</v>
      </c>
      <c r="E1819" s="196">
        <v>0.15</v>
      </c>
      <c r="F1819" s="23">
        <f>H1818</f>
        <v>31037.75</v>
      </c>
      <c r="G1819" s="104">
        <v>0</v>
      </c>
      <c r="H1819" s="252">
        <f t="shared" si="147"/>
        <v>4655.6624999999995</v>
      </c>
    </row>
    <row r="1820" spans="1:9" ht="13.5" thickBot="1" x14ac:dyDescent="0.25">
      <c r="A1820" s="945"/>
      <c r="B1820" s="528" t="s">
        <v>169</v>
      </c>
      <c r="C1820" s="108" t="s">
        <v>170</v>
      </c>
      <c r="D1820" s="109" t="s">
        <v>585</v>
      </c>
      <c r="E1820" s="203">
        <v>1</v>
      </c>
      <c r="F1820" s="110">
        <f>VLOOKUP(B1820,'BASE DE DATOS'!$A$5:$E$997,5,FALSE)</f>
        <v>39984</v>
      </c>
      <c r="G1820" s="156">
        <f>1/10</f>
        <v>0.1</v>
      </c>
      <c r="H1820" s="479">
        <f t="shared" si="147"/>
        <v>3998.4</v>
      </c>
    </row>
    <row r="1821" spans="1:9" s="42" customFormat="1" ht="30" x14ac:dyDescent="0.2">
      <c r="A1821" s="67" t="s">
        <v>2481</v>
      </c>
      <c r="B1821" s="529"/>
      <c r="C1821" s="388" t="s">
        <v>3854</v>
      </c>
      <c r="D1821" s="389" t="s">
        <v>405</v>
      </c>
      <c r="E1821" s="390"/>
      <c r="F1821" s="391">
        <f>ROUND(SUM(H1821:H1830),0)</f>
        <v>23721</v>
      </c>
      <c r="G1821" s="392"/>
      <c r="H1821" s="393"/>
      <c r="I1821" s="738"/>
    </row>
    <row r="1822" spans="1:9" x14ac:dyDescent="0.2">
      <c r="A1822" s="939" t="s">
        <v>295</v>
      </c>
      <c r="B1822" s="241" t="s">
        <v>1279</v>
      </c>
      <c r="C1822" s="3" t="s">
        <v>349</v>
      </c>
      <c r="D1822" s="2" t="s">
        <v>617</v>
      </c>
      <c r="E1822" s="114">
        <v>10</v>
      </c>
      <c r="F1822" s="23">
        <f>VLOOKUP(B1822,'BASE DE DATOS'!$A$5:$E$997,5,FALSE)</f>
        <v>19</v>
      </c>
      <c r="G1822" s="104">
        <v>0</v>
      </c>
      <c r="H1822" s="252">
        <f>IF(G1822&gt;0,(G1822*F1822*E1822),(F1822*E1822))</f>
        <v>190</v>
      </c>
    </row>
    <row r="1823" spans="1:9" ht="13.15" customHeight="1" x14ac:dyDescent="0.2">
      <c r="A1823" s="939"/>
      <c r="B1823" s="241" t="s">
        <v>1319</v>
      </c>
      <c r="C1823" s="3" t="s">
        <v>2569</v>
      </c>
      <c r="D1823" s="2" t="s">
        <v>616</v>
      </c>
      <c r="E1823" s="114">
        <v>0.02</v>
      </c>
      <c r="F1823" s="23">
        <f>VLOOKUP(B1823,'BASE DE DATOS'!$A$5:$E$997,5,FALSE)</f>
        <v>32900</v>
      </c>
      <c r="G1823" s="104">
        <v>1.05</v>
      </c>
      <c r="H1823" s="252">
        <f t="shared" ref="H1823:H1830" si="148">IF(G1823&gt;0,(G1823*F1823*E1823),(F1823*E1823))</f>
        <v>690.9</v>
      </c>
    </row>
    <row r="1824" spans="1:9" ht="25.5" x14ac:dyDescent="0.2">
      <c r="A1824" s="939"/>
      <c r="B1824" s="241" t="s">
        <v>1371</v>
      </c>
      <c r="C1824" s="3" t="s">
        <v>3852</v>
      </c>
      <c r="D1824" s="2" t="s">
        <v>405</v>
      </c>
      <c r="E1824" s="114">
        <v>0.1</v>
      </c>
      <c r="F1824" s="23">
        <f>VLOOKUP(B1824,'BASE DE DATOS'!$A$5:$E$997,5,FALSE)</f>
        <v>3950</v>
      </c>
      <c r="G1824" s="104">
        <v>0</v>
      </c>
      <c r="H1824" s="252">
        <f>IF(G1824&gt;0,(G1824*F1824*E1824),(F1824*E1824))</f>
        <v>395</v>
      </c>
    </row>
    <row r="1825" spans="1:9" x14ac:dyDescent="0.2">
      <c r="A1825" s="939"/>
      <c r="B1825" s="241" t="s">
        <v>1712</v>
      </c>
      <c r="C1825" s="3" t="s">
        <v>2609</v>
      </c>
      <c r="D1825" s="2" t="s">
        <v>616</v>
      </c>
      <c r="E1825" s="114">
        <v>0.1</v>
      </c>
      <c r="F1825" s="23">
        <f>VLOOKUP(B1825,'BASE DE DATOS'!$A$5:$E$997,5,FALSE)</f>
        <v>12250</v>
      </c>
      <c r="G1825" s="104">
        <v>1.03</v>
      </c>
      <c r="H1825" s="252">
        <f t="shared" si="148"/>
        <v>1261.75</v>
      </c>
    </row>
    <row r="1826" spans="1:9" x14ac:dyDescent="0.2">
      <c r="A1826" s="939"/>
      <c r="B1826" s="241" t="s">
        <v>1558</v>
      </c>
      <c r="C1826" s="3" t="s">
        <v>2023</v>
      </c>
      <c r="D1826" s="2" t="s">
        <v>590</v>
      </c>
      <c r="E1826" s="114">
        <v>0.01</v>
      </c>
      <c r="F1826" s="23">
        <f>VLOOKUP(B1826,'BASE DE DATOS'!$A$5:$E$997,5,FALSE)</f>
        <v>5650</v>
      </c>
      <c r="G1826" s="104">
        <v>0</v>
      </c>
      <c r="H1826" s="252">
        <f t="shared" si="148"/>
        <v>56.5</v>
      </c>
    </row>
    <row r="1827" spans="1:9" x14ac:dyDescent="0.2">
      <c r="A1827" s="939"/>
      <c r="B1827" s="241" t="s">
        <v>1690</v>
      </c>
      <c r="C1827" s="3" t="s">
        <v>2749</v>
      </c>
      <c r="D1827" s="2" t="s">
        <v>405</v>
      </c>
      <c r="E1827" s="114">
        <v>1</v>
      </c>
      <c r="F1827" s="23">
        <f>VLOOKUP(B1827,'BASE DE DATOS'!$A$5:$E$997,5,FALSE)</f>
        <v>1540</v>
      </c>
      <c r="G1827" s="104">
        <f>1/3</f>
        <v>0.33333333333333331</v>
      </c>
      <c r="H1827" s="252">
        <f>IF(G1827&gt;0,(G1827*F1827*E1827),(F1827*E1827))</f>
        <v>513.33333333333326</v>
      </c>
    </row>
    <row r="1828" spans="1:9" ht="14.25" x14ac:dyDescent="0.2">
      <c r="A1828" s="64" t="s">
        <v>3252</v>
      </c>
      <c r="B1828" s="241" t="s">
        <v>810</v>
      </c>
      <c r="C1828" s="3" t="s">
        <v>2097</v>
      </c>
      <c r="D1828" s="2" t="s">
        <v>285</v>
      </c>
      <c r="E1828" s="114">
        <v>2E-3</v>
      </c>
      <c r="F1828" s="23">
        <f>F90</f>
        <v>525897</v>
      </c>
      <c r="G1828" s="104">
        <v>1.05</v>
      </c>
      <c r="H1828" s="252">
        <f t="shared" si="148"/>
        <v>1104.3837000000001</v>
      </c>
    </row>
    <row r="1829" spans="1:9" x14ac:dyDescent="0.2">
      <c r="A1829" s="81" t="s">
        <v>2555</v>
      </c>
      <c r="B1829" s="241" t="s">
        <v>644</v>
      </c>
      <c r="C1829" s="3" t="s">
        <v>645</v>
      </c>
      <c r="D1829" s="2" t="s">
        <v>585</v>
      </c>
      <c r="E1829" s="114">
        <v>1</v>
      </c>
      <c r="F1829" s="23">
        <f>VLOOKUP(B1829,'BASE DE DATOS'!$A$5:$E$997,5,FALSE)</f>
        <v>248302</v>
      </c>
      <c r="G1829" s="104">
        <f>1/14</f>
        <v>7.1428571428571425E-2</v>
      </c>
      <c r="H1829" s="252">
        <f t="shared" si="148"/>
        <v>17735.857142857141</v>
      </c>
    </row>
    <row r="1830" spans="1:9" ht="13.5" thickBot="1" x14ac:dyDescent="0.25">
      <c r="A1830" s="94" t="s">
        <v>293</v>
      </c>
      <c r="B1830" s="528" t="s">
        <v>269</v>
      </c>
      <c r="C1830" s="108" t="s">
        <v>284</v>
      </c>
      <c r="D1830" s="109" t="s">
        <v>586</v>
      </c>
      <c r="E1830" s="200">
        <v>0.1</v>
      </c>
      <c r="F1830" s="110">
        <f>H1829</f>
        <v>17735.857142857141</v>
      </c>
      <c r="G1830" s="156">
        <v>0</v>
      </c>
      <c r="H1830" s="479">
        <f t="shared" si="148"/>
        <v>1773.5857142857142</v>
      </c>
    </row>
    <row r="1831" spans="1:9" s="42" customFormat="1" ht="30" x14ac:dyDescent="0.2">
      <c r="A1831" s="67" t="s">
        <v>3323</v>
      </c>
      <c r="B1831" s="529"/>
      <c r="C1831" s="388" t="s">
        <v>3271</v>
      </c>
      <c r="D1831" s="389" t="s">
        <v>3251</v>
      </c>
      <c r="E1831" s="390"/>
      <c r="F1831" s="391">
        <f>ROUND(SUM(H1831:H1835),0)</f>
        <v>10073</v>
      </c>
      <c r="G1831" s="392"/>
      <c r="H1831" s="393"/>
      <c r="I1831" s="738"/>
    </row>
    <row r="1832" spans="1:9" x14ac:dyDescent="0.2">
      <c r="A1832" s="936" t="s">
        <v>382</v>
      </c>
      <c r="B1832" s="241" t="s">
        <v>1273</v>
      </c>
      <c r="C1832" s="3" t="s">
        <v>49</v>
      </c>
      <c r="D1832" s="2" t="s">
        <v>406</v>
      </c>
      <c r="E1832" s="114">
        <v>1.4999999999999999E-2</v>
      </c>
      <c r="F1832" s="23">
        <f>VLOOKUP(B1832,'BASE DE DATOS'!$A$5:$E$997,5,FALSE)</f>
        <v>25745</v>
      </c>
      <c r="G1832" s="104">
        <v>1.05</v>
      </c>
      <c r="H1832" s="252">
        <f>IF(G1832&gt;0,(G1832*F1832*E1832),(F1832*E1832))</f>
        <v>405.48374999999999</v>
      </c>
    </row>
    <row r="1833" spans="1:9" x14ac:dyDescent="0.2">
      <c r="A1833" s="936"/>
      <c r="B1833" s="241" t="s">
        <v>1577</v>
      </c>
      <c r="C1833" s="3" t="s">
        <v>3150</v>
      </c>
      <c r="D1833" s="2" t="s">
        <v>405</v>
      </c>
      <c r="E1833" s="114">
        <v>1</v>
      </c>
      <c r="F1833" s="23">
        <f>VLOOKUP(B1833,'BASE DE DATOS'!$A$5:$E$997,5,FALSE)</f>
        <v>3000</v>
      </c>
      <c r="G1833" s="104">
        <v>1.05</v>
      </c>
      <c r="H1833" s="252">
        <f t="shared" ref="H1833:H1835" si="149">IF(G1833&gt;0,(G1833*F1833*E1833),(F1833*E1833))</f>
        <v>3150</v>
      </c>
    </row>
    <row r="1834" spans="1:9" x14ac:dyDescent="0.2">
      <c r="A1834" s="234" t="s">
        <v>2555</v>
      </c>
      <c r="B1834" s="241" t="s">
        <v>644</v>
      </c>
      <c r="C1834" s="3" t="s">
        <v>645</v>
      </c>
      <c r="D1834" s="2" t="s">
        <v>585</v>
      </c>
      <c r="E1834" s="114">
        <v>1</v>
      </c>
      <c r="F1834" s="23">
        <f>VLOOKUP(B1834,'BASE DE DATOS'!$A$5:$E$997,5,FALSE)</f>
        <v>248302</v>
      </c>
      <c r="G1834" s="104">
        <f>1/40</f>
        <v>2.5000000000000001E-2</v>
      </c>
      <c r="H1834" s="252">
        <f t="shared" si="149"/>
        <v>6207.55</v>
      </c>
    </row>
    <row r="1835" spans="1:9" ht="13.5" thickBot="1" x14ac:dyDescent="0.25">
      <c r="A1835" s="233" t="s">
        <v>293</v>
      </c>
      <c r="B1835" s="528" t="s">
        <v>269</v>
      </c>
      <c r="C1835" s="108" t="s">
        <v>284</v>
      </c>
      <c r="D1835" s="109" t="s">
        <v>586</v>
      </c>
      <c r="E1835" s="200">
        <v>0.05</v>
      </c>
      <c r="F1835" s="110">
        <f>H1834</f>
        <v>6207.55</v>
      </c>
      <c r="G1835" s="156">
        <v>0</v>
      </c>
      <c r="H1835" s="479">
        <f t="shared" si="149"/>
        <v>310.37750000000005</v>
      </c>
    </row>
    <row r="1836" spans="1:9" s="42" customFormat="1" ht="15" x14ac:dyDescent="0.2">
      <c r="A1836" s="67" t="s">
        <v>3324</v>
      </c>
      <c r="B1836" s="529"/>
      <c r="C1836" s="388" t="s">
        <v>3307</v>
      </c>
      <c r="D1836" s="389" t="s">
        <v>405</v>
      </c>
      <c r="E1836" s="390"/>
      <c r="F1836" s="391">
        <f>ROUND(SUM(H1836:H1840),0)</f>
        <v>9183</v>
      </c>
      <c r="G1836" s="392"/>
      <c r="H1836" s="393"/>
      <c r="I1836" s="738"/>
    </row>
    <row r="1837" spans="1:9" x14ac:dyDescent="0.2">
      <c r="A1837" s="936" t="s">
        <v>382</v>
      </c>
      <c r="B1837" s="241" t="s">
        <v>1273</v>
      </c>
      <c r="C1837" s="3" t="s">
        <v>49</v>
      </c>
      <c r="D1837" s="2" t="s">
        <v>642</v>
      </c>
      <c r="E1837" s="114">
        <v>1</v>
      </c>
      <c r="F1837" s="23">
        <f>VLOOKUP(B1837,'BASE DE DATOS'!$A$5:$E$997,5,FALSE)</f>
        <v>25745</v>
      </c>
      <c r="G1837" s="104">
        <f>1/220</f>
        <v>4.5454545454545452E-3</v>
      </c>
      <c r="H1837" s="252">
        <f>IF(G1837&gt;0,(G1837*F1837*E1837),(F1837*E1837))</f>
        <v>117.02272727272727</v>
      </c>
    </row>
    <row r="1838" spans="1:9" ht="25.5" x14ac:dyDescent="0.2">
      <c r="A1838" s="936"/>
      <c r="B1838" s="241" t="s">
        <v>1535</v>
      </c>
      <c r="C1838" s="3" t="s">
        <v>3579</v>
      </c>
      <c r="D1838" s="2" t="s">
        <v>288</v>
      </c>
      <c r="E1838" s="114">
        <v>7.0000000000000007E-2</v>
      </c>
      <c r="F1838" s="23">
        <f>VLOOKUP(B1838,'BASE DE DATOS'!$A$5:$E$997,5,FALSE)</f>
        <v>52400</v>
      </c>
      <c r="G1838" s="104">
        <v>1.05</v>
      </c>
      <c r="H1838" s="252">
        <f t="shared" ref="H1838:H1840" si="150">IF(G1838&gt;0,(G1838*F1838*E1838),(F1838*E1838))</f>
        <v>3851.4000000000005</v>
      </c>
    </row>
    <row r="1839" spans="1:9" x14ac:dyDescent="0.2">
      <c r="A1839" s="81" t="s">
        <v>2555</v>
      </c>
      <c r="B1839" s="241" t="s">
        <v>644</v>
      </c>
      <c r="C1839" s="3" t="s">
        <v>645</v>
      </c>
      <c r="D1839" s="2" t="s">
        <v>585</v>
      </c>
      <c r="E1839" s="114">
        <v>1</v>
      </c>
      <c r="F1839" s="23">
        <f>VLOOKUP(B1839,'BASE DE DATOS'!$A$5:$E$997,5,FALSE)</f>
        <v>248302</v>
      </c>
      <c r="G1839" s="104">
        <f>1/50</f>
        <v>0.02</v>
      </c>
      <c r="H1839" s="252">
        <f t="shared" si="150"/>
        <v>4966.04</v>
      </c>
    </row>
    <row r="1840" spans="1:9" ht="13.5" thickBot="1" x14ac:dyDescent="0.25">
      <c r="A1840" s="94" t="s">
        <v>293</v>
      </c>
      <c r="B1840" s="528" t="s">
        <v>269</v>
      </c>
      <c r="C1840" s="108" t="s">
        <v>284</v>
      </c>
      <c r="D1840" s="109" t="s">
        <v>586</v>
      </c>
      <c r="E1840" s="200">
        <v>0.05</v>
      </c>
      <c r="F1840" s="110">
        <f>H1839</f>
        <v>4966.04</v>
      </c>
      <c r="G1840" s="156">
        <v>0</v>
      </c>
      <c r="H1840" s="479">
        <f t="shared" si="150"/>
        <v>248.30200000000002</v>
      </c>
    </row>
    <row r="1841" spans="1:9" s="42" customFormat="1" ht="30" x14ac:dyDescent="0.2">
      <c r="A1841" s="67" t="s">
        <v>3325</v>
      </c>
      <c r="B1841" s="529"/>
      <c r="C1841" s="388" t="s">
        <v>3358</v>
      </c>
      <c r="D1841" s="389" t="s">
        <v>405</v>
      </c>
      <c r="E1841" s="390"/>
      <c r="F1841" s="391">
        <f>ROUND(SUM(H1841:H1846),0)</f>
        <v>18844</v>
      </c>
      <c r="G1841" s="392"/>
      <c r="H1841" s="393"/>
      <c r="I1841" s="738"/>
    </row>
    <row r="1842" spans="1:9" x14ac:dyDescent="0.2">
      <c r="A1842" s="936" t="s">
        <v>382</v>
      </c>
      <c r="B1842" s="241" t="s">
        <v>1298</v>
      </c>
      <c r="C1842" s="3" t="s">
        <v>181</v>
      </c>
      <c r="D1842" s="2" t="s">
        <v>642</v>
      </c>
      <c r="E1842" s="114">
        <v>2.5000000000000001E-2</v>
      </c>
      <c r="F1842" s="23">
        <f>VLOOKUP(B1842,'BASE DE DATOS'!$A$5:$E$997,5,FALSE)</f>
        <v>109900</v>
      </c>
      <c r="G1842" s="104">
        <v>1.03</v>
      </c>
      <c r="H1842" s="252">
        <f>IF(G1842&gt;0,(G1842*F1842*E1842),(F1842*E1842))</f>
        <v>2829.9250000000002</v>
      </c>
    </row>
    <row r="1843" spans="1:9" x14ac:dyDescent="0.2">
      <c r="A1843" s="936"/>
      <c r="B1843" s="241" t="s">
        <v>2766</v>
      </c>
      <c r="C1843" s="3" t="s">
        <v>3309</v>
      </c>
      <c r="D1843" s="2" t="s">
        <v>411</v>
      </c>
      <c r="E1843" s="114">
        <v>9</v>
      </c>
      <c r="F1843" s="23">
        <f>VLOOKUP(B1843,'BASE DE DATOS'!$A$5:$E$997,5,FALSE)</f>
        <v>238</v>
      </c>
      <c r="G1843" s="104">
        <v>0</v>
      </c>
      <c r="H1843" s="252">
        <f>IF(G1843&gt;0,(G1843*F1843*E1843),(F1843*E1843))</f>
        <v>2142</v>
      </c>
    </row>
    <row r="1844" spans="1:9" ht="25.5" x14ac:dyDescent="0.2">
      <c r="A1844" s="936"/>
      <c r="B1844" s="241" t="s">
        <v>2765</v>
      </c>
      <c r="C1844" s="3" t="s">
        <v>3308</v>
      </c>
      <c r="D1844" s="2" t="s">
        <v>405</v>
      </c>
      <c r="E1844" s="114">
        <v>1</v>
      </c>
      <c r="F1844" s="23">
        <f>VLOOKUP(B1844,'BASE DE DATOS'!$A$5:$E$997,5,FALSE)</f>
        <v>6708</v>
      </c>
      <c r="G1844" s="104">
        <v>1.05</v>
      </c>
      <c r="H1844" s="252">
        <f t="shared" ref="H1844:H1846" si="151">IF(G1844&gt;0,(G1844*F1844*E1844),(F1844*E1844))</f>
        <v>7043.4000000000005</v>
      </c>
    </row>
    <row r="1845" spans="1:9" x14ac:dyDescent="0.2">
      <c r="A1845" s="488" t="s">
        <v>2555</v>
      </c>
      <c r="B1845" s="241" t="s">
        <v>644</v>
      </c>
      <c r="C1845" s="3" t="s">
        <v>645</v>
      </c>
      <c r="D1845" s="2" t="s">
        <v>585</v>
      </c>
      <c r="E1845" s="114">
        <v>1</v>
      </c>
      <c r="F1845" s="23">
        <f>VLOOKUP(B1845,'BASE DE DATOS'!$A$5:$E$997,5,FALSE)</f>
        <v>248302</v>
      </c>
      <c r="G1845" s="104">
        <f>1/40</f>
        <v>2.5000000000000001E-2</v>
      </c>
      <c r="H1845" s="252">
        <f t="shared" si="151"/>
        <v>6207.55</v>
      </c>
    </row>
    <row r="1846" spans="1:9" ht="13.5" thickBot="1" x14ac:dyDescent="0.25">
      <c r="A1846" s="487" t="s">
        <v>293</v>
      </c>
      <c r="B1846" s="528" t="s">
        <v>269</v>
      </c>
      <c r="C1846" s="108" t="s">
        <v>284</v>
      </c>
      <c r="D1846" s="109" t="s">
        <v>586</v>
      </c>
      <c r="E1846" s="200">
        <v>0.1</v>
      </c>
      <c r="F1846" s="110">
        <f>H1845</f>
        <v>6207.55</v>
      </c>
      <c r="G1846" s="156">
        <v>0</v>
      </c>
      <c r="H1846" s="479">
        <f t="shared" si="151"/>
        <v>620.75500000000011</v>
      </c>
    </row>
    <row r="1847" spans="1:9" s="42" customFormat="1" ht="15" x14ac:dyDescent="0.2">
      <c r="A1847" s="67" t="s">
        <v>3326</v>
      </c>
      <c r="B1847" s="529"/>
      <c r="C1847" s="388" t="s">
        <v>3310</v>
      </c>
      <c r="D1847" s="389" t="s">
        <v>405</v>
      </c>
      <c r="E1847" s="395"/>
      <c r="F1847" s="391">
        <f>ROUND(SUM(H1847:H1853),0)</f>
        <v>26560</v>
      </c>
      <c r="G1847" s="392"/>
      <c r="H1847" s="393"/>
      <c r="I1847" s="738"/>
    </row>
    <row r="1848" spans="1:9" x14ac:dyDescent="0.2">
      <c r="A1848" s="936" t="s">
        <v>382</v>
      </c>
      <c r="B1848" s="241" t="s">
        <v>1523</v>
      </c>
      <c r="C1848" s="3" t="s">
        <v>643</v>
      </c>
      <c r="D1848" s="2" t="s">
        <v>642</v>
      </c>
      <c r="E1848" s="114">
        <v>1</v>
      </c>
      <c r="F1848" s="23">
        <f>VLOOKUP(B1848,'BASE DE DATOS'!$A$5:$E$997,5,FALSE)</f>
        <v>108900</v>
      </c>
      <c r="G1848" s="104">
        <f>1/45</f>
        <v>2.2222222222222223E-2</v>
      </c>
      <c r="H1848" s="252">
        <f>IF(G1848&gt;0,(G1848*F1848*E1848),(F1848*E1848))</f>
        <v>2420</v>
      </c>
    </row>
    <row r="1849" spans="1:9" x14ac:dyDescent="0.2">
      <c r="A1849" s="936"/>
      <c r="B1849" s="241" t="s">
        <v>1558</v>
      </c>
      <c r="C1849" s="3" t="s">
        <v>2023</v>
      </c>
      <c r="D1849" s="2" t="s">
        <v>590</v>
      </c>
      <c r="E1849" s="114">
        <v>0.01</v>
      </c>
      <c r="F1849" s="23">
        <f>VLOOKUP(B1849,'BASE DE DATOS'!$A$5:$E$997,5,FALSE)</f>
        <v>5650</v>
      </c>
      <c r="G1849" s="104">
        <v>0</v>
      </c>
      <c r="H1849" s="252">
        <f t="shared" ref="H1849:H1853" si="152">IF(G1849&gt;0,(G1849*F1849*E1849),(F1849*E1849))</f>
        <v>56.5</v>
      </c>
    </row>
    <row r="1850" spans="1:9" x14ac:dyDescent="0.2">
      <c r="A1850" s="936"/>
      <c r="B1850" s="241" t="s">
        <v>1690</v>
      </c>
      <c r="C1850" s="3" t="s">
        <v>2749</v>
      </c>
      <c r="D1850" s="2" t="s">
        <v>405</v>
      </c>
      <c r="E1850" s="114">
        <v>1</v>
      </c>
      <c r="F1850" s="23">
        <f>VLOOKUP(B1850,'BASE DE DATOS'!$A$5:$E$997,5,FALSE)</f>
        <v>1540</v>
      </c>
      <c r="G1850" s="104">
        <f>1/2</f>
        <v>0.5</v>
      </c>
      <c r="H1850" s="252">
        <f t="shared" si="152"/>
        <v>770</v>
      </c>
    </row>
    <row r="1851" spans="1:9" ht="14.25" x14ac:dyDescent="0.2">
      <c r="A1851" s="64" t="s">
        <v>3252</v>
      </c>
      <c r="B1851" s="241" t="s">
        <v>810</v>
      </c>
      <c r="C1851" s="3" t="s">
        <v>2097</v>
      </c>
      <c r="D1851" s="2" t="s">
        <v>285</v>
      </c>
      <c r="E1851" s="114">
        <v>1E-3</v>
      </c>
      <c r="F1851" s="23">
        <f>F90</f>
        <v>525897</v>
      </c>
      <c r="G1851" s="104">
        <v>1.05</v>
      </c>
      <c r="H1851" s="252">
        <f t="shared" si="152"/>
        <v>552.19185000000004</v>
      </c>
    </row>
    <row r="1852" spans="1:9" x14ac:dyDescent="0.2">
      <c r="A1852" s="81" t="s">
        <v>2555</v>
      </c>
      <c r="B1852" s="241" t="s">
        <v>644</v>
      </c>
      <c r="C1852" s="3" t="s">
        <v>645</v>
      </c>
      <c r="D1852" s="2" t="s">
        <v>585</v>
      </c>
      <c r="E1852" s="114">
        <v>1</v>
      </c>
      <c r="F1852" s="23">
        <f>VLOOKUP(B1852,'BASE DE DATOS'!$A$5:$E$997,5,FALSE)</f>
        <v>248302</v>
      </c>
      <c r="G1852" s="104">
        <f>1/12</f>
        <v>8.3333333333333329E-2</v>
      </c>
      <c r="H1852" s="252">
        <f t="shared" si="152"/>
        <v>20691.833333333332</v>
      </c>
    </row>
    <row r="1853" spans="1:9" ht="13.5" thickBot="1" x14ac:dyDescent="0.25">
      <c r="A1853" s="94" t="s">
        <v>293</v>
      </c>
      <c r="B1853" s="528" t="s">
        <v>269</v>
      </c>
      <c r="C1853" s="108" t="s">
        <v>284</v>
      </c>
      <c r="D1853" s="109" t="s">
        <v>586</v>
      </c>
      <c r="E1853" s="200">
        <v>0.1</v>
      </c>
      <c r="F1853" s="110">
        <f>H1852</f>
        <v>20691.833333333332</v>
      </c>
      <c r="G1853" s="156">
        <v>0</v>
      </c>
      <c r="H1853" s="479">
        <f t="shared" si="152"/>
        <v>2069.1833333333334</v>
      </c>
    </row>
    <row r="1854" spans="1:9" ht="16.5" thickBot="1" x14ac:dyDescent="0.25">
      <c r="A1854" s="989" t="s">
        <v>3320</v>
      </c>
      <c r="B1854" s="990"/>
      <c r="C1854" s="990"/>
      <c r="D1854" s="990"/>
      <c r="E1854" s="990"/>
      <c r="F1854" s="990"/>
      <c r="G1854" s="990"/>
      <c r="H1854" s="991"/>
    </row>
    <row r="1855" spans="1:9" s="42" customFormat="1" ht="30" x14ac:dyDescent="0.2">
      <c r="A1855" s="67" t="s">
        <v>3327</v>
      </c>
      <c r="B1855" s="529"/>
      <c r="C1855" s="359" t="s">
        <v>3628</v>
      </c>
      <c r="D1855" s="389" t="s">
        <v>3251</v>
      </c>
      <c r="E1855" s="395"/>
      <c r="F1855" s="391">
        <f>ROUND(SUM(H1855:H1863),0)</f>
        <v>75713</v>
      </c>
      <c r="G1855" s="392"/>
      <c r="H1855" s="393"/>
      <c r="I1855" s="738"/>
    </row>
    <row r="1856" spans="1:9" x14ac:dyDescent="0.2">
      <c r="A1856" s="936" t="s">
        <v>382</v>
      </c>
      <c r="B1856" s="241" t="s">
        <v>1283</v>
      </c>
      <c r="C1856" s="3" t="s">
        <v>2796</v>
      </c>
      <c r="D1856" s="2" t="s">
        <v>405</v>
      </c>
      <c r="E1856" s="114">
        <v>0.1</v>
      </c>
      <c r="F1856" s="23">
        <f>VLOOKUP(B1856,'BASE DE DATOS'!$A$5:$E$997,5,FALSE)</f>
        <v>3708.3333333333335</v>
      </c>
      <c r="G1856" s="104">
        <v>0</v>
      </c>
      <c r="H1856" s="252">
        <f t="shared" ref="H1856:H1863" si="153">IF(G1856&gt;0,(G1856*F1856*E1856),(F1856*E1856))</f>
        <v>370.83333333333337</v>
      </c>
    </row>
    <row r="1857" spans="1:9" x14ac:dyDescent="0.2">
      <c r="A1857" s="936"/>
      <c r="B1857" s="241" t="s">
        <v>1303</v>
      </c>
      <c r="C1857" s="44" t="s">
        <v>2608</v>
      </c>
      <c r="D1857" s="2" t="s">
        <v>406</v>
      </c>
      <c r="E1857" s="114">
        <v>0.5</v>
      </c>
      <c r="F1857" s="23">
        <f>VLOOKUP(B1857,'BASE DE DATOS'!$A$5:$E$997,5,FALSE)</f>
        <v>6700</v>
      </c>
      <c r="G1857" s="104">
        <v>1.05</v>
      </c>
      <c r="H1857" s="252">
        <f>IF(G1857&gt;0,(G1857*F1857*E1857),(F1857*E1857))</f>
        <v>3517.5</v>
      </c>
    </row>
    <row r="1858" spans="1:9" x14ac:dyDescent="0.2">
      <c r="A1858" s="936"/>
      <c r="B1858" s="241" t="s">
        <v>1318</v>
      </c>
      <c r="C1858" s="3" t="s">
        <v>677</v>
      </c>
      <c r="D1858" s="2" t="s">
        <v>406</v>
      </c>
      <c r="E1858" s="114">
        <v>2</v>
      </c>
      <c r="F1858" s="23">
        <f>VLOOKUP(B1858,'BASE DE DATOS'!$A$5:$E$997,5,FALSE)</f>
        <v>1675</v>
      </c>
      <c r="G1858" s="104">
        <v>1.05</v>
      </c>
      <c r="H1858" s="252">
        <f t="shared" si="153"/>
        <v>3517.5</v>
      </c>
    </row>
    <row r="1859" spans="1:9" ht="14.25" x14ac:dyDescent="0.2">
      <c r="A1859" s="936"/>
      <c r="B1859" s="241" t="s">
        <v>1325</v>
      </c>
      <c r="C1859" s="3" t="s">
        <v>2049</v>
      </c>
      <c r="D1859" s="2" t="s">
        <v>288</v>
      </c>
      <c r="E1859" s="114">
        <v>1</v>
      </c>
      <c r="F1859" s="23">
        <f>VLOOKUP(B1859,'BASE DE DATOS'!$A$5:$E$997,5,FALSE)</f>
        <v>33898.86363636364</v>
      </c>
      <c r="G1859" s="104">
        <v>1.1000000000000001</v>
      </c>
      <c r="H1859" s="252">
        <f t="shared" si="153"/>
        <v>37288.750000000007</v>
      </c>
    </row>
    <row r="1860" spans="1:9" x14ac:dyDescent="0.2">
      <c r="A1860" s="936"/>
      <c r="B1860" s="241" t="s">
        <v>1392</v>
      </c>
      <c r="C1860" s="3" t="s">
        <v>2892</v>
      </c>
      <c r="D1860" s="2" t="s">
        <v>406</v>
      </c>
      <c r="E1860" s="114">
        <v>4</v>
      </c>
      <c r="F1860" s="23">
        <f>VLOOKUP(B1860,'BASE DE DATOS'!$A$5:$E$997,5,FALSE)</f>
        <v>2852.9500000000003</v>
      </c>
      <c r="G1860" s="104">
        <v>1.05</v>
      </c>
      <c r="H1860" s="252">
        <f t="shared" si="153"/>
        <v>11982.390000000001</v>
      </c>
    </row>
    <row r="1861" spans="1:9" x14ac:dyDescent="0.2">
      <c r="A1861" s="81" t="s">
        <v>2555</v>
      </c>
      <c r="B1861" s="241" t="s">
        <v>644</v>
      </c>
      <c r="C1861" s="3" t="s">
        <v>645</v>
      </c>
      <c r="D1861" s="2" t="s">
        <v>585</v>
      </c>
      <c r="E1861" s="114">
        <v>1</v>
      </c>
      <c r="F1861" s="23">
        <f>VLOOKUP(B1861,'BASE DE DATOS'!$A$5:$E$997,5,FALSE)</f>
        <v>248302</v>
      </c>
      <c r="G1861" s="104">
        <f>1/15</f>
        <v>6.6666666666666666E-2</v>
      </c>
      <c r="H1861" s="252">
        <f t="shared" si="153"/>
        <v>16553.466666666667</v>
      </c>
    </row>
    <row r="1862" spans="1:9" x14ac:dyDescent="0.2">
      <c r="A1862" s="937" t="s">
        <v>293</v>
      </c>
      <c r="B1862" s="241" t="s">
        <v>598</v>
      </c>
      <c r="C1862" s="3" t="s">
        <v>3362</v>
      </c>
      <c r="D1862" s="2" t="s">
        <v>586</v>
      </c>
      <c r="E1862" s="114">
        <v>0.05</v>
      </c>
      <c r="F1862" s="23">
        <f>H1861</f>
        <v>16553.466666666667</v>
      </c>
      <c r="G1862" s="104">
        <v>0</v>
      </c>
      <c r="H1862" s="252">
        <f t="shared" si="153"/>
        <v>827.6733333333334</v>
      </c>
    </row>
    <row r="1863" spans="1:9" ht="13.5" thickBot="1" x14ac:dyDescent="0.25">
      <c r="A1863" s="938"/>
      <c r="B1863" s="528" t="s">
        <v>269</v>
      </c>
      <c r="C1863" s="108" t="s">
        <v>284</v>
      </c>
      <c r="D1863" s="109" t="s">
        <v>586</v>
      </c>
      <c r="E1863" s="200">
        <v>0.1</v>
      </c>
      <c r="F1863" s="110">
        <f>H1861</f>
        <v>16553.466666666667</v>
      </c>
      <c r="G1863" s="156">
        <v>0</v>
      </c>
      <c r="H1863" s="479">
        <f t="shared" si="153"/>
        <v>1655.3466666666668</v>
      </c>
    </row>
    <row r="1864" spans="1:9" s="42" customFormat="1" ht="30" x14ac:dyDescent="0.2">
      <c r="A1864" s="67" t="s">
        <v>3328</v>
      </c>
      <c r="B1864" s="529"/>
      <c r="C1864" s="359" t="s">
        <v>3629</v>
      </c>
      <c r="D1864" s="389" t="s">
        <v>3251</v>
      </c>
      <c r="E1864" s="395"/>
      <c r="F1864" s="391">
        <f>ROUND(SUM(H1864:H1872),0)</f>
        <v>77139</v>
      </c>
      <c r="G1864" s="392"/>
      <c r="H1864" s="393"/>
      <c r="I1864" s="738"/>
    </row>
    <row r="1865" spans="1:9" x14ac:dyDescent="0.2">
      <c r="A1865" s="936" t="s">
        <v>382</v>
      </c>
      <c r="B1865" s="241" t="s">
        <v>1253</v>
      </c>
      <c r="C1865" s="3" t="s">
        <v>2695</v>
      </c>
      <c r="D1865" s="2" t="s">
        <v>405</v>
      </c>
      <c r="E1865" s="114">
        <v>0.1</v>
      </c>
      <c r="F1865" s="23">
        <f>VLOOKUP(B1865,'BASE DE DATOS'!$A$5:$E$997,5,FALSE)</f>
        <v>17960</v>
      </c>
      <c r="G1865" s="104">
        <v>0</v>
      </c>
      <c r="H1865" s="252">
        <f t="shared" ref="H1865:H1872" si="154">IF(G1865&gt;0,(G1865*F1865*E1865),(F1865*E1865))</f>
        <v>1796</v>
      </c>
    </row>
    <row r="1866" spans="1:9" x14ac:dyDescent="0.2">
      <c r="A1866" s="936"/>
      <c r="B1866" s="241" t="s">
        <v>1303</v>
      </c>
      <c r="C1866" s="44" t="s">
        <v>2608</v>
      </c>
      <c r="D1866" s="2" t="s">
        <v>406</v>
      </c>
      <c r="E1866" s="114">
        <v>0.5</v>
      </c>
      <c r="F1866" s="23">
        <f>VLOOKUP(B1866,'BASE DE DATOS'!$A$5:$E$997,5,FALSE)</f>
        <v>6700</v>
      </c>
      <c r="G1866" s="104">
        <v>1.05</v>
      </c>
      <c r="H1866" s="252">
        <f>IF(G1866&gt;0,(G1866*F1866*E1866),(F1866*E1866))</f>
        <v>3517.5</v>
      </c>
    </row>
    <row r="1867" spans="1:9" x14ac:dyDescent="0.2">
      <c r="A1867" s="936"/>
      <c r="B1867" s="241" t="s">
        <v>1318</v>
      </c>
      <c r="C1867" s="3" t="s">
        <v>677</v>
      </c>
      <c r="D1867" s="2" t="s">
        <v>406</v>
      </c>
      <c r="E1867" s="114">
        <v>2</v>
      </c>
      <c r="F1867" s="23">
        <f>VLOOKUP(B1867,'BASE DE DATOS'!$A$5:$E$997,5,FALSE)</f>
        <v>1675</v>
      </c>
      <c r="G1867" s="104">
        <v>1.05</v>
      </c>
      <c r="H1867" s="252">
        <f t="shared" si="154"/>
        <v>3517.5</v>
      </c>
    </row>
    <row r="1868" spans="1:9" ht="14.25" x14ac:dyDescent="0.2">
      <c r="A1868" s="936"/>
      <c r="B1868" s="241" t="s">
        <v>1325</v>
      </c>
      <c r="C1868" s="3" t="s">
        <v>2049</v>
      </c>
      <c r="D1868" s="2" t="s">
        <v>288</v>
      </c>
      <c r="E1868" s="114">
        <v>1</v>
      </c>
      <c r="F1868" s="23">
        <f>VLOOKUP(B1868,'BASE DE DATOS'!$A$5:$E$997,5,FALSE)</f>
        <v>33898.86363636364</v>
      </c>
      <c r="G1868" s="104">
        <v>1.1000000000000001</v>
      </c>
      <c r="H1868" s="252">
        <f t="shared" si="154"/>
        <v>37288.750000000007</v>
      </c>
    </row>
    <row r="1869" spans="1:9" x14ac:dyDescent="0.2">
      <c r="A1869" s="936"/>
      <c r="B1869" s="241" t="s">
        <v>1392</v>
      </c>
      <c r="C1869" s="3" t="s">
        <v>2892</v>
      </c>
      <c r="D1869" s="2" t="s">
        <v>406</v>
      </c>
      <c r="E1869" s="114">
        <v>4</v>
      </c>
      <c r="F1869" s="23">
        <f>VLOOKUP(B1869,'BASE DE DATOS'!$A$5:$E$997,5,FALSE)</f>
        <v>2852.9500000000003</v>
      </c>
      <c r="G1869" s="104">
        <v>1.05</v>
      </c>
      <c r="H1869" s="252">
        <f t="shared" si="154"/>
        <v>11982.390000000001</v>
      </c>
    </row>
    <row r="1870" spans="1:9" x14ac:dyDescent="0.2">
      <c r="A1870" s="185" t="s">
        <v>2555</v>
      </c>
      <c r="B1870" s="241" t="s">
        <v>644</v>
      </c>
      <c r="C1870" s="3" t="s">
        <v>645</v>
      </c>
      <c r="D1870" s="2" t="s">
        <v>585</v>
      </c>
      <c r="E1870" s="114">
        <v>1</v>
      </c>
      <c r="F1870" s="23">
        <f>VLOOKUP(B1870,'BASE DE DATOS'!$A$5:$E$997,5,FALSE)</f>
        <v>248302</v>
      </c>
      <c r="G1870" s="104">
        <f>1/15</f>
        <v>6.6666666666666666E-2</v>
      </c>
      <c r="H1870" s="252">
        <f t="shared" si="154"/>
        <v>16553.466666666667</v>
      </c>
    </row>
    <row r="1871" spans="1:9" x14ac:dyDescent="0.2">
      <c r="A1871" s="937" t="s">
        <v>293</v>
      </c>
      <c r="B1871" s="241" t="s">
        <v>598</v>
      </c>
      <c r="C1871" s="3" t="s">
        <v>3362</v>
      </c>
      <c r="D1871" s="2" t="s">
        <v>586</v>
      </c>
      <c r="E1871" s="114">
        <v>0.05</v>
      </c>
      <c r="F1871" s="23">
        <f>H1870</f>
        <v>16553.466666666667</v>
      </c>
      <c r="G1871" s="104">
        <v>0</v>
      </c>
      <c r="H1871" s="252">
        <f t="shared" si="154"/>
        <v>827.6733333333334</v>
      </c>
    </row>
    <row r="1872" spans="1:9" ht="13.5" thickBot="1" x14ac:dyDescent="0.25">
      <c r="A1872" s="938"/>
      <c r="B1872" s="528" t="s">
        <v>269</v>
      </c>
      <c r="C1872" s="108" t="s">
        <v>284</v>
      </c>
      <c r="D1872" s="109" t="s">
        <v>586</v>
      </c>
      <c r="E1872" s="200">
        <v>0.1</v>
      </c>
      <c r="F1872" s="110">
        <f>H1870</f>
        <v>16553.466666666667</v>
      </c>
      <c r="G1872" s="156">
        <v>0</v>
      </c>
      <c r="H1872" s="479">
        <f t="shared" si="154"/>
        <v>1655.3466666666668</v>
      </c>
    </row>
    <row r="1873" spans="1:9" s="42" customFormat="1" ht="30" x14ac:dyDescent="0.2">
      <c r="A1873" s="67" t="s">
        <v>3329</v>
      </c>
      <c r="B1873" s="529"/>
      <c r="C1873" s="388" t="s">
        <v>3630</v>
      </c>
      <c r="D1873" s="389" t="s">
        <v>3251</v>
      </c>
      <c r="E1873" s="395"/>
      <c r="F1873" s="391">
        <f>ROUND(SUM(H1873:H1881),0)</f>
        <v>82315</v>
      </c>
      <c r="G1873" s="392"/>
      <c r="H1873" s="393"/>
      <c r="I1873" s="738"/>
    </row>
    <row r="1874" spans="1:9" x14ac:dyDescent="0.2">
      <c r="A1874" s="936" t="s">
        <v>382</v>
      </c>
      <c r="B1874" s="241" t="s">
        <v>1283</v>
      </c>
      <c r="C1874" s="3" t="s">
        <v>2796</v>
      </c>
      <c r="D1874" s="2" t="s">
        <v>405</v>
      </c>
      <c r="E1874" s="114">
        <v>0.1</v>
      </c>
      <c r="F1874" s="23">
        <f>VLOOKUP(B1874,'BASE DE DATOS'!$A$5:$E$997,5,FALSE)</f>
        <v>3708.3333333333335</v>
      </c>
      <c r="G1874" s="104">
        <v>0</v>
      </c>
      <c r="H1874" s="252">
        <f t="shared" ref="H1874:H1881" si="155">IF(G1874&gt;0,(G1874*F1874*E1874),(F1874*E1874))</f>
        <v>370.83333333333337</v>
      </c>
    </row>
    <row r="1875" spans="1:9" x14ac:dyDescent="0.2">
      <c r="A1875" s="936"/>
      <c r="B1875" s="241" t="s">
        <v>1303</v>
      </c>
      <c r="C1875" s="44" t="s">
        <v>2608</v>
      </c>
      <c r="D1875" s="2" t="s">
        <v>406</v>
      </c>
      <c r="E1875" s="114">
        <v>0.5</v>
      </c>
      <c r="F1875" s="23">
        <f>VLOOKUP(B1875,'BASE DE DATOS'!$A$5:$E$997,5,FALSE)</f>
        <v>6700</v>
      </c>
      <c r="G1875" s="104">
        <v>1.05</v>
      </c>
      <c r="H1875" s="252">
        <f>IF(G1875&gt;0,(G1875*F1875*E1875),(F1875*E1875))</f>
        <v>3517.5</v>
      </c>
    </row>
    <row r="1876" spans="1:9" x14ac:dyDescent="0.2">
      <c r="A1876" s="936"/>
      <c r="B1876" s="241" t="s">
        <v>1318</v>
      </c>
      <c r="C1876" s="3" t="s">
        <v>677</v>
      </c>
      <c r="D1876" s="2" t="s">
        <v>406</v>
      </c>
      <c r="E1876" s="114">
        <v>2</v>
      </c>
      <c r="F1876" s="23">
        <f>VLOOKUP(B1876,'BASE DE DATOS'!$A$5:$E$997,5,FALSE)</f>
        <v>1675</v>
      </c>
      <c r="G1876" s="104">
        <v>1.05</v>
      </c>
      <c r="H1876" s="252">
        <f t="shared" si="155"/>
        <v>3517.5</v>
      </c>
    </row>
    <row r="1877" spans="1:9" ht="14.25" x14ac:dyDescent="0.2">
      <c r="A1877" s="936"/>
      <c r="B1877" s="241" t="s">
        <v>1322</v>
      </c>
      <c r="C1877" s="3" t="s">
        <v>2050</v>
      </c>
      <c r="D1877" s="2" t="s">
        <v>288</v>
      </c>
      <c r="E1877" s="114">
        <v>1</v>
      </c>
      <c r="F1877" s="23">
        <f>VLOOKUP(B1877,'BASE DE DATOS'!$A$5:$E$997,5,FALSE)</f>
        <v>39900</v>
      </c>
      <c r="G1877" s="104">
        <v>1.1000000000000001</v>
      </c>
      <c r="H1877" s="252">
        <f t="shared" si="155"/>
        <v>43890</v>
      </c>
    </row>
    <row r="1878" spans="1:9" x14ac:dyDescent="0.2">
      <c r="A1878" s="936"/>
      <c r="B1878" s="241" t="s">
        <v>1392</v>
      </c>
      <c r="C1878" s="3" t="s">
        <v>2892</v>
      </c>
      <c r="D1878" s="2" t="s">
        <v>406</v>
      </c>
      <c r="E1878" s="114">
        <v>4</v>
      </c>
      <c r="F1878" s="23">
        <f>VLOOKUP(B1878,'BASE DE DATOS'!$A$5:$E$997,5,FALSE)</f>
        <v>2852.9500000000003</v>
      </c>
      <c r="G1878" s="104">
        <v>1.05</v>
      </c>
      <c r="H1878" s="252">
        <f t="shared" si="155"/>
        <v>11982.390000000001</v>
      </c>
    </row>
    <row r="1879" spans="1:9" x14ac:dyDescent="0.2">
      <c r="A1879" s="81" t="s">
        <v>2555</v>
      </c>
      <c r="B1879" s="241" t="s">
        <v>644</v>
      </c>
      <c r="C1879" s="3" t="s">
        <v>645</v>
      </c>
      <c r="D1879" s="2" t="s">
        <v>585</v>
      </c>
      <c r="E1879" s="114">
        <v>1</v>
      </c>
      <c r="F1879" s="23">
        <f>VLOOKUP(B1879,'BASE DE DATOS'!$A$5:$E$997,5,FALSE)</f>
        <v>248302</v>
      </c>
      <c r="G1879" s="104">
        <f>1/15</f>
        <v>6.6666666666666666E-2</v>
      </c>
      <c r="H1879" s="252">
        <f t="shared" si="155"/>
        <v>16553.466666666667</v>
      </c>
    </row>
    <row r="1880" spans="1:9" x14ac:dyDescent="0.2">
      <c r="A1880" s="944" t="s">
        <v>293</v>
      </c>
      <c r="B1880" s="241" t="s">
        <v>598</v>
      </c>
      <c r="C1880" s="3" t="s">
        <v>3362</v>
      </c>
      <c r="D1880" s="2" t="s">
        <v>586</v>
      </c>
      <c r="E1880" s="114">
        <v>0.05</v>
      </c>
      <c r="F1880" s="23">
        <f>H1879</f>
        <v>16553.466666666667</v>
      </c>
      <c r="G1880" s="104">
        <v>0</v>
      </c>
      <c r="H1880" s="252">
        <f t="shared" si="155"/>
        <v>827.6733333333334</v>
      </c>
    </row>
    <row r="1881" spans="1:9" ht="13.5" thickBot="1" x14ac:dyDescent="0.25">
      <c r="A1881" s="945"/>
      <c r="B1881" s="528" t="s">
        <v>269</v>
      </c>
      <c r="C1881" s="108" t="s">
        <v>284</v>
      </c>
      <c r="D1881" s="109" t="s">
        <v>586</v>
      </c>
      <c r="E1881" s="200">
        <v>0.1</v>
      </c>
      <c r="F1881" s="110">
        <f>H1879</f>
        <v>16553.466666666667</v>
      </c>
      <c r="G1881" s="156">
        <v>0</v>
      </c>
      <c r="H1881" s="479">
        <f t="shared" si="155"/>
        <v>1655.3466666666668</v>
      </c>
    </row>
    <row r="1882" spans="1:9" s="42" customFormat="1" ht="30" x14ac:dyDescent="0.2">
      <c r="A1882" s="67" t="s">
        <v>3330</v>
      </c>
      <c r="B1882" s="529"/>
      <c r="C1882" s="388" t="s">
        <v>3631</v>
      </c>
      <c r="D1882" s="389" t="s">
        <v>3251</v>
      </c>
      <c r="E1882" s="395"/>
      <c r="F1882" s="391">
        <f>ROUND(SUM(H1882:H1890),0)</f>
        <v>83740</v>
      </c>
      <c r="G1882" s="392"/>
      <c r="H1882" s="393"/>
      <c r="I1882" s="738"/>
    </row>
    <row r="1883" spans="1:9" x14ac:dyDescent="0.2">
      <c r="A1883" s="936" t="s">
        <v>382</v>
      </c>
      <c r="B1883" s="241" t="s">
        <v>1253</v>
      </c>
      <c r="C1883" s="3" t="s">
        <v>2695</v>
      </c>
      <c r="D1883" s="2" t="s">
        <v>405</v>
      </c>
      <c r="E1883" s="114">
        <v>0.1</v>
      </c>
      <c r="F1883" s="23">
        <f>VLOOKUP(B1883,'BASE DE DATOS'!$A$5:$E$997,5,FALSE)</f>
        <v>17960</v>
      </c>
      <c r="G1883" s="104">
        <v>0</v>
      </c>
      <c r="H1883" s="252">
        <f t="shared" ref="H1883:H1890" si="156">IF(G1883&gt;0,(G1883*F1883*E1883),(F1883*E1883))</f>
        <v>1796</v>
      </c>
    </row>
    <row r="1884" spans="1:9" x14ac:dyDescent="0.2">
      <c r="A1884" s="936"/>
      <c r="B1884" s="241" t="s">
        <v>1303</v>
      </c>
      <c r="C1884" s="44" t="s">
        <v>2608</v>
      </c>
      <c r="D1884" s="2" t="s">
        <v>406</v>
      </c>
      <c r="E1884" s="114">
        <v>0.5</v>
      </c>
      <c r="F1884" s="23">
        <f>VLOOKUP(B1884,'BASE DE DATOS'!$A$5:$E$997,5,FALSE)</f>
        <v>6700</v>
      </c>
      <c r="G1884" s="104">
        <v>1.05</v>
      </c>
      <c r="H1884" s="252">
        <f>IF(G1884&gt;0,(G1884*F1884*E1884),(F1884*E1884))</f>
        <v>3517.5</v>
      </c>
    </row>
    <row r="1885" spans="1:9" x14ac:dyDescent="0.2">
      <c r="A1885" s="936"/>
      <c r="B1885" s="241" t="s">
        <v>1318</v>
      </c>
      <c r="C1885" s="3" t="s">
        <v>677</v>
      </c>
      <c r="D1885" s="2" t="s">
        <v>406</v>
      </c>
      <c r="E1885" s="114">
        <v>2</v>
      </c>
      <c r="F1885" s="23">
        <f>VLOOKUP(B1885,'BASE DE DATOS'!$A$5:$E$997,5,FALSE)</f>
        <v>1675</v>
      </c>
      <c r="G1885" s="104">
        <v>1.05</v>
      </c>
      <c r="H1885" s="252">
        <f t="shared" si="156"/>
        <v>3517.5</v>
      </c>
    </row>
    <row r="1886" spans="1:9" ht="14.25" x14ac:dyDescent="0.2">
      <c r="A1886" s="936"/>
      <c r="B1886" s="241" t="s">
        <v>1322</v>
      </c>
      <c r="C1886" s="3" t="s">
        <v>2050</v>
      </c>
      <c r="D1886" s="2" t="s">
        <v>288</v>
      </c>
      <c r="E1886" s="114">
        <v>1</v>
      </c>
      <c r="F1886" s="23">
        <f>VLOOKUP(B1886,'BASE DE DATOS'!$A$5:$E$997,5,FALSE)</f>
        <v>39900</v>
      </c>
      <c r="G1886" s="104">
        <v>1.1000000000000001</v>
      </c>
      <c r="H1886" s="252">
        <f t="shared" si="156"/>
        <v>43890</v>
      </c>
    </row>
    <row r="1887" spans="1:9" x14ac:dyDescent="0.2">
      <c r="A1887" s="936"/>
      <c r="B1887" s="241" t="s">
        <v>1392</v>
      </c>
      <c r="C1887" s="3" t="s">
        <v>2892</v>
      </c>
      <c r="D1887" s="2" t="s">
        <v>406</v>
      </c>
      <c r="E1887" s="114">
        <v>4</v>
      </c>
      <c r="F1887" s="23">
        <f>VLOOKUP(B1887,'BASE DE DATOS'!$A$5:$E$997,5,FALSE)</f>
        <v>2852.9500000000003</v>
      </c>
      <c r="G1887" s="104">
        <v>1.05</v>
      </c>
      <c r="H1887" s="252">
        <f t="shared" si="156"/>
        <v>11982.390000000001</v>
      </c>
    </row>
    <row r="1888" spans="1:9" x14ac:dyDescent="0.2">
      <c r="A1888" s="185" t="s">
        <v>2555</v>
      </c>
      <c r="B1888" s="241" t="s">
        <v>644</v>
      </c>
      <c r="C1888" s="3" t="s">
        <v>645</v>
      </c>
      <c r="D1888" s="2" t="s">
        <v>585</v>
      </c>
      <c r="E1888" s="114">
        <v>1</v>
      </c>
      <c r="F1888" s="23">
        <f>VLOOKUP(B1888,'BASE DE DATOS'!$A$5:$E$997,5,FALSE)</f>
        <v>248302</v>
      </c>
      <c r="G1888" s="104">
        <f>1/15</f>
        <v>6.6666666666666666E-2</v>
      </c>
      <c r="H1888" s="252">
        <f t="shared" si="156"/>
        <v>16553.466666666667</v>
      </c>
    </row>
    <row r="1889" spans="1:9" x14ac:dyDescent="0.2">
      <c r="A1889" s="944" t="s">
        <v>293</v>
      </c>
      <c r="B1889" s="241" t="s">
        <v>598</v>
      </c>
      <c r="C1889" s="3" t="s">
        <v>3362</v>
      </c>
      <c r="D1889" s="2" t="s">
        <v>586</v>
      </c>
      <c r="E1889" s="114">
        <v>0.05</v>
      </c>
      <c r="F1889" s="23">
        <f>H1888</f>
        <v>16553.466666666667</v>
      </c>
      <c r="G1889" s="104">
        <v>0</v>
      </c>
      <c r="H1889" s="252">
        <f t="shared" si="156"/>
        <v>827.6733333333334</v>
      </c>
    </row>
    <row r="1890" spans="1:9" ht="13.5" thickBot="1" x14ac:dyDescent="0.25">
      <c r="A1890" s="945"/>
      <c r="B1890" s="528" t="s">
        <v>269</v>
      </c>
      <c r="C1890" s="108" t="s">
        <v>284</v>
      </c>
      <c r="D1890" s="109" t="s">
        <v>586</v>
      </c>
      <c r="E1890" s="200">
        <v>0.1</v>
      </c>
      <c r="F1890" s="110">
        <f>H1888</f>
        <v>16553.466666666667</v>
      </c>
      <c r="G1890" s="156">
        <v>0</v>
      </c>
      <c r="H1890" s="479">
        <f t="shared" si="156"/>
        <v>1655.3466666666668</v>
      </c>
    </row>
    <row r="1891" spans="1:9" s="42" customFormat="1" ht="30" x14ac:dyDescent="0.2">
      <c r="A1891" s="67" t="s">
        <v>3331</v>
      </c>
      <c r="B1891" s="529"/>
      <c r="C1891" s="388" t="s">
        <v>3826</v>
      </c>
      <c r="D1891" s="389" t="s">
        <v>3251</v>
      </c>
      <c r="E1891" s="395"/>
      <c r="F1891" s="391">
        <f>ROUND(SUM(H1891:H1899),0)</f>
        <v>74835</v>
      </c>
      <c r="G1891" s="392"/>
      <c r="H1891" s="393"/>
      <c r="I1891" s="738"/>
    </row>
    <row r="1892" spans="1:9" x14ac:dyDescent="0.2">
      <c r="A1892" s="936" t="s">
        <v>382</v>
      </c>
      <c r="B1892" s="241" t="s">
        <v>1283</v>
      </c>
      <c r="C1892" s="3" t="s">
        <v>2796</v>
      </c>
      <c r="D1892" s="2" t="s">
        <v>405</v>
      </c>
      <c r="E1892" s="114">
        <v>0.1</v>
      </c>
      <c r="F1892" s="23">
        <f>VLOOKUP(B1892,'BASE DE DATOS'!$A$5:$E$997,5,FALSE)</f>
        <v>3708.3333333333335</v>
      </c>
      <c r="G1892" s="104">
        <v>0</v>
      </c>
      <c r="H1892" s="252">
        <f t="shared" ref="H1892:H1899" si="157">IF(G1892&gt;0,(G1892*F1892*E1892),(F1892*E1892))</f>
        <v>370.83333333333337</v>
      </c>
    </row>
    <row r="1893" spans="1:9" x14ac:dyDescent="0.2">
      <c r="A1893" s="936"/>
      <c r="B1893" s="241" t="s">
        <v>1303</v>
      </c>
      <c r="C1893" s="44" t="s">
        <v>2608</v>
      </c>
      <c r="D1893" s="2" t="s">
        <v>406</v>
      </c>
      <c r="E1893" s="114">
        <v>0.5</v>
      </c>
      <c r="F1893" s="23">
        <f>VLOOKUP(B1893,'BASE DE DATOS'!$A$5:$E$997,5,FALSE)</f>
        <v>6700</v>
      </c>
      <c r="G1893" s="104">
        <v>1.05</v>
      </c>
      <c r="H1893" s="252">
        <f>IF(G1893&gt;0,(G1893*F1893*E1893),(F1893*E1893))</f>
        <v>3517.5</v>
      </c>
    </row>
    <row r="1894" spans="1:9" x14ac:dyDescent="0.2">
      <c r="A1894" s="936"/>
      <c r="B1894" s="241" t="s">
        <v>1318</v>
      </c>
      <c r="C1894" s="3" t="s">
        <v>677</v>
      </c>
      <c r="D1894" s="2" t="s">
        <v>406</v>
      </c>
      <c r="E1894" s="114">
        <v>2</v>
      </c>
      <c r="F1894" s="23">
        <f>VLOOKUP(B1894,'BASE DE DATOS'!$A$5:$E$997,5,FALSE)</f>
        <v>1675</v>
      </c>
      <c r="G1894" s="104">
        <v>1.05</v>
      </c>
      <c r="H1894" s="252">
        <f t="shared" si="157"/>
        <v>3517.5</v>
      </c>
    </row>
    <row r="1895" spans="1:9" ht="14.25" x14ac:dyDescent="0.2">
      <c r="A1895" s="936"/>
      <c r="B1895" s="241" t="s">
        <v>1323</v>
      </c>
      <c r="C1895" s="3" t="s">
        <v>3824</v>
      </c>
      <c r="D1895" s="2" t="s">
        <v>288</v>
      </c>
      <c r="E1895" s="114">
        <v>1</v>
      </c>
      <c r="F1895" s="23">
        <f>VLOOKUP(B1895,'BASE DE DATOS'!$A$5:$E$997,5,FALSE)</f>
        <v>33100</v>
      </c>
      <c r="G1895" s="104">
        <v>1.1000000000000001</v>
      </c>
      <c r="H1895" s="252">
        <f t="shared" si="157"/>
        <v>36410</v>
      </c>
    </row>
    <row r="1896" spans="1:9" x14ac:dyDescent="0.2">
      <c r="A1896" s="936"/>
      <c r="B1896" s="241" t="s">
        <v>1392</v>
      </c>
      <c r="C1896" s="3" t="s">
        <v>2892</v>
      </c>
      <c r="D1896" s="2" t="s">
        <v>406</v>
      </c>
      <c r="E1896" s="114">
        <v>4</v>
      </c>
      <c r="F1896" s="23">
        <f>VLOOKUP(B1896,'BASE DE DATOS'!$A$5:$E$997,5,FALSE)</f>
        <v>2852.9500000000003</v>
      </c>
      <c r="G1896" s="104">
        <v>1.05</v>
      </c>
      <c r="H1896" s="252">
        <f t="shared" si="157"/>
        <v>11982.390000000001</v>
      </c>
    </row>
    <row r="1897" spans="1:9" x14ac:dyDescent="0.2">
      <c r="A1897" s="81" t="s">
        <v>2555</v>
      </c>
      <c r="B1897" s="241" t="s">
        <v>644</v>
      </c>
      <c r="C1897" s="3" t="s">
        <v>645</v>
      </c>
      <c r="D1897" s="2" t="s">
        <v>585</v>
      </c>
      <c r="E1897" s="114">
        <v>1</v>
      </c>
      <c r="F1897" s="23">
        <f>VLOOKUP(B1897,'BASE DE DATOS'!$A$5:$E$997,5,FALSE)</f>
        <v>248302</v>
      </c>
      <c r="G1897" s="104">
        <f>1/15</f>
        <v>6.6666666666666666E-2</v>
      </c>
      <c r="H1897" s="252">
        <f t="shared" si="157"/>
        <v>16553.466666666667</v>
      </c>
    </row>
    <row r="1898" spans="1:9" x14ac:dyDescent="0.2">
      <c r="A1898" s="944" t="s">
        <v>293</v>
      </c>
      <c r="B1898" s="241" t="s">
        <v>598</v>
      </c>
      <c r="C1898" s="3" t="s">
        <v>3362</v>
      </c>
      <c r="D1898" s="2" t="s">
        <v>586</v>
      </c>
      <c r="E1898" s="114">
        <v>0.05</v>
      </c>
      <c r="F1898" s="23">
        <f>H1897</f>
        <v>16553.466666666667</v>
      </c>
      <c r="G1898" s="104">
        <v>0</v>
      </c>
      <c r="H1898" s="252">
        <f t="shared" si="157"/>
        <v>827.6733333333334</v>
      </c>
    </row>
    <row r="1899" spans="1:9" ht="13.5" thickBot="1" x14ac:dyDescent="0.25">
      <c r="A1899" s="945"/>
      <c r="B1899" s="528" t="s">
        <v>269</v>
      </c>
      <c r="C1899" s="108" t="s">
        <v>284</v>
      </c>
      <c r="D1899" s="109" t="s">
        <v>586</v>
      </c>
      <c r="E1899" s="200">
        <v>0.1</v>
      </c>
      <c r="F1899" s="110">
        <f>H1897</f>
        <v>16553.466666666667</v>
      </c>
      <c r="G1899" s="156">
        <v>0</v>
      </c>
      <c r="H1899" s="479">
        <f t="shared" si="157"/>
        <v>1655.3466666666668</v>
      </c>
    </row>
    <row r="1900" spans="1:9" s="42" customFormat="1" ht="30" x14ac:dyDescent="0.2">
      <c r="A1900" s="67" t="s">
        <v>3332</v>
      </c>
      <c r="B1900" s="529"/>
      <c r="C1900" s="388" t="s">
        <v>3632</v>
      </c>
      <c r="D1900" s="389" t="s">
        <v>3251</v>
      </c>
      <c r="E1900" s="395"/>
      <c r="F1900" s="391">
        <f>ROUND(SUM(H1900:H1908),0)</f>
        <v>76260</v>
      </c>
      <c r="G1900" s="392"/>
      <c r="H1900" s="393"/>
      <c r="I1900" s="738"/>
    </row>
    <row r="1901" spans="1:9" x14ac:dyDescent="0.2">
      <c r="A1901" s="936" t="s">
        <v>382</v>
      </c>
      <c r="B1901" s="241" t="s">
        <v>1253</v>
      </c>
      <c r="C1901" s="3" t="s">
        <v>2695</v>
      </c>
      <c r="D1901" s="2" t="s">
        <v>405</v>
      </c>
      <c r="E1901" s="114">
        <v>0.1</v>
      </c>
      <c r="F1901" s="23">
        <f>VLOOKUP(B1901,'BASE DE DATOS'!$A$5:$E$997,5,FALSE)</f>
        <v>17960</v>
      </c>
      <c r="G1901" s="104">
        <v>0</v>
      </c>
      <c r="H1901" s="252">
        <f t="shared" ref="H1901:H1908" si="158">IF(G1901&gt;0,(G1901*F1901*E1901),(F1901*E1901))</f>
        <v>1796</v>
      </c>
    </row>
    <row r="1902" spans="1:9" x14ac:dyDescent="0.2">
      <c r="A1902" s="936"/>
      <c r="B1902" s="241" t="s">
        <v>1303</v>
      </c>
      <c r="C1902" s="44" t="s">
        <v>2608</v>
      </c>
      <c r="D1902" s="2" t="s">
        <v>406</v>
      </c>
      <c r="E1902" s="114">
        <v>0.5</v>
      </c>
      <c r="F1902" s="23">
        <f>VLOOKUP(B1902,'BASE DE DATOS'!$A$5:$E$997,5,FALSE)</f>
        <v>6700</v>
      </c>
      <c r="G1902" s="104">
        <v>1.05</v>
      </c>
      <c r="H1902" s="252">
        <f>IF(G1902&gt;0,(G1902*F1902*E1902),(F1902*E1902))</f>
        <v>3517.5</v>
      </c>
    </row>
    <row r="1903" spans="1:9" x14ac:dyDescent="0.2">
      <c r="A1903" s="936"/>
      <c r="B1903" s="241" t="s">
        <v>1318</v>
      </c>
      <c r="C1903" s="3" t="s">
        <v>677</v>
      </c>
      <c r="D1903" s="2" t="s">
        <v>406</v>
      </c>
      <c r="E1903" s="114">
        <v>2</v>
      </c>
      <c r="F1903" s="23">
        <f>VLOOKUP(B1903,'BASE DE DATOS'!$A$5:$E$997,5,FALSE)</f>
        <v>1675</v>
      </c>
      <c r="G1903" s="104">
        <v>1.05</v>
      </c>
      <c r="H1903" s="252">
        <f t="shared" si="158"/>
        <v>3517.5</v>
      </c>
    </row>
    <row r="1904" spans="1:9" ht="14.25" x14ac:dyDescent="0.2">
      <c r="A1904" s="936"/>
      <c r="B1904" s="241" t="s">
        <v>1323</v>
      </c>
      <c r="C1904" s="3" t="s">
        <v>3824</v>
      </c>
      <c r="D1904" s="2" t="s">
        <v>288</v>
      </c>
      <c r="E1904" s="114">
        <v>1</v>
      </c>
      <c r="F1904" s="23">
        <f>VLOOKUP(B1904,'BASE DE DATOS'!$A$5:$E$997,5,FALSE)</f>
        <v>33100</v>
      </c>
      <c r="G1904" s="104">
        <v>1.1000000000000001</v>
      </c>
      <c r="H1904" s="252">
        <f t="shared" si="158"/>
        <v>36410</v>
      </c>
    </row>
    <row r="1905" spans="1:9" x14ac:dyDescent="0.2">
      <c r="A1905" s="936"/>
      <c r="B1905" s="241" t="s">
        <v>1392</v>
      </c>
      <c r="C1905" s="3" t="s">
        <v>2892</v>
      </c>
      <c r="D1905" s="2" t="s">
        <v>406</v>
      </c>
      <c r="E1905" s="114">
        <v>4</v>
      </c>
      <c r="F1905" s="23">
        <f>VLOOKUP(B1905,'BASE DE DATOS'!$A$5:$E$997,5,FALSE)</f>
        <v>2852.9500000000003</v>
      </c>
      <c r="G1905" s="104">
        <v>1.05</v>
      </c>
      <c r="H1905" s="252">
        <f t="shared" si="158"/>
        <v>11982.390000000001</v>
      </c>
    </row>
    <row r="1906" spans="1:9" x14ac:dyDescent="0.2">
      <c r="A1906" s="185" t="s">
        <v>2555</v>
      </c>
      <c r="B1906" s="241" t="s">
        <v>644</v>
      </c>
      <c r="C1906" s="3" t="s">
        <v>645</v>
      </c>
      <c r="D1906" s="2" t="s">
        <v>585</v>
      </c>
      <c r="E1906" s="114">
        <v>1</v>
      </c>
      <c r="F1906" s="23">
        <f>VLOOKUP(B1906,'BASE DE DATOS'!$A$5:$E$997,5,FALSE)</f>
        <v>248302</v>
      </c>
      <c r="G1906" s="104">
        <f>1/15</f>
        <v>6.6666666666666666E-2</v>
      </c>
      <c r="H1906" s="252">
        <f t="shared" si="158"/>
        <v>16553.466666666667</v>
      </c>
    </row>
    <row r="1907" spans="1:9" x14ac:dyDescent="0.2">
      <c r="A1907" s="944" t="s">
        <v>293</v>
      </c>
      <c r="B1907" s="241" t="s">
        <v>598</v>
      </c>
      <c r="C1907" s="3" t="s">
        <v>3362</v>
      </c>
      <c r="D1907" s="2" t="s">
        <v>586</v>
      </c>
      <c r="E1907" s="114">
        <v>0.05</v>
      </c>
      <c r="F1907" s="23">
        <f>H1906</f>
        <v>16553.466666666667</v>
      </c>
      <c r="G1907" s="104">
        <v>0</v>
      </c>
      <c r="H1907" s="252">
        <f t="shared" si="158"/>
        <v>827.6733333333334</v>
      </c>
    </row>
    <row r="1908" spans="1:9" ht="13.5" thickBot="1" x14ac:dyDescent="0.25">
      <c r="A1908" s="945"/>
      <c r="B1908" s="528" t="s">
        <v>269</v>
      </c>
      <c r="C1908" s="108" t="s">
        <v>284</v>
      </c>
      <c r="D1908" s="109" t="s">
        <v>586</v>
      </c>
      <c r="E1908" s="200">
        <v>0.1</v>
      </c>
      <c r="F1908" s="110">
        <f>H1906</f>
        <v>16553.466666666667</v>
      </c>
      <c r="G1908" s="156">
        <v>0</v>
      </c>
      <c r="H1908" s="479">
        <f t="shared" si="158"/>
        <v>1655.3466666666668</v>
      </c>
    </row>
    <row r="1909" spans="1:9" ht="16.5" thickBot="1" x14ac:dyDescent="0.25">
      <c r="A1909" s="989" t="s">
        <v>3474</v>
      </c>
      <c r="B1909" s="990"/>
      <c r="C1909" s="990"/>
      <c r="D1909" s="990"/>
      <c r="E1909" s="990"/>
      <c r="F1909" s="990"/>
      <c r="G1909" s="990"/>
      <c r="H1909" s="991"/>
    </row>
    <row r="1910" spans="1:9" s="42" customFormat="1" ht="30" x14ac:dyDescent="0.2">
      <c r="A1910" s="67" t="s">
        <v>3333</v>
      </c>
      <c r="B1910" s="529"/>
      <c r="C1910" s="388" t="s">
        <v>2051</v>
      </c>
      <c r="D1910" s="389" t="s">
        <v>3251</v>
      </c>
      <c r="E1910" s="390"/>
      <c r="F1910" s="391">
        <f>ROUND(SUM(H1910:H1921),0)</f>
        <v>171575</v>
      </c>
      <c r="G1910" s="392"/>
      <c r="H1910" s="393"/>
      <c r="I1910" s="738"/>
    </row>
    <row r="1911" spans="1:9" x14ac:dyDescent="0.2">
      <c r="A1911" s="939" t="s">
        <v>295</v>
      </c>
      <c r="B1911" s="241" t="s">
        <v>1279</v>
      </c>
      <c r="C1911" s="3" t="s">
        <v>349</v>
      </c>
      <c r="D1911" s="2" t="s">
        <v>617</v>
      </c>
      <c r="E1911" s="114">
        <v>25</v>
      </c>
      <c r="F1911" s="23">
        <f>VLOOKUP(B1911,'BASE DE DATOS'!$A$5:$E$997,5,FALSE)</f>
        <v>19</v>
      </c>
      <c r="G1911" s="104">
        <v>0</v>
      </c>
      <c r="H1911" s="252">
        <f>IF(G1911&gt;0,(G1911*F1911*E1911),(F1911*E1911))</f>
        <v>475</v>
      </c>
    </row>
    <row r="1912" spans="1:9" x14ac:dyDescent="0.2">
      <c r="A1912" s="939"/>
      <c r="B1912" s="241" t="s">
        <v>1318</v>
      </c>
      <c r="C1912" s="3" t="s">
        <v>677</v>
      </c>
      <c r="D1912" s="2" t="s">
        <v>406</v>
      </c>
      <c r="E1912" s="114">
        <v>25</v>
      </c>
      <c r="F1912" s="23">
        <f>VLOOKUP(B1912,'BASE DE DATOS'!$A$5:$E$997,5,FALSE)</f>
        <v>1675</v>
      </c>
      <c r="G1912" s="104">
        <v>1.05</v>
      </c>
      <c r="H1912" s="252">
        <f>IF(G1912&gt;0,(G1912*F1912*E1912),(F1912*E1912))</f>
        <v>43968.75</v>
      </c>
    </row>
    <row r="1913" spans="1:9" ht="13.15" customHeight="1" x14ac:dyDescent="0.2">
      <c r="A1913" s="939"/>
      <c r="B1913" s="241" t="s">
        <v>1319</v>
      </c>
      <c r="C1913" s="3" t="s">
        <v>2569</v>
      </c>
      <c r="D1913" s="2" t="s">
        <v>405</v>
      </c>
      <c r="E1913" s="196">
        <v>0.1</v>
      </c>
      <c r="F1913" s="23">
        <f>VLOOKUP(B1913,'BASE DE DATOS'!$A$5:$E$997,5,FALSE)</f>
        <v>32900</v>
      </c>
      <c r="G1913" s="104">
        <v>1.05</v>
      </c>
      <c r="H1913" s="252">
        <f t="shared" ref="H1913:H1921" si="159">IF(G1913&gt;0,(G1913*F1913*E1913),(F1913*E1913))</f>
        <v>3454.5</v>
      </c>
    </row>
    <row r="1914" spans="1:9" x14ac:dyDescent="0.2">
      <c r="A1914" s="939"/>
      <c r="B1914" s="241" t="s">
        <v>1321</v>
      </c>
      <c r="C1914" s="3" t="s">
        <v>2707</v>
      </c>
      <c r="D1914" s="2" t="s">
        <v>590</v>
      </c>
      <c r="E1914" s="114">
        <v>1.9E-2</v>
      </c>
      <c r="F1914" s="23">
        <f>VLOOKUP(B1914,'BASE DE DATOS'!$A$5:$E$997,5,FALSE)</f>
        <v>3190</v>
      </c>
      <c r="G1914" s="104">
        <v>0</v>
      </c>
      <c r="H1914" s="252">
        <f>IF(G1914&gt;0,(G1914*F1914*E1914),(F1914*E1914))</f>
        <v>60.61</v>
      </c>
    </row>
    <row r="1915" spans="1:9" x14ac:dyDescent="0.2">
      <c r="A1915" s="939"/>
      <c r="B1915" s="241" t="s">
        <v>1892</v>
      </c>
      <c r="C1915" s="3" t="s">
        <v>2463</v>
      </c>
      <c r="D1915" s="2" t="s">
        <v>616</v>
      </c>
      <c r="E1915" s="114">
        <v>1</v>
      </c>
      <c r="F1915" s="23">
        <f>VLOOKUP(B1915,'BASE DE DATOS'!$A$5:$E$997,5,FALSE)</f>
        <v>30232.5</v>
      </c>
      <c r="G1915" s="104">
        <v>1.03</v>
      </c>
      <c r="H1915" s="252">
        <f>IF(G1915&gt;0,(G1915*F1915*E1915),(F1915*E1915))</f>
        <v>31139.475000000002</v>
      </c>
    </row>
    <row r="1916" spans="1:9" x14ac:dyDescent="0.2">
      <c r="A1916" s="939"/>
      <c r="B1916" s="241" t="s">
        <v>1463</v>
      </c>
      <c r="C1916" s="3" t="s">
        <v>593</v>
      </c>
      <c r="D1916" s="2" t="s">
        <v>405</v>
      </c>
      <c r="E1916" s="114">
        <v>2</v>
      </c>
      <c r="F1916" s="23">
        <f>VLOOKUP(B1916,'BASE DE DATOS'!$A$5:$E$997,5,FALSE)</f>
        <v>4704</v>
      </c>
      <c r="G1916" s="104">
        <f>1/3</f>
        <v>0.33333333333333331</v>
      </c>
      <c r="H1916" s="252">
        <f t="shared" si="159"/>
        <v>3136</v>
      </c>
    </row>
    <row r="1917" spans="1:9" x14ac:dyDescent="0.2">
      <c r="A1917" s="939"/>
      <c r="B1917" s="241" t="s">
        <v>1531</v>
      </c>
      <c r="C1917" s="3" t="s">
        <v>352</v>
      </c>
      <c r="D1917" s="2" t="s">
        <v>405</v>
      </c>
      <c r="E1917" s="114">
        <v>1.6</v>
      </c>
      <c r="F1917" s="23">
        <f>VLOOKUP(B1917,'BASE DE DATOS'!$A$5:$E$997,5,FALSE)</f>
        <v>19960</v>
      </c>
      <c r="G1917" s="104">
        <v>0</v>
      </c>
      <c r="H1917" s="252">
        <f>IF(G1917&gt;0,(G1917*F1917*E1917),(F1917*E1917))</f>
        <v>31936</v>
      </c>
    </row>
    <row r="1918" spans="1:9" x14ac:dyDescent="0.2">
      <c r="A1918" s="939"/>
      <c r="B1918" s="241" t="s">
        <v>1558</v>
      </c>
      <c r="C1918" s="3" t="s">
        <v>2023</v>
      </c>
      <c r="D1918" s="2" t="s">
        <v>590</v>
      </c>
      <c r="E1918" s="196">
        <v>0.02</v>
      </c>
      <c r="F1918" s="23">
        <f>VLOOKUP(B1918,'BASE DE DATOS'!$A$5:$E$997,5,FALSE)</f>
        <v>5650</v>
      </c>
      <c r="G1918" s="104">
        <v>0</v>
      </c>
      <c r="H1918" s="252">
        <f t="shared" si="159"/>
        <v>113</v>
      </c>
    </row>
    <row r="1919" spans="1:9" x14ac:dyDescent="0.2">
      <c r="A1919" s="81" t="s">
        <v>2555</v>
      </c>
      <c r="B1919" s="241" t="s">
        <v>644</v>
      </c>
      <c r="C1919" s="3" t="s">
        <v>645</v>
      </c>
      <c r="D1919" s="2" t="s">
        <v>585</v>
      </c>
      <c r="E1919" s="114">
        <v>1</v>
      </c>
      <c r="F1919" s="23">
        <f>VLOOKUP(B1919,'BASE DE DATOS'!$A$5:$E$997,5,FALSE)</f>
        <v>248302</v>
      </c>
      <c r="G1919" s="104">
        <f>1/5</f>
        <v>0.2</v>
      </c>
      <c r="H1919" s="252">
        <f t="shared" si="159"/>
        <v>49660.4</v>
      </c>
    </row>
    <row r="1920" spans="1:9" x14ac:dyDescent="0.2">
      <c r="A1920" s="944" t="s">
        <v>293</v>
      </c>
      <c r="B1920" s="241" t="s">
        <v>269</v>
      </c>
      <c r="C1920" s="3" t="s">
        <v>284</v>
      </c>
      <c r="D1920" s="2" t="s">
        <v>586</v>
      </c>
      <c r="E1920" s="114">
        <v>0.1</v>
      </c>
      <c r="F1920" s="23">
        <f>H1919</f>
        <v>49660.4</v>
      </c>
      <c r="G1920" s="104">
        <v>0</v>
      </c>
      <c r="H1920" s="252">
        <f t="shared" si="159"/>
        <v>4966.0400000000009</v>
      </c>
    </row>
    <row r="1921" spans="1:9" ht="13.5" thickBot="1" x14ac:dyDescent="0.25">
      <c r="A1921" s="945"/>
      <c r="B1921" s="528" t="s">
        <v>169</v>
      </c>
      <c r="C1921" s="108" t="s">
        <v>170</v>
      </c>
      <c r="D1921" s="109" t="s">
        <v>585</v>
      </c>
      <c r="E1921" s="200">
        <v>1</v>
      </c>
      <c r="F1921" s="110">
        <f>VLOOKUP(B1921,'BASE DE DATOS'!$A$5:$E$997,5,FALSE)</f>
        <v>39984</v>
      </c>
      <c r="G1921" s="156">
        <f>1/15</f>
        <v>6.6666666666666666E-2</v>
      </c>
      <c r="H1921" s="479">
        <f t="shared" si="159"/>
        <v>2665.6</v>
      </c>
    </row>
    <row r="1922" spans="1:9" s="42" customFormat="1" ht="17.25" x14ac:dyDescent="0.2">
      <c r="A1922" s="67" t="s">
        <v>3334</v>
      </c>
      <c r="B1922" s="529"/>
      <c r="C1922" s="388" t="s">
        <v>471</v>
      </c>
      <c r="D1922" s="389" t="s">
        <v>3251</v>
      </c>
      <c r="E1922" s="390"/>
      <c r="F1922" s="391">
        <f>ROUND(SUM(H1922:H1930),0)</f>
        <v>119439</v>
      </c>
      <c r="G1922" s="392"/>
      <c r="H1922" s="393"/>
      <c r="I1922" s="738"/>
    </row>
    <row r="1923" spans="1:9" x14ac:dyDescent="0.2">
      <c r="A1923" s="936" t="s">
        <v>382</v>
      </c>
      <c r="B1923" s="241" t="s">
        <v>1279</v>
      </c>
      <c r="C1923" s="3" t="s">
        <v>358</v>
      </c>
      <c r="D1923" s="2" t="s">
        <v>617</v>
      </c>
      <c r="E1923" s="114">
        <v>25</v>
      </c>
      <c r="F1923" s="23">
        <f>VLOOKUP(B1923,'BASE DE DATOS'!$A$5:$E$997,5,FALSE)</f>
        <v>19</v>
      </c>
      <c r="G1923" s="104">
        <v>0</v>
      </c>
      <c r="H1923" s="252">
        <f>IF(G1923&gt;0,(G1923*F1923*E1923),(F1923*E1923))</f>
        <v>475</v>
      </c>
    </row>
    <row r="1924" spans="1:9" x14ac:dyDescent="0.2">
      <c r="A1924" s="936"/>
      <c r="B1924" s="241" t="s">
        <v>1319</v>
      </c>
      <c r="C1924" s="3" t="s">
        <v>2569</v>
      </c>
      <c r="D1924" s="2" t="s">
        <v>616</v>
      </c>
      <c r="E1924" s="114">
        <f>0.2+0.53</f>
        <v>0.73</v>
      </c>
      <c r="F1924" s="23">
        <f>VLOOKUP(B1924,'BASE DE DATOS'!$A$5:$E$997,5,FALSE)</f>
        <v>32900</v>
      </c>
      <c r="G1924" s="104">
        <v>1.05</v>
      </c>
      <c r="H1924" s="252">
        <f t="shared" ref="H1924:H1930" si="160">IF(G1924&gt;0,(G1924*F1924*E1924),(F1924*E1924))</f>
        <v>25217.85</v>
      </c>
    </row>
    <row r="1925" spans="1:9" x14ac:dyDescent="0.2">
      <c r="A1925" s="936"/>
      <c r="B1925" s="241" t="s">
        <v>1712</v>
      </c>
      <c r="C1925" s="3" t="s">
        <v>2609</v>
      </c>
      <c r="D1925" s="2" t="s">
        <v>616</v>
      </c>
      <c r="E1925" s="114">
        <f>1+0.53</f>
        <v>1.53</v>
      </c>
      <c r="F1925" s="23">
        <f>VLOOKUP(B1925,'BASE DE DATOS'!$A$5:$E$997,5,FALSE)</f>
        <v>12250</v>
      </c>
      <c r="G1925" s="104">
        <v>1.03</v>
      </c>
      <c r="H1925" s="252">
        <f t="shared" si="160"/>
        <v>19304.775000000001</v>
      </c>
    </row>
    <row r="1926" spans="1:9" x14ac:dyDescent="0.2">
      <c r="A1926" s="936"/>
      <c r="B1926" s="241" t="s">
        <v>1463</v>
      </c>
      <c r="C1926" s="3" t="s">
        <v>593</v>
      </c>
      <c r="D1926" s="2" t="s">
        <v>405</v>
      </c>
      <c r="E1926" s="114">
        <v>2</v>
      </c>
      <c r="F1926" s="23">
        <f>VLOOKUP(B1926,'BASE DE DATOS'!$A$5:$E$997,5,FALSE)</f>
        <v>4704</v>
      </c>
      <c r="G1926" s="104">
        <f>1/3</f>
        <v>0.33333333333333331</v>
      </c>
      <c r="H1926" s="252">
        <f t="shared" si="160"/>
        <v>3136</v>
      </c>
    </row>
    <row r="1927" spans="1:9" s="33" customFormat="1" x14ac:dyDescent="0.2">
      <c r="A1927" s="936"/>
      <c r="B1927" s="241" t="s">
        <v>1558</v>
      </c>
      <c r="C1927" s="3" t="s">
        <v>2023</v>
      </c>
      <c r="D1927" s="2" t="s">
        <v>590</v>
      </c>
      <c r="E1927" s="196">
        <v>0.02</v>
      </c>
      <c r="F1927" s="23">
        <f>VLOOKUP(B1927,'BASE DE DATOS'!$A$5:$E$997,5,FALSE)</f>
        <v>5650</v>
      </c>
      <c r="G1927" s="104">
        <v>0</v>
      </c>
      <c r="H1927" s="252">
        <f t="shared" si="160"/>
        <v>113</v>
      </c>
    </row>
    <row r="1928" spans="1:9" ht="14.25" x14ac:dyDescent="0.2">
      <c r="A1928" s="64" t="s">
        <v>3252</v>
      </c>
      <c r="B1928" s="241" t="s">
        <v>810</v>
      </c>
      <c r="C1928" s="3" t="s">
        <v>2097</v>
      </c>
      <c r="D1928" s="2" t="s">
        <v>285</v>
      </c>
      <c r="E1928" s="114">
        <v>0.03</v>
      </c>
      <c r="F1928" s="23">
        <f>F90</f>
        <v>525897</v>
      </c>
      <c r="G1928" s="104">
        <v>1.05</v>
      </c>
      <c r="H1928" s="252">
        <f t="shared" si="160"/>
        <v>16565.755499999999</v>
      </c>
    </row>
    <row r="1929" spans="1:9" x14ac:dyDescent="0.2">
      <c r="A1929" s="81" t="s">
        <v>2555</v>
      </c>
      <c r="B1929" s="241" t="s">
        <v>644</v>
      </c>
      <c r="C1929" s="3" t="s">
        <v>645</v>
      </c>
      <c r="D1929" s="2" t="s">
        <v>585</v>
      </c>
      <c r="E1929" s="114">
        <v>1</v>
      </c>
      <c r="F1929" s="23">
        <f>VLOOKUP(B1929,'BASE DE DATOS'!$A$5:$E$997,5,FALSE)</f>
        <v>248302</v>
      </c>
      <c r="G1929" s="104">
        <f>1/5</f>
        <v>0.2</v>
      </c>
      <c r="H1929" s="252">
        <f t="shared" si="160"/>
        <v>49660.4</v>
      </c>
    </row>
    <row r="1930" spans="1:9" ht="13.5" thickBot="1" x14ac:dyDescent="0.25">
      <c r="A1930" s="94" t="s">
        <v>293</v>
      </c>
      <c r="B1930" s="528" t="s">
        <v>269</v>
      </c>
      <c r="C1930" s="108" t="s">
        <v>284</v>
      </c>
      <c r="D1930" s="109" t="s">
        <v>586</v>
      </c>
      <c r="E1930" s="200">
        <v>0.1</v>
      </c>
      <c r="F1930" s="110">
        <f>H1929</f>
        <v>49660.4</v>
      </c>
      <c r="G1930" s="156">
        <v>0</v>
      </c>
      <c r="H1930" s="479">
        <f t="shared" si="160"/>
        <v>4966.0400000000009</v>
      </c>
    </row>
    <row r="1931" spans="1:9" s="407" customFormat="1" ht="30" x14ac:dyDescent="0.2">
      <c r="A1931" s="67" t="s">
        <v>3335</v>
      </c>
      <c r="B1931" s="529"/>
      <c r="C1931" s="388" t="s">
        <v>472</v>
      </c>
      <c r="D1931" s="389" t="s">
        <v>3251</v>
      </c>
      <c r="E1931" s="390"/>
      <c r="F1931" s="391">
        <f>ROUND(SUM(H1931:H1940),0)</f>
        <v>107625</v>
      </c>
      <c r="G1931" s="392"/>
      <c r="H1931" s="393"/>
      <c r="I1931" s="33"/>
    </row>
    <row r="1932" spans="1:9" x14ac:dyDescent="0.2">
      <c r="A1932" s="939" t="s">
        <v>295</v>
      </c>
      <c r="B1932" s="241" t="s">
        <v>1279</v>
      </c>
      <c r="C1932" s="3" t="s">
        <v>349</v>
      </c>
      <c r="D1932" s="2" t="s">
        <v>617</v>
      </c>
      <c r="E1932" s="114">
        <v>35</v>
      </c>
      <c r="F1932" s="23">
        <f>VLOOKUP(B1932,'BASE DE DATOS'!$A$5:$E$997,5,FALSE)</f>
        <v>19</v>
      </c>
      <c r="G1932" s="104">
        <v>0</v>
      </c>
      <c r="H1932" s="252">
        <f>IF(G1932&gt;0,(G1932*F1932*E1932),(F1932*E1932))</f>
        <v>665</v>
      </c>
    </row>
    <row r="1933" spans="1:9" ht="13.15" customHeight="1" x14ac:dyDescent="0.2">
      <c r="A1933" s="939"/>
      <c r="B1933" s="241" t="s">
        <v>1319</v>
      </c>
      <c r="C1933" s="3" t="s">
        <v>2569</v>
      </c>
      <c r="D1933" s="2" t="s">
        <v>616</v>
      </c>
      <c r="E1933" s="114">
        <v>0.15</v>
      </c>
      <c r="F1933" s="23">
        <f>VLOOKUP(B1933,'BASE DE DATOS'!$A$5:$E$997,5,FALSE)</f>
        <v>32900</v>
      </c>
      <c r="G1933" s="104">
        <v>1.05</v>
      </c>
      <c r="H1933" s="252">
        <f t="shared" ref="H1933:H1940" si="161">IF(G1933&gt;0,(G1933*F1933*E1933),(F1933*E1933))</f>
        <v>5181.75</v>
      </c>
    </row>
    <row r="1934" spans="1:9" x14ac:dyDescent="0.2">
      <c r="A1934" s="939"/>
      <c r="B1934" s="241" t="s">
        <v>1712</v>
      </c>
      <c r="C1934" s="3" t="s">
        <v>2609</v>
      </c>
      <c r="D1934" s="2" t="s">
        <v>616</v>
      </c>
      <c r="E1934" s="114">
        <v>1</v>
      </c>
      <c r="F1934" s="23">
        <f>VLOOKUP(B1934,'BASE DE DATOS'!$A$5:$E$997,5,FALSE)</f>
        <v>12250</v>
      </c>
      <c r="G1934" s="104">
        <v>1.03</v>
      </c>
      <c r="H1934" s="252">
        <f t="shared" si="161"/>
        <v>12617.5</v>
      </c>
    </row>
    <row r="1935" spans="1:9" s="33" customFormat="1" x14ac:dyDescent="0.2">
      <c r="A1935" s="939"/>
      <c r="B1935" s="241" t="s">
        <v>1463</v>
      </c>
      <c r="C1935" s="3" t="s">
        <v>593</v>
      </c>
      <c r="D1935" s="2" t="s">
        <v>405</v>
      </c>
      <c r="E1935" s="114">
        <v>2</v>
      </c>
      <c r="F1935" s="23">
        <f>VLOOKUP(B1935,'BASE DE DATOS'!$A$5:$E$997,5,FALSE)</f>
        <v>4704</v>
      </c>
      <c r="G1935" s="104">
        <v>0</v>
      </c>
      <c r="H1935" s="252">
        <f t="shared" si="161"/>
        <v>9408</v>
      </c>
    </row>
    <row r="1936" spans="1:9" ht="25.5" x14ac:dyDescent="0.2">
      <c r="A1936" s="939"/>
      <c r="B1936" s="241" t="s">
        <v>1581</v>
      </c>
      <c r="C1936" s="3" t="s">
        <v>4163</v>
      </c>
      <c r="D1936" s="2" t="s">
        <v>288</v>
      </c>
      <c r="E1936" s="114">
        <v>0.2</v>
      </c>
      <c r="F1936" s="23">
        <f>VLOOKUP(B1936,'BASE DE DATOS'!$A$5:$E$997,5,FALSE)</f>
        <v>38400</v>
      </c>
      <c r="G1936" s="104">
        <v>1.1000000000000001</v>
      </c>
      <c r="H1936" s="252">
        <f>IF(G1936&gt;0,(G1936*F1936*E1936),(F1936*E1936))</f>
        <v>8448</v>
      </c>
    </row>
    <row r="1937" spans="1:9" x14ac:dyDescent="0.2">
      <c r="A1937" s="939"/>
      <c r="B1937" s="241" t="s">
        <v>1558</v>
      </c>
      <c r="C1937" s="3" t="s">
        <v>2023</v>
      </c>
      <c r="D1937" s="2" t="s">
        <v>590</v>
      </c>
      <c r="E1937" s="196">
        <v>0.02</v>
      </c>
      <c r="F1937" s="23">
        <f>VLOOKUP(B1937,'BASE DE DATOS'!$A$5:$E$997,5,FALSE)</f>
        <v>5650</v>
      </c>
      <c r="G1937" s="104">
        <v>0</v>
      </c>
      <c r="H1937" s="252">
        <f t="shared" si="161"/>
        <v>113</v>
      </c>
    </row>
    <row r="1938" spans="1:9" ht="14.25" x14ac:dyDescent="0.2">
      <c r="A1938" s="64" t="s">
        <v>3252</v>
      </c>
      <c r="B1938" s="241" t="s">
        <v>810</v>
      </c>
      <c r="C1938" s="3" t="s">
        <v>2097</v>
      </c>
      <c r="D1938" s="2" t="s">
        <v>285</v>
      </c>
      <c r="E1938" s="114">
        <v>0.03</v>
      </c>
      <c r="F1938" s="23">
        <f>F90</f>
        <v>525897</v>
      </c>
      <c r="G1938" s="104">
        <v>1.05</v>
      </c>
      <c r="H1938" s="252">
        <f t="shared" si="161"/>
        <v>16565.755499999999</v>
      </c>
    </row>
    <row r="1939" spans="1:9" x14ac:dyDescent="0.2">
      <c r="A1939" s="81" t="s">
        <v>2555</v>
      </c>
      <c r="B1939" s="241" t="s">
        <v>644</v>
      </c>
      <c r="C1939" s="3" t="s">
        <v>645</v>
      </c>
      <c r="D1939" s="2" t="s">
        <v>585</v>
      </c>
      <c r="E1939" s="114">
        <v>1</v>
      </c>
      <c r="F1939" s="23">
        <f>VLOOKUP(B1939,'BASE DE DATOS'!$A$5:$E$997,5,FALSE)</f>
        <v>248302</v>
      </c>
      <c r="G1939" s="104">
        <f>1/5</f>
        <v>0.2</v>
      </c>
      <c r="H1939" s="252">
        <f t="shared" si="161"/>
        <v>49660.4</v>
      </c>
    </row>
    <row r="1940" spans="1:9" ht="13.5" thickBot="1" x14ac:dyDescent="0.25">
      <c r="A1940" s="94" t="s">
        <v>293</v>
      </c>
      <c r="B1940" s="528" t="s">
        <v>269</v>
      </c>
      <c r="C1940" s="108" t="s">
        <v>284</v>
      </c>
      <c r="D1940" s="109" t="s">
        <v>586</v>
      </c>
      <c r="E1940" s="200">
        <v>0.1</v>
      </c>
      <c r="F1940" s="110">
        <f>H1939</f>
        <v>49660.4</v>
      </c>
      <c r="G1940" s="156">
        <v>0</v>
      </c>
      <c r="H1940" s="479">
        <f t="shared" si="161"/>
        <v>4966.0400000000009</v>
      </c>
    </row>
    <row r="1941" spans="1:9" s="42" customFormat="1" ht="17.25" x14ac:dyDescent="0.2">
      <c r="A1941" s="67" t="s">
        <v>3336</v>
      </c>
      <c r="B1941" s="529"/>
      <c r="C1941" s="388" t="s">
        <v>3851</v>
      </c>
      <c r="D1941" s="389" t="s">
        <v>3251</v>
      </c>
      <c r="E1941" s="390"/>
      <c r="F1941" s="391">
        <f>ROUND(SUM(H1941:H1950),0)</f>
        <v>69629</v>
      </c>
      <c r="G1941" s="392"/>
      <c r="H1941" s="393"/>
      <c r="I1941" s="738"/>
    </row>
    <row r="1942" spans="1:9" x14ac:dyDescent="0.2">
      <c r="A1942" s="939" t="s">
        <v>295</v>
      </c>
      <c r="B1942" s="241" t="s">
        <v>1279</v>
      </c>
      <c r="C1942" s="3" t="s">
        <v>349</v>
      </c>
      <c r="D1942" s="2" t="s">
        <v>617</v>
      </c>
      <c r="E1942" s="114">
        <v>35</v>
      </c>
      <c r="F1942" s="23">
        <f>VLOOKUP(B1942,'BASE DE DATOS'!$A$5:$E$997,5,FALSE)</f>
        <v>19</v>
      </c>
      <c r="G1942" s="104">
        <v>0</v>
      </c>
      <c r="H1942" s="252">
        <f>IF(G1942&gt;0,(G1942*F1942*E1942),(F1942*E1942))</f>
        <v>665</v>
      </c>
    </row>
    <row r="1943" spans="1:9" ht="13.15" customHeight="1" x14ac:dyDescent="0.2">
      <c r="A1943" s="939"/>
      <c r="B1943" s="241" t="s">
        <v>1319</v>
      </c>
      <c r="C1943" s="3" t="s">
        <v>2569</v>
      </c>
      <c r="D1943" s="2" t="s">
        <v>616</v>
      </c>
      <c r="E1943" s="114">
        <v>0.1</v>
      </c>
      <c r="F1943" s="23">
        <f>VLOOKUP(B1943,'BASE DE DATOS'!$A$5:$E$997,5,FALSE)</f>
        <v>32900</v>
      </c>
      <c r="G1943" s="104">
        <v>1.05</v>
      </c>
      <c r="H1943" s="252">
        <f t="shared" ref="H1943:H1950" si="162">IF(G1943&gt;0,(G1943*F1943*E1943),(F1943*E1943))</f>
        <v>3454.5</v>
      </c>
    </row>
    <row r="1944" spans="1:9" ht="25.5" x14ac:dyDescent="0.2">
      <c r="A1944" s="939"/>
      <c r="B1944" s="241" t="s">
        <v>1371</v>
      </c>
      <c r="C1944" s="3" t="s">
        <v>3852</v>
      </c>
      <c r="D1944" s="2" t="s">
        <v>405</v>
      </c>
      <c r="E1944" s="114">
        <v>1.1000000000000001</v>
      </c>
      <c r="F1944" s="23">
        <f>VLOOKUP(B1944,'BASE DE DATOS'!$A$5:$E$997,5,FALSE)</f>
        <v>3950</v>
      </c>
      <c r="G1944" s="104">
        <v>0</v>
      </c>
      <c r="H1944" s="252">
        <f>IF(G1944&gt;0,(G1944*F1944*E1944),(F1944*E1944))</f>
        <v>4345</v>
      </c>
    </row>
    <row r="1945" spans="1:9" x14ac:dyDescent="0.2">
      <c r="A1945" s="939"/>
      <c r="B1945" s="241" t="s">
        <v>1712</v>
      </c>
      <c r="C1945" s="3" t="s">
        <v>2609</v>
      </c>
      <c r="D1945" s="2" t="s">
        <v>616</v>
      </c>
      <c r="E1945" s="114">
        <v>1</v>
      </c>
      <c r="F1945" s="23">
        <f>VLOOKUP(B1945,'BASE DE DATOS'!$A$5:$E$997,5,FALSE)</f>
        <v>12250</v>
      </c>
      <c r="G1945" s="104">
        <v>1.03</v>
      </c>
      <c r="H1945" s="252">
        <f t="shared" si="162"/>
        <v>12617.5</v>
      </c>
    </row>
    <row r="1946" spans="1:9" x14ac:dyDescent="0.2">
      <c r="A1946" s="939"/>
      <c r="B1946" s="241" t="s">
        <v>1463</v>
      </c>
      <c r="C1946" s="3" t="s">
        <v>593</v>
      </c>
      <c r="D1946" s="2" t="s">
        <v>405</v>
      </c>
      <c r="E1946" s="196">
        <v>2</v>
      </c>
      <c r="F1946" s="23">
        <f>VLOOKUP(B1946,'BASE DE DATOS'!$A$5:$E$997,5,FALSE)</f>
        <v>4704</v>
      </c>
      <c r="G1946" s="104">
        <f>1/3</f>
        <v>0.33333333333333331</v>
      </c>
      <c r="H1946" s="252">
        <f t="shared" si="162"/>
        <v>3136</v>
      </c>
    </row>
    <row r="1947" spans="1:9" x14ac:dyDescent="0.2">
      <c r="A1947" s="939"/>
      <c r="B1947" s="241" t="s">
        <v>1558</v>
      </c>
      <c r="C1947" s="3" t="s">
        <v>2023</v>
      </c>
      <c r="D1947" s="2" t="s">
        <v>590</v>
      </c>
      <c r="E1947" s="114">
        <v>0.04</v>
      </c>
      <c r="F1947" s="23">
        <f>VLOOKUP(B1947,'BASE DE DATOS'!$A$5:$E$997,5,FALSE)</f>
        <v>5650</v>
      </c>
      <c r="G1947" s="104">
        <v>0</v>
      </c>
      <c r="H1947" s="252">
        <f t="shared" si="162"/>
        <v>226</v>
      </c>
    </row>
    <row r="1948" spans="1:9" ht="14.25" x14ac:dyDescent="0.2">
      <c r="A1948" s="64" t="s">
        <v>3252</v>
      </c>
      <c r="B1948" s="241" t="s">
        <v>810</v>
      </c>
      <c r="C1948" s="3" t="s">
        <v>2097</v>
      </c>
      <c r="D1948" s="2" t="s">
        <v>285</v>
      </c>
      <c r="E1948" s="114">
        <v>0.02</v>
      </c>
      <c r="F1948" s="23">
        <f>F90</f>
        <v>525897</v>
      </c>
      <c r="G1948" s="104">
        <v>1.05</v>
      </c>
      <c r="H1948" s="252">
        <f t="shared" si="162"/>
        <v>11043.837</v>
      </c>
    </row>
    <row r="1949" spans="1:9" x14ac:dyDescent="0.2">
      <c r="A1949" s="81" t="s">
        <v>2555</v>
      </c>
      <c r="B1949" s="241" t="s">
        <v>644</v>
      </c>
      <c r="C1949" s="3" t="s">
        <v>645</v>
      </c>
      <c r="D1949" s="2" t="s">
        <v>585</v>
      </c>
      <c r="E1949" s="114">
        <v>1</v>
      </c>
      <c r="F1949" s="23">
        <f>VLOOKUP(B1949,'BASE DE DATOS'!$A$5:$E$997,5,FALSE)</f>
        <v>248302</v>
      </c>
      <c r="G1949" s="104">
        <f>1/8</f>
        <v>0.125</v>
      </c>
      <c r="H1949" s="252">
        <f t="shared" si="162"/>
        <v>31037.75</v>
      </c>
    </row>
    <row r="1950" spans="1:9" ht="13.5" thickBot="1" x14ac:dyDescent="0.25">
      <c r="A1950" s="94" t="s">
        <v>293</v>
      </c>
      <c r="B1950" s="528" t="s">
        <v>269</v>
      </c>
      <c r="C1950" s="108" t="s">
        <v>284</v>
      </c>
      <c r="D1950" s="109" t="s">
        <v>586</v>
      </c>
      <c r="E1950" s="200">
        <v>0.1</v>
      </c>
      <c r="F1950" s="110">
        <f>H1949</f>
        <v>31037.75</v>
      </c>
      <c r="G1950" s="156">
        <v>0</v>
      </c>
      <c r="H1950" s="479">
        <f t="shared" si="162"/>
        <v>3103.7750000000001</v>
      </c>
    </row>
    <row r="1951" spans="1:9" s="42" customFormat="1" ht="30" x14ac:dyDescent="0.2">
      <c r="A1951" s="67" t="s">
        <v>3337</v>
      </c>
      <c r="B1951" s="529"/>
      <c r="C1951" s="388" t="s">
        <v>676</v>
      </c>
      <c r="D1951" s="389" t="s">
        <v>405</v>
      </c>
      <c r="E1951" s="390"/>
      <c r="F1951" s="391">
        <f>ROUND(SUM(H1951:H1955),0)</f>
        <v>74131</v>
      </c>
      <c r="G1951" s="392"/>
      <c r="H1951" s="393"/>
      <c r="I1951" s="738"/>
    </row>
    <row r="1952" spans="1:9" x14ac:dyDescent="0.2">
      <c r="A1952" s="82" t="s">
        <v>382</v>
      </c>
      <c r="B1952" s="241" t="s">
        <v>1370</v>
      </c>
      <c r="C1952" s="3" t="s">
        <v>2884</v>
      </c>
      <c r="D1952" s="2" t="s">
        <v>405</v>
      </c>
      <c r="E1952" s="196">
        <v>2</v>
      </c>
      <c r="F1952" s="23">
        <f>VLOOKUP(B1952,'BASE DE DATOS'!$A$5:$E$997,5,FALSE)</f>
        <v>19960</v>
      </c>
      <c r="G1952" s="104">
        <v>1.05</v>
      </c>
      <c r="H1952" s="252">
        <f t="shared" ref="H1952:H1955" si="163">IF(G1952&gt;0,(G1952*F1952*E1952),(F1952*E1952))</f>
        <v>41916</v>
      </c>
    </row>
    <row r="1953" spans="1:9" ht="14.25" x14ac:dyDescent="0.2">
      <c r="A1953" s="64" t="s">
        <v>3252</v>
      </c>
      <c r="B1953" s="241" t="s">
        <v>2504</v>
      </c>
      <c r="C1953" s="3" t="s">
        <v>3296</v>
      </c>
      <c r="D1953" s="2" t="s">
        <v>288</v>
      </c>
      <c r="E1953" s="114">
        <v>0.15</v>
      </c>
      <c r="F1953" s="23">
        <f>F1622</f>
        <v>142603</v>
      </c>
      <c r="G1953" s="104">
        <v>1.05</v>
      </c>
      <c r="H1953" s="252">
        <f t="shared" si="163"/>
        <v>22459.9725</v>
      </c>
      <c r="I1953" s="736"/>
    </row>
    <row r="1954" spans="1:9" x14ac:dyDescent="0.2">
      <c r="A1954" s="81" t="s">
        <v>2555</v>
      </c>
      <c r="B1954" s="241" t="s">
        <v>644</v>
      </c>
      <c r="C1954" s="3" t="s">
        <v>645</v>
      </c>
      <c r="D1954" s="2" t="s">
        <v>585</v>
      </c>
      <c r="E1954" s="114">
        <v>1</v>
      </c>
      <c r="F1954" s="23">
        <f>VLOOKUP(B1954,'BASE DE DATOS'!$A$5:$E$997,5,FALSE)</f>
        <v>248302</v>
      </c>
      <c r="G1954" s="104">
        <f>1/28</f>
        <v>3.5714285714285712E-2</v>
      </c>
      <c r="H1954" s="252">
        <f t="shared" si="163"/>
        <v>8867.9285714285706</v>
      </c>
    </row>
    <row r="1955" spans="1:9" ht="13.5" thickBot="1" x14ac:dyDescent="0.25">
      <c r="A1955" s="94" t="s">
        <v>293</v>
      </c>
      <c r="B1955" s="528" t="s">
        <v>269</v>
      </c>
      <c r="C1955" s="108" t="s">
        <v>284</v>
      </c>
      <c r="D1955" s="109" t="s">
        <v>586</v>
      </c>
      <c r="E1955" s="200">
        <v>0.1</v>
      </c>
      <c r="F1955" s="110">
        <f>H1954</f>
        <v>8867.9285714285706</v>
      </c>
      <c r="G1955" s="156">
        <v>0</v>
      </c>
      <c r="H1955" s="479">
        <f t="shared" si="163"/>
        <v>886.79285714285709</v>
      </c>
    </row>
    <row r="1956" spans="1:9" s="42" customFormat="1" ht="30" x14ac:dyDescent="0.2">
      <c r="A1956" s="67" t="s">
        <v>3339</v>
      </c>
      <c r="B1956" s="529"/>
      <c r="C1956" s="388" t="s">
        <v>3322</v>
      </c>
      <c r="D1956" s="389" t="s">
        <v>405</v>
      </c>
      <c r="E1956" s="390"/>
      <c r="F1956" s="391">
        <f>ROUND(SUM(H1956:H1965),0)</f>
        <v>103485</v>
      </c>
      <c r="G1956" s="392"/>
      <c r="H1956" s="393"/>
      <c r="I1956" s="738"/>
    </row>
    <row r="1957" spans="1:9" x14ac:dyDescent="0.2">
      <c r="A1957" s="936" t="s">
        <v>382</v>
      </c>
      <c r="B1957" s="241" t="s">
        <v>1463</v>
      </c>
      <c r="C1957" s="3" t="s">
        <v>593</v>
      </c>
      <c r="D1957" s="2" t="s">
        <v>405</v>
      </c>
      <c r="E1957" s="196">
        <v>2</v>
      </c>
      <c r="F1957" s="23">
        <f>VLOOKUP(B1957,'BASE DE DATOS'!$A$5:$E$997,5,FALSE)</f>
        <v>4704</v>
      </c>
      <c r="G1957" s="104">
        <f>1/3</f>
        <v>0.33333333333333331</v>
      </c>
      <c r="H1957" s="252">
        <f>IF(G1957&gt;0,(G1957*F1957*E1957),(F1957*E1957))</f>
        <v>3136</v>
      </c>
    </row>
    <row r="1958" spans="1:9" x14ac:dyDescent="0.2">
      <c r="A1958" s="936"/>
      <c r="B1958" s="241" t="s">
        <v>1558</v>
      </c>
      <c r="C1958" s="3" t="s">
        <v>2023</v>
      </c>
      <c r="D1958" s="2" t="s">
        <v>590</v>
      </c>
      <c r="E1958" s="196">
        <v>0.01</v>
      </c>
      <c r="F1958" s="23">
        <f>VLOOKUP(B1958,'BASE DE DATOS'!$A$5:$E$997,5,FALSE)</f>
        <v>5650</v>
      </c>
      <c r="G1958" s="104">
        <v>0</v>
      </c>
      <c r="H1958" s="252">
        <f t="shared" ref="H1958:H1965" si="164">IF(G1958&gt;0,(G1958*F1958*E1958),(F1958*E1958))</f>
        <v>56.5</v>
      </c>
    </row>
    <row r="1959" spans="1:9" x14ac:dyDescent="0.2">
      <c r="A1959" s="936"/>
      <c r="B1959" s="241" t="s">
        <v>1711</v>
      </c>
      <c r="C1959" s="3" t="s">
        <v>632</v>
      </c>
      <c r="D1959" s="2" t="s">
        <v>405</v>
      </c>
      <c r="E1959" s="196">
        <v>1</v>
      </c>
      <c r="F1959" s="23">
        <f>VLOOKUP(B1959,'BASE DE DATOS'!$A$5:$E$997,5,FALSE)</f>
        <v>10991</v>
      </c>
      <c r="G1959" s="104">
        <f>1/3</f>
        <v>0.33333333333333331</v>
      </c>
      <c r="H1959" s="252">
        <f t="shared" si="164"/>
        <v>3663.6666666666665</v>
      </c>
    </row>
    <row r="1960" spans="1:9" x14ac:dyDescent="0.2">
      <c r="A1960" s="940" t="s">
        <v>3252</v>
      </c>
      <c r="B1960" s="241" t="s">
        <v>814</v>
      </c>
      <c r="C1960" s="11" t="s">
        <v>2018</v>
      </c>
      <c r="D1960" s="2" t="s">
        <v>406</v>
      </c>
      <c r="E1960" s="196">
        <v>1.3</v>
      </c>
      <c r="F1960" s="23">
        <f>F118</f>
        <v>7440</v>
      </c>
      <c r="G1960" s="104">
        <v>0</v>
      </c>
      <c r="H1960" s="252">
        <f>IF(G1960&gt;0,(G1960*F1960*E1960),(F1960*E1960))</f>
        <v>9672</v>
      </c>
    </row>
    <row r="1961" spans="1:9" ht="14.25" x14ac:dyDescent="0.2">
      <c r="A1961" s="940"/>
      <c r="B1961" s="241" t="s">
        <v>799</v>
      </c>
      <c r="C1961" s="3" t="s">
        <v>2089</v>
      </c>
      <c r="D1961" s="2" t="s">
        <v>285</v>
      </c>
      <c r="E1961" s="196">
        <v>4.0000000000000001E-3</v>
      </c>
      <c r="F1961" s="23">
        <f>F34</f>
        <v>482282</v>
      </c>
      <c r="G1961" s="104">
        <v>1.05</v>
      </c>
      <c r="H1961" s="252">
        <f t="shared" si="164"/>
        <v>2025.5844000000002</v>
      </c>
    </row>
    <row r="1962" spans="1:9" ht="25.5" x14ac:dyDescent="0.2">
      <c r="A1962" s="940"/>
      <c r="B1962" s="241" t="s">
        <v>3327</v>
      </c>
      <c r="C1962" s="3" t="s">
        <v>3338</v>
      </c>
      <c r="D1962" s="2" t="s">
        <v>288</v>
      </c>
      <c r="E1962" s="196">
        <v>0.18</v>
      </c>
      <c r="F1962" s="23">
        <f>F1855</f>
        <v>75713</v>
      </c>
      <c r="G1962" s="104">
        <v>1.1000000000000001</v>
      </c>
      <c r="H1962" s="252">
        <f>IF(G1962&gt;0,(G1962*F1962*E1962),(F1962*E1962))</f>
        <v>14991.173999999999</v>
      </c>
    </row>
    <row r="1963" spans="1:9" ht="14.25" x14ac:dyDescent="0.2">
      <c r="A1963" s="940"/>
      <c r="B1963" s="241" t="s">
        <v>810</v>
      </c>
      <c r="C1963" s="3" t="s">
        <v>2097</v>
      </c>
      <c r="D1963" s="2" t="s">
        <v>285</v>
      </c>
      <c r="E1963" s="114">
        <v>3.0000000000000001E-3</v>
      </c>
      <c r="F1963" s="23">
        <f>F90</f>
        <v>525897</v>
      </c>
      <c r="G1963" s="104">
        <v>1.05</v>
      </c>
      <c r="H1963" s="252">
        <f t="shared" si="164"/>
        <v>1656.57555</v>
      </c>
    </row>
    <row r="1964" spans="1:9" x14ac:dyDescent="0.2">
      <c r="A1964" s="81" t="s">
        <v>2555</v>
      </c>
      <c r="B1964" s="241" t="s">
        <v>644</v>
      </c>
      <c r="C1964" s="3" t="s">
        <v>645</v>
      </c>
      <c r="D1964" s="2" t="s">
        <v>585</v>
      </c>
      <c r="E1964" s="196">
        <v>1</v>
      </c>
      <c r="F1964" s="23">
        <f>VLOOKUP(B1964,'BASE DE DATOS'!$A$5:$E$997,5,FALSE)</f>
        <v>248302</v>
      </c>
      <c r="G1964" s="104">
        <f>1/4</f>
        <v>0.25</v>
      </c>
      <c r="H1964" s="252">
        <f t="shared" si="164"/>
        <v>62075.5</v>
      </c>
    </row>
    <row r="1965" spans="1:9" ht="13.5" thickBot="1" x14ac:dyDescent="0.25">
      <c r="A1965" s="94" t="s">
        <v>293</v>
      </c>
      <c r="B1965" s="528" t="s">
        <v>269</v>
      </c>
      <c r="C1965" s="108" t="s">
        <v>284</v>
      </c>
      <c r="D1965" s="109" t="s">
        <v>586</v>
      </c>
      <c r="E1965" s="203">
        <v>0.1</v>
      </c>
      <c r="F1965" s="110">
        <f>H1964</f>
        <v>62075.5</v>
      </c>
      <c r="G1965" s="156">
        <v>0</v>
      </c>
      <c r="H1965" s="479">
        <f t="shared" si="164"/>
        <v>6207.55</v>
      </c>
    </row>
    <row r="1966" spans="1:9" s="42" customFormat="1" ht="15" x14ac:dyDescent="0.2">
      <c r="A1966" s="67" t="s">
        <v>3366</v>
      </c>
      <c r="B1966" s="529"/>
      <c r="C1966" s="388" t="s">
        <v>3321</v>
      </c>
      <c r="D1966" s="389" t="s">
        <v>405</v>
      </c>
      <c r="E1966" s="390"/>
      <c r="F1966" s="391">
        <f>ROUND(SUM(H1966:H1969),0)</f>
        <v>29322</v>
      </c>
      <c r="G1966" s="392"/>
      <c r="H1966" s="393"/>
      <c r="I1966" s="738"/>
    </row>
    <row r="1967" spans="1:9" x14ac:dyDescent="0.2">
      <c r="A1967" s="82" t="s">
        <v>382</v>
      </c>
      <c r="B1967" s="241" t="s">
        <v>1531</v>
      </c>
      <c r="C1967" s="3" t="s">
        <v>352</v>
      </c>
      <c r="D1967" s="2" t="s">
        <v>405</v>
      </c>
      <c r="E1967" s="114">
        <v>1</v>
      </c>
      <c r="F1967" s="23">
        <f>VLOOKUP(B1967,'BASE DE DATOS'!$A$5:$E$997,5,FALSE)</f>
        <v>19960</v>
      </c>
      <c r="G1967" s="104">
        <v>0</v>
      </c>
      <c r="H1967" s="252">
        <f t="shared" ref="H1967:H1973" si="165">IF(G1967&gt;0,(G1967*F1967*E1967),(F1967*E1967))</f>
        <v>19960</v>
      </c>
    </row>
    <row r="1968" spans="1:9" ht="14.25" x14ac:dyDescent="0.2">
      <c r="A1968" s="64" t="s">
        <v>3252</v>
      </c>
      <c r="B1968" s="241" t="s">
        <v>810</v>
      </c>
      <c r="C1968" s="3" t="s">
        <v>2097</v>
      </c>
      <c r="D1968" s="2" t="s">
        <v>285</v>
      </c>
      <c r="E1968" s="114">
        <v>2.5000000000000001E-3</v>
      </c>
      <c r="F1968" s="23">
        <f>F90</f>
        <v>525897</v>
      </c>
      <c r="G1968" s="104">
        <v>1.05</v>
      </c>
      <c r="H1968" s="252">
        <f t="shared" si="165"/>
        <v>1380.4796249999999</v>
      </c>
    </row>
    <row r="1969" spans="1:9" ht="13.5" thickBot="1" x14ac:dyDescent="0.25">
      <c r="A1969" s="122" t="s">
        <v>2555</v>
      </c>
      <c r="B1969" s="528" t="s">
        <v>599</v>
      </c>
      <c r="C1969" s="108" t="s">
        <v>600</v>
      </c>
      <c r="D1969" s="109" t="s">
        <v>585</v>
      </c>
      <c r="E1969" s="200">
        <v>1</v>
      </c>
      <c r="F1969" s="110">
        <f>VLOOKUP(B1969,'BASE DE DATOS'!$A$5:$E$997,5,FALSE)</f>
        <v>159623</v>
      </c>
      <c r="G1969" s="156">
        <f>1/20</f>
        <v>0.05</v>
      </c>
      <c r="H1969" s="479">
        <f t="shared" si="165"/>
        <v>7981.1500000000005</v>
      </c>
    </row>
    <row r="1970" spans="1:9" s="42" customFormat="1" ht="15.75" thickBot="1" x14ac:dyDescent="0.25">
      <c r="A1970" s="67" t="s">
        <v>3379</v>
      </c>
      <c r="B1970" s="565"/>
      <c r="C1970" s="388" t="s">
        <v>427</v>
      </c>
      <c r="D1970" s="389" t="s">
        <v>405</v>
      </c>
      <c r="E1970" s="390"/>
      <c r="F1970" s="391">
        <f>ROUND(SUM(H1970:H1973),0)</f>
        <v>25214</v>
      </c>
      <c r="G1970" s="392"/>
      <c r="H1970" s="393"/>
      <c r="I1970" s="738">
        <v>66</v>
      </c>
    </row>
    <row r="1971" spans="1:9" x14ac:dyDescent="0.2">
      <c r="A1971" s="120" t="s">
        <v>382</v>
      </c>
      <c r="B1971" s="241" t="s">
        <v>1343</v>
      </c>
      <c r="C1971" s="3" t="s">
        <v>4042</v>
      </c>
      <c r="D1971" s="2" t="s">
        <v>405</v>
      </c>
      <c r="E1971" s="196">
        <v>1</v>
      </c>
      <c r="F1971" s="23">
        <f>VLOOKUP(B1971,'BASE DE DATOS'!$A$5:$E$997,5,FALSE)</f>
        <v>20000</v>
      </c>
      <c r="G1971" s="104">
        <v>1</v>
      </c>
      <c r="H1971" s="252">
        <f t="shared" si="165"/>
        <v>20000</v>
      </c>
    </row>
    <row r="1972" spans="1:9" x14ac:dyDescent="0.2">
      <c r="A1972" s="81" t="s">
        <v>2555</v>
      </c>
      <c r="B1972" s="241" t="s">
        <v>644</v>
      </c>
      <c r="C1972" s="3" t="s">
        <v>645</v>
      </c>
      <c r="D1972" s="2" t="s">
        <v>585</v>
      </c>
      <c r="E1972" s="196">
        <v>1</v>
      </c>
      <c r="F1972" s="23">
        <f>VLOOKUP(B1972,'BASE DE DATOS'!$A$5:$E$997,5,FALSE)</f>
        <v>248302</v>
      </c>
      <c r="G1972" s="104">
        <f>1/50</f>
        <v>0.02</v>
      </c>
      <c r="H1972" s="252">
        <f t="shared" si="165"/>
        <v>4966.04</v>
      </c>
    </row>
    <row r="1973" spans="1:9" ht="13.5" thickBot="1" x14ac:dyDescent="0.25">
      <c r="A1973" s="94" t="s">
        <v>293</v>
      </c>
      <c r="B1973" s="528" t="s">
        <v>269</v>
      </c>
      <c r="C1973" s="108" t="s">
        <v>284</v>
      </c>
      <c r="D1973" s="109" t="s">
        <v>586</v>
      </c>
      <c r="E1973" s="203">
        <v>0.05</v>
      </c>
      <c r="F1973" s="110">
        <f>H1972</f>
        <v>4966.04</v>
      </c>
      <c r="G1973" s="156">
        <v>0</v>
      </c>
      <c r="H1973" s="252">
        <f t="shared" si="165"/>
        <v>248.30200000000002</v>
      </c>
    </row>
    <row r="1974" spans="1:9" ht="15.75" thickBot="1" x14ac:dyDescent="0.25">
      <c r="A1974" s="995" t="s">
        <v>3369</v>
      </c>
      <c r="B1974" s="995"/>
      <c r="C1974" s="995"/>
      <c r="D1974" s="995"/>
      <c r="E1974" s="995"/>
      <c r="F1974" s="996"/>
      <c r="G1974" s="995"/>
      <c r="H1974" s="997"/>
    </row>
    <row r="1975" spans="1:9" ht="45.75" thickBot="1" x14ac:dyDescent="0.25">
      <c r="A1975" s="72" t="s">
        <v>2044</v>
      </c>
      <c r="B1975" s="72" t="s">
        <v>265</v>
      </c>
      <c r="C1975" s="72" t="s">
        <v>402</v>
      </c>
      <c r="D1975" s="354" t="s">
        <v>346</v>
      </c>
      <c r="E1975" s="192" t="s">
        <v>2173</v>
      </c>
      <c r="F1975" s="162" t="s">
        <v>3165</v>
      </c>
      <c r="G1975" s="290" t="s">
        <v>281</v>
      </c>
      <c r="H1975" s="74" t="s">
        <v>3164</v>
      </c>
    </row>
    <row r="1976" spans="1:9" s="42" customFormat="1" ht="17.25" x14ac:dyDescent="0.2">
      <c r="A1976" s="455" t="s">
        <v>895</v>
      </c>
      <c r="B1976" s="527"/>
      <c r="C1976" s="388" t="s">
        <v>4219</v>
      </c>
      <c r="D1976" s="389" t="s">
        <v>3251</v>
      </c>
      <c r="E1976" s="395"/>
      <c r="F1976" s="391">
        <f>ROUND(SUM(H1976:H1981),0)</f>
        <v>37637</v>
      </c>
      <c r="G1976" s="392"/>
      <c r="H1976" s="393"/>
      <c r="I1976" s="738"/>
    </row>
    <row r="1977" spans="1:9" x14ac:dyDescent="0.2">
      <c r="A1977" s="936" t="s">
        <v>382</v>
      </c>
      <c r="B1977" s="241" t="s">
        <v>1385</v>
      </c>
      <c r="C1977" s="3" t="s">
        <v>3936</v>
      </c>
      <c r="D1977" s="2" t="s">
        <v>406</v>
      </c>
      <c r="E1977" s="114">
        <v>1.5</v>
      </c>
      <c r="F1977" s="23">
        <f>VLOOKUP(B1977,'BASE DE DATOS'!$A$5:$E$997,5,FALSE)</f>
        <v>3430</v>
      </c>
      <c r="G1977" s="104">
        <v>1.05</v>
      </c>
      <c r="H1977" s="252">
        <f t="shared" ref="H1977:H1981" si="166">IF(G1977&gt;0,(G1977*F1977*E1977),(F1977*E1977))</f>
        <v>5402.25</v>
      </c>
    </row>
    <row r="1978" spans="1:9" x14ac:dyDescent="0.2">
      <c r="A1978" s="936"/>
      <c r="B1978" s="241" t="s">
        <v>1529</v>
      </c>
      <c r="C1978" s="3" t="s">
        <v>3867</v>
      </c>
      <c r="D1978" s="2" t="s">
        <v>642</v>
      </c>
      <c r="E1978" s="114">
        <v>0.1</v>
      </c>
      <c r="F1978" s="23">
        <f>VLOOKUP(B1978,'BASE DE DATOS'!$A$5:$E$997,5,FALSE)</f>
        <v>91980</v>
      </c>
      <c r="G1978" s="104">
        <v>1.03</v>
      </c>
      <c r="H1978" s="252">
        <f t="shared" si="166"/>
        <v>9473.94</v>
      </c>
    </row>
    <row r="1979" spans="1:9" x14ac:dyDescent="0.2">
      <c r="A1979" s="81" t="s">
        <v>2555</v>
      </c>
      <c r="B1979" s="241" t="s">
        <v>644</v>
      </c>
      <c r="C1979" s="3" t="s">
        <v>645</v>
      </c>
      <c r="D1979" s="2" t="s">
        <v>585</v>
      </c>
      <c r="E1979" s="114">
        <v>1</v>
      </c>
      <c r="F1979" s="23">
        <f>VLOOKUP(B1979,'BASE DE DATOS'!$A$5:$E$997,5,FALSE)</f>
        <v>248302</v>
      </c>
      <c r="G1979" s="104">
        <f>1/12</f>
        <v>8.3333333333333329E-2</v>
      </c>
      <c r="H1979" s="252">
        <f t="shared" si="166"/>
        <v>20691.833333333332</v>
      </c>
    </row>
    <row r="1980" spans="1:9" x14ac:dyDescent="0.2">
      <c r="A1980" s="937" t="s">
        <v>293</v>
      </c>
      <c r="B1980" s="241" t="s">
        <v>598</v>
      </c>
      <c r="C1980" s="218" t="s">
        <v>3362</v>
      </c>
      <c r="D1980" s="219" t="s">
        <v>586</v>
      </c>
      <c r="E1980" s="114">
        <v>0.05</v>
      </c>
      <c r="F1980" s="220">
        <f>H1979</f>
        <v>20691.833333333332</v>
      </c>
      <c r="G1980" s="187">
        <v>0</v>
      </c>
      <c r="H1980" s="252">
        <f>IF(G1980&gt;0,(G1980*F1980*E1980),(F1980*E1980))</f>
        <v>1034.5916666666667</v>
      </c>
    </row>
    <row r="1981" spans="1:9" ht="13.5" thickBot="1" x14ac:dyDescent="0.25">
      <c r="A1981" s="938"/>
      <c r="B1981" s="528" t="s">
        <v>269</v>
      </c>
      <c r="C1981" s="88" t="s">
        <v>284</v>
      </c>
      <c r="D1981" s="89" t="s">
        <v>586</v>
      </c>
      <c r="E1981" s="193">
        <v>0.05</v>
      </c>
      <c r="F1981" s="90">
        <f>H1979</f>
        <v>20691.833333333332</v>
      </c>
      <c r="G1981" s="153">
        <v>0</v>
      </c>
      <c r="H1981" s="255">
        <f t="shared" si="166"/>
        <v>1034.5916666666667</v>
      </c>
    </row>
    <row r="1982" spans="1:9" s="42" customFormat="1" ht="17.25" x14ac:dyDescent="0.2">
      <c r="A1982" s="455" t="s">
        <v>2567</v>
      </c>
      <c r="B1982" s="529"/>
      <c r="C1982" s="388" t="s">
        <v>4220</v>
      </c>
      <c r="D1982" s="389" t="s">
        <v>3251</v>
      </c>
      <c r="E1982" s="390"/>
      <c r="F1982" s="391">
        <f>ROUND(SUM(H1982:H1987),0)</f>
        <v>39915</v>
      </c>
      <c r="G1982" s="392"/>
      <c r="H1982" s="393"/>
      <c r="I1982" s="738"/>
    </row>
    <row r="1983" spans="1:9" x14ac:dyDescent="0.2">
      <c r="A1983" s="936" t="s">
        <v>382</v>
      </c>
      <c r="B1983" s="241" t="s">
        <v>1385</v>
      </c>
      <c r="C1983" s="3" t="s">
        <v>3936</v>
      </c>
      <c r="D1983" s="2" t="s">
        <v>406</v>
      </c>
      <c r="E1983" s="196">
        <v>1.5</v>
      </c>
      <c r="F1983" s="23">
        <f>VLOOKUP(B1983,'BASE DE DATOS'!$A$5:$E$997,5,FALSE)</f>
        <v>3430</v>
      </c>
      <c r="G1983" s="104">
        <v>1.05</v>
      </c>
      <c r="H1983" s="252">
        <f t="shared" ref="H1983:H1987" si="167">IF(G1983&gt;0,(G1983*F1983*E1983),(F1983*E1983))</f>
        <v>5402.25</v>
      </c>
    </row>
    <row r="1984" spans="1:9" x14ac:dyDescent="0.2">
      <c r="A1984" s="936"/>
      <c r="B1984" s="241" t="s">
        <v>1530</v>
      </c>
      <c r="C1984" s="3" t="s">
        <v>686</v>
      </c>
      <c r="D1984" s="2" t="s">
        <v>642</v>
      </c>
      <c r="E1984" s="196">
        <v>0.1</v>
      </c>
      <c r="F1984" s="23">
        <f>VLOOKUP(B1984,'BASE DE DATOS'!$A$5:$E$997,5,FALSE)</f>
        <v>69900</v>
      </c>
      <c r="G1984" s="104">
        <v>1.03</v>
      </c>
      <c r="H1984" s="252">
        <f t="shared" si="167"/>
        <v>7199.7000000000007</v>
      </c>
    </row>
    <row r="1985" spans="1:9" x14ac:dyDescent="0.2">
      <c r="A1985" s="81" t="s">
        <v>2555</v>
      </c>
      <c r="B1985" s="241" t="s">
        <v>644</v>
      </c>
      <c r="C1985" s="3" t="s">
        <v>645</v>
      </c>
      <c r="D1985" s="2" t="s">
        <v>585</v>
      </c>
      <c r="E1985" s="196">
        <v>1</v>
      </c>
      <c r="F1985" s="23">
        <f>VLOOKUP(B1985,'BASE DE DATOS'!$A$5:$E$997,5,FALSE)</f>
        <v>248302</v>
      </c>
      <c r="G1985" s="104">
        <f>1/10</f>
        <v>0.1</v>
      </c>
      <c r="H1985" s="252">
        <f t="shared" si="167"/>
        <v>24830.2</v>
      </c>
    </row>
    <row r="1986" spans="1:9" x14ac:dyDescent="0.2">
      <c r="A1986" s="937" t="s">
        <v>293</v>
      </c>
      <c r="B1986" s="241" t="s">
        <v>598</v>
      </c>
      <c r="C1986" s="218" t="s">
        <v>3362</v>
      </c>
      <c r="D1986" s="2" t="s">
        <v>586</v>
      </c>
      <c r="E1986" s="196">
        <v>0.05</v>
      </c>
      <c r="F1986" s="23">
        <f>H1985</f>
        <v>24830.2</v>
      </c>
      <c r="G1986" s="104">
        <v>0</v>
      </c>
      <c r="H1986" s="252">
        <f t="shared" si="167"/>
        <v>1241.5100000000002</v>
      </c>
    </row>
    <row r="1987" spans="1:9" ht="13.5" thickBot="1" x14ac:dyDescent="0.25">
      <c r="A1987" s="938"/>
      <c r="B1987" s="528" t="s">
        <v>269</v>
      </c>
      <c r="C1987" s="88" t="s">
        <v>284</v>
      </c>
      <c r="D1987" s="109" t="s">
        <v>586</v>
      </c>
      <c r="E1987" s="203">
        <v>0.05</v>
      </c>
      <c r="F1987" s="110">
        <f>H1985</f>
        <v>24830.2</v>
      </c>
      <c r="G1987" s="156">
        <v>0</v>
      </c>
      <c r="H1987" s="479">
        <f t="shared" si="167"/>
        <v>1241.5100000000002</v>
      </c>
    </row>
    <row r="1988" spans="1:9" s="42" customFormat="1" ht="17.25" x14ac:dyDescent="0.2">
      <c r="A1988" s="455" t="s">
        <v>896</v>
      </c>
      <c r="B1988" s="529"/>
      <c r="C1988" s="388" t="s">
        <v>4221</v>
      </c>
      <c r="D1988" s="389" t="s">
        <v>3251</v>
      </c>
      <c r="E1988" s="395"/>
      <c r="F1988" s="391">
        <f>ROUND(SUM(H1988:H1992),0)</f>
        <v>43070</v>
      </c>
      <c r="G1988" s="392"/>
      <c r="H1988" s="393"/>
      <c r="I1988" s="738"/>
    </row>
    <row r="1989" spans="1:9" x14ac:dyDescent="0.2">
      <c r="A1989" s="82" t="s">
        <v>382</v>
      </c>
      <c r="B1989" s="241" t="s">
        <v>1528</v>
      </c>
      <c r="C1989" s="495" t="s">
        <v>185</v>
      </c>
      <c r="D1989" s="2" t="s">
        <v>642</v>
      </c>
      <c r="E1989" s="196">
        <v>0.11111111110999999</v>
      </c>
      <c r="F1989" s="23">
        <f>VLOOKUP(B1989,'BASE DE DATOS'!$A$5:$E$997,5,FALSE)</f>
        <v>115980</v>
      </c>
      <c r="G1989" s="104">
        <v>1.03</v>
      </c>
      <c r="H1989" s="252">
        <f t="shared" ref="H1989:H1992" si="168">IF(G1989&gt;0,(G1989*F1989*E1989),(F1989*E1989))</f>
        <v>13273.266666533935</v>
      </c>
    </row>
    <row r="1990" spans="1:9" x14ac:dyDescent="0.2">
      <c r="A1990" s="81" t="s">
        <v>2555</v>
      </c>
      <c r="B1990" s="241" t="s">
        <v>644</v>
      </c>
      <c r="C1990" s="3" t="s">
        <v>645</v>
      </c>
      <c r="D1990" s="2" t="s">
        <v>585</v>
      </c>
      <c r="E1990" s="196">
        <v>1</v>
      </c>
      <c r="F1990" s="23">
        <f>VLOOKUP(B1990,'BASE DE DATOS'!$A$5:$E$997,5,FALSE)</f>
        <v>248302</v>
      </c>
      <c r="G1990" s="104">
        <f>1/10</f>
        <v>0.1</v>
      </c>
      <c r="H1990" s="252">
        <f t="shared" si="168"/>
        <v>24830.2</v>
      </c>
    </row>
    <row r="1991" spans="1:9" x14ac:dyDescent="0.2">
      <c r="A1991" s="937" t="s">
        <v>293</v>
      </c>
      <c r="B1991" s="241" t="s">
        <v>598</v>
      </c>
      <c r="C1991" s="218" t="s">
        <v>3362</v>
      </c>
      <c r="D1991" s="2" t="s">
        <v>586</v>
      </c>
      <c r="E1991" s="196">
        <v>0.1</v>
      </c>
      <c r="F1991" s="23">
        <f>H1990</f>
        <v>24830.2</v>
      </c>
      <c r="G1991" s="104">
        <v>0</v>
      </c>
      <c r="H1991" s="252">
        <f t="shared" si="168"/>
        <v>2483.0200000000004</v>
      </c>
    </row>
    <row r="1992" spans="1:9" ht="13.5" thickBot="1" x14ac:dyDescent="0.25">
      <c r="A1992" s="938"/>
      <c r="B1992" s="528" t="s">
        <v>269</v>
      </c>
      <c r="C1992" s="88" t="s">
        <v>284</v>
      </c>
      <c r="D1992" s="109" t="s">
        <v>586</v>
      </c>
      <c r="E1992" s="203">
        <v>0.1</v>
      </c>
      <c r="F1992" s="110">
        <f>H1990</f>
        <v>24830.2</v>
      </c>
      <c r="G1992" s="156">
        <v>0</v>
      </c>
      <c r="H1992" s="479">
        <f t="shared" si="168"/>
        <v>2483.0200000000004</v>
      </c>
    </row>
    <row r="1993" spans="1:9" s="42" customFormat="1" ht="17.25" x14ac:dyDescent="0.2">
      <c r="A1993" s="455" t="s">
        <v>897</v>
      </c>
      <c r="B1993" s="529"/>
      <c r="C1993" s="388" t="s">
        <v>4222</v>
      </c>
      <c r="D1993" s="389" t="s">
        <v>3251</v>
      </c>
      <c r="E1993" s="395"/>
      <c r="F1993" s="391">
        <f>ROUND(SUM(H1993:H1997),0)</f>
        <v>35052</v>
      </c>
      <c r="G1993" s="392"/>
      <c r="H1993" s="393"/>
      <c r="I1993" s="738"/>
    </row>
    <row r="1994" spans="1:9" x14ac:dyDescent="0.2">
      <c r="A1994" s="772" t="s">
        <v>382</v>
      </c>
      <c r="B1994" s="241" t="s">
        <v>1528</v>
      </c>
      <c r="C1994" s="495" t="s">
        <v>185</v>
      </c>
      <c r="D1994" s="2" t="s">
        <v>642</v>
      </c>
      <c r="E1994" s="196">
        <v>4.3999999999999997E-2</v>
      </c>
      <c r="F1994" s="23">
        <f>VLOOKUP(B1994,'BASE DE DATOS'!$A$5:$E$997,5,FALSE)</f>
        <v>115980</v>
      </c>
      <c r="G1994" s="104">
        <v>1.03</v>
      </c>
      <c r="H1994" s="252">
        <f t="shared" ref="H1994:H1997" si="169">IF(G1994&gt;0,(G1994*F1994*E1994),(F1994*E1994))</f>
        <v>5256.2136</v>
      </c>
    </row>
    <row r="1995" spans="1:9" x14ac:dyDescent="0.2">
      <c r="A1995" s="773" t="s">
        <v>2555</v>
      </c>
      <c r="B1995" s="241" t="s">
        <v>644</v>
      </c>
      <c r="C1995" s="3" t="s">
        <v>645</v>
      </c>
      <c r="D1995" s="2" t="s">
        <v>585</v>
      </c>
      <c r="E1995" s="196">
        <v>1</v>
      </c>
      <c r="F1995" s="23">
        <f>VLOOKUP(B1995,'BASE DE DATOS'!$A$5:$E$997,5,FALSE)</f>
        <v>248302</v>
      </c>
      <c r="G1995" s="104">
        <f>1/10</f>
        <v>0.1</v>
      </c>
      <c r="H1995" s="252">
        <f t="shared" si="169"/>
        <v>24830.2</v>
      </c>
    </row>
    <row r="1996" spans="1:9" x14ac:dyDescent="0.2">
      <c r="A1996" s="937" t="s">
        <v>293</v>
      </c>
      <c r="B1996" s="241" t="s">
        <v>598</v>
      </c>
      <c r="C1996" s="218" t="s">
        <v>3362</v>
      </c>
      <c r="D1996" s="2" t="s">
        <v>586</v>
      </c>
      <c r="E1996" s="196">
        <v>0.1</v>
      </c>
      <c r="F1996" s="23">
        <f>H1995</f>
        <v>24830.2</v>
      </c>
      <c r="G1996" s="104">
        <v>0</v>
      </c>
      <c r="H1996" s="252">
        <f t="shared" si="169"/>
        <v>2483.0200000000004</v>
      </c>
    </row>
    <row r="1997" spans="1:9" ht="13.5" thickBot="1" x14ac:dyDescent="0.25">
      <c r="A1997" s="938"/>
      <c r="B1997" s="528" t="s">
        <v>269</v>
      </c>
      <c r="C1997" s="88" t="s">
        <v>284</v>
      </c>
      <c r="D1997" s="109" t="s">
        <v>586</v>
      </c>
      <c r="E1997" s="203">
        <v>0.1</v>
      </c>
      <c r="F1997" s="110">
        <f>H1995</f>
        <v>24830.2</v>
      </c>
      <c r="G1997" s="156">
        <v>0</v>
      </c>
      <c r="H1997" s="479">
        <f t="shared" si="169"/>
        <v>2483.0200000000004</v>
      </c>
    </row>
    <row r="1998" spans="1:9" s="42" customFormat="1" ht="17.25" x14ac:dyDescent="0.2">
      <c r="A1998" s="455" t="s">
        <v>898</v>
      </c>
      <c r="B1998" s="529"/>
      <c r="C1998" s="388" t="s">
        <v>4223</v>
      </c>
      <c r="D1998" s="389" t="s">
        <v>3251</v>
      </c>
      <c r="E1998" s="390"/>
      <c r="F1998" s="391">
        <f>ROUND(SUM(H1998:H2002),0)</f>
        <v>39241</v>
      </c>
      <c r="G1998" s="392"/>
      <c r="H1998" s="393"/>
      <c r="I1998" s="738"/>
    </row>
    <row r="1999" spans="1:9" x14ac:dyDescent="0.2">
      <c r="A1999" s="82" t="s">
        <v>382</v>
      </c>
      <c r="B1999" s="241" t="s">
        <v>1529</v>
      </c>
      <c r="C1999" s="3" t="s">
        <v>3867</v>
      </c>
      <c r="D1999" s="2" t="s">
        <v>642</v>
      </c>
      <c r="E1999" s="196">
        <v>0.222</v>
      </c>
      <c r="F1999" s="23">
        <f>VLOOKUP(B1999,'BASE DE DATOS'!$A$5:$E$997,5,FALSE)</f>
        <v>91980</v>
      </c>
      <c r="G1999" s="104">
        <v>1.03</v>
      </c>
      <c r="H1999" s="252">
        <f t="shared" ref="H1999:H2002" si="170">IF(G1999&gt;0,(G1999*F1999*E1999),(F1999*E1999))</f>
        <v>21032.146800000002</v>
      </c>
    </row>
    <row r="2000" spans="1:9" x14ac:dyDescent="0.2">
      <c r="A2000" s="81" t="s">
        <v>2555</v>
      </c>
      <c r="B2000" s="241" t="s">
        <v>644</v>
      </c>
      <c r="C2000" s="3" t="s">
        <v>645</v>
      </c>
      <c r="D2000" s="2" t="s">
        <v>585</v>
      </c>
      <c r="E2000" s="196">
        <v>1</v>
      </c>
      <c r="F2000" s="23">
        <f>VLOOKUP(B2000,'BASE DE DATOS'!$A$5:$E$997,5,FALSE)</f>
        <v>248302</v>
      </c>
      <c r="G2000" s="104">
        <f>1/15</f>
        <v>6.6666666666666666E-2</v>
      </c>
      <c r="H2000" s="252">
        <f t="shared" si="170"/>
        <v>16553.466666666667</v>
      </c>
    </row>
    <row r="2001" spans="1:9" x14ac:dyDescent="0.2">
      <c r="A2001" s="937" t="s">
        <v>293</v>
      </c>
      <c r="B2001" s="241" t="s">
        <v>598</v>
      </c>
      <c r="C2001" s="218" t="s">
        <v>3362</v>
      </c>
      <c r="D2001" s="2" t="s">
        <v>586</v>
      </c>
      <c r="E2001" s="196">
        <v>0.05</v>
      </c>
      <c r="F2001" s="23">
        <f>H2000</f>
        <v>16553.466666666667</v>
      </c>
      <c r="G2001" s="104">
        <v>0</v>
      </c>
      <c r="H2001" s="252">
        <f t="shared" si="170"/>
        <v>827.6733333333334</v>
      </c>
    </row>
    <row r="2002" spans="1:9" ht="13.5" thickBot="1" x14ac:dyDescent="0.25">
      <c r="A2002" s="938"/>
      <c r="B2002" s="528" t="s">
        <v>269</v>
      </c>
      <c r="C2002" s="88" t="s">
        <v>284</v>
      </c>
      <c r="D2002" s="109" t="s">
        <v>586</v>
      </c>
      <c r="E2002" s="203">
        <v>0.05</v>
      </c>
      <c r="F2002" s="110">
        <f>H2000</f>
        <v>16553.466666666667</v>
      </c>
      <c r="G2002" s="156">
        <v>0</v>
      </c>
      <c r="H2002" s="479">
        <f t="shared" si="170"/>
        <v>827.6733333333334</v>
      </c>
    </row>
    <row r="2003" spans="1:9" s="42" customFormat="1" ht="17.25" x14ac:dyDescent="0.2">
      <c r="A2003" s="455" t="s">
        <v>899</v>
      </c>
      <c r="B2003" s="529"/>
      <c r="C2003" s="388" t="s">
        <v>4224</v>
      </c>
      <c r="D2003" s="389" t="s">
        <v>3251</v>
      </c>
      <c r="E2003" s="390"/>
      <c r="F2003" s="391">
        <f>ROUND(SUM(H2003:H2007),0)</f>
        <v>24615</v>
      </c>
      <c r="G2003" s="392"/>
      <c r="H2003" s="393"/>
      <c r="I2003" s="738"/>
    </row>
    <row r="2004" spans="1:9" x14ac:dyDescent="0.2">
      <c r="A2004" s="82" t="s">
        <v>382</v>
      </c>
      <c r="B2004" s="241" t="s">
        <v>1530</v>
      </c>
      <c r="C2004" s="3" t="s">
        <v>686</v>
      </c>
      <c r="D2004" s="2" t="s">
        <v>642</v>
      </c>
      <c r="E2004" s="196">
        <v>0.02</v>
      </c>
      <c r="F2004" s="23">
        <f>VLOOKUP(B2004,'BASE DE DATOS'!$A$5:$E$997,5,FALSE)</f>
        <v>69900</v>
      </c>
      <c r="G2004" s="104">
        <v>1.03</v>
      </c>
      <c r="H2004" s="252">
        <f t="shared" ref="H2004:H2007" si="171">IF(G2004&gt;0,(G2004*F2004*E2004),(F2004*E2004))</f>
        <v>1439.94</v>
      </c>
    </row>
    <row r="2005" spans="1:9" x14ac:dyDescent="0.2">
      <c r="A2005" s="81" t="s">
        <v>2555</v>
      </c>
      <c r="B2005" s="241" t="s">
        <v>644</v>
      </c>
      <c r="C2005" s="3" t="s">
        <v>645</v>
      </c>
      <c r="D2005" s="2" t="s">
        <v>585</v>
      </c>
      <c r="E2005" s="196">
        <v>1</v>
      </c>
      <c r="F2005" s="23">
        <f>VLOOKUP(B2005,'BASE DE DATOS'!$A$5:$E$997,5,FALSE)</f>
        <v>248302</v>
      </c>
      <c r="G2005" s="104">
        <f>1/12</f>
        <v>8.3333333333333329E-2</v>
      </c>
      <c r="H2005" s="252">
        <f t="shared" si="171"/>
        <v>20691.833333333332</v>
      </c>
    </row>
    <row r="2006" spans="1:9" x14ac:dyDescent="0.2">
      <c r="A2006" s="937" t="s">
        <v>293</v>
      </c>
      <c r="B2006" s="241" t="s">
        <v>598</v>
      </c>
      <c r="C2006" s="218" t="s">
        <v>3362</v>
      </c>
      <c r="D2006" s="2" t="s">
        <v>586</v>
      </c>
      <c r="E2006" s="196">
        <v>0.05</v>
      </c>
      <c r="F2006" s="23">
        <f>H2005</f>
        <v>20691.833333333332</v>
      </c>
      <c r="G2006" s="104">
        <v>0</v>
      </c>
      <c r="H2006" s="252">
        <f t="shared" si="171"/>
        <v>1034.5916666666667</v>
      </c>
    </row>
    <row r="2007" spans="1:9" ht="13.5" thickBot="1" x14ac:dyDescent="0.25">
      <c r="A2007" s="938"/>
      <c r="B2007" s="528" t="s">
        <v>269</v>
      </c>
      <c r="C2007" s="88" t="s">
        <v>284</v>
      </c>
      <c r="D2007" s="109" t="s">
        <v>586</v>
      </c>
      <c r="E2007" s="203">
        <v>7.0000000000000007E-2</v>
      </c>
      <c r="F2007" s="110">
        <f>H2005</f>
        <v>20691.833333333332</v>
      </c>
      <c r="G2007" s="156">
        <v>0</v>
      </c>
      <c r="H2007" s="479">
        <f t="shared" si="171"/>
        <v>1448.4283333333333</v>
      </c>
    </row>
    <row r="2008" spans="1:9" s="42" customFormat="1" ht="17.25" x14ac:dyDescent="0.2">
      <c r="A2008" s="455" t="s">
        <v>900</v>
      </c>
      <c r="B2008" s="529"/>
      <c r="C2008" s="388" t="s">
        <v>3935</v>
      </c>
      <c r="D2008" s="389" t="s">
        <v>3251</v>
      </c>
      <c r="E2008" s="390"/>
      <c r="F2008" s="391">
        <f>ROUND(SUM(H2008:H2012),0)</f>
        <v>30439</v>
      </c>
      <c r="G2008" s="392"/>
      <c r="H2008" s="393"/>
      <c r="I2008" s="738"/>
    </row>
    <row r="2009" spans="1:9" x14ac:dyDescent="0.2">
      <c r="A2009" s="82" t="s">
        <v>382</v>
      </c>
      <c r="B2009" s="241" t="s">
        <v>1523</v>
      </c>
      <c r="C2009" s="3" t="s">
        <v>643</v>
      </c>
      <c r="D2009" s="2" t="s">
        <v>642</v>
      </c>
      <c r="E2009" s="196">
        <v>0.05</v>
      </c>
      <c r="F2009" s="23">
        <f>VLOOKUP(B2009,'BASE DE DATOS'!$A$5:$E$997,5,FALSE)</f>
        <v>108900</v>
      </c>
      <c r="G2009" s="104">
        <v>1.03</v>
      </c>
      <c r="H2009" s="252">
        <f t="shared" ref="H2009:H2012" si="172">IF(G2009&gt;0,(G2009*F2009*E2009),(F2009*E2009))</f>
        <v>5608.35</v>
      </c>
    </row>
    <row r="2010" spans="1:9" x14ac:dyDescent="0.2">
      <c r="A2010" s="81" t="s">
        <v>2555</v>
      </c>
      <c r="B2010" s="241" t="s">
        <v>644</v>
      </c>
      <c r="C2010" s="3" t="s">
        <v>645</v>
      </c>
      <c r="D2010" s="2" t="s">
        <v>585</v>
      </c>
      <c r="E2010" s="196">
        <v>1</v>
      </c>
      <c r="F2010" s="23">
        <f>VLOOKUP(B2010,'BASE DE DATOS'!$A$5:$E$997,5,FALSE)</f>
        <v>248302</v>
      </c>
      <c r="G2010" s="104">
        <f>1/12</f>
        <v>8.3333333333333329E-2</v>
      </c>
      <c r="H2010" s="252">
        <f t="shared" si="172"/>
        <v>20691.833333333332</v>
      </c>
    </row>
    <row r="2011" spans="1:9" x14ac:dyDescent="0.2">
      <c r="A2011" s="937" t="s">
        <v>293</v>
      </c>
      <c r="B2011" s="241" t="s">
        <v>598</v>
      </c>
      <c r="C2011" s="218" t="s">
        <v>3362</v>
      </c>
      <c r="D2011" s="2" t="s">
        <v>586</v>
      </c>
      <c r="E2011" s="196">
        <v>0.1</v>
      </c>
      <c r="F2011" s="23">
        <f>H2010</f>
        <v>20691.833333333332</v>
      </c>
      <c r="G2011" s="104">
        <v>0</v>
      </c>
      <c r="H2011" s="252">
        <f t="shared" si="172"/>
        <v>2069.1833333333334</v>
      </c>
    </row>
    <row r="2012" spans="1:9" ht="13.5" thickBot="1" x14ac:dyDescent="0.25">
      <c r="A2012" s="938"/>
      <c r="B2012" s="528" t="s">
        <v>269</v>
      </c>
      <c r="C2012" s="88" t="s">
        <v>284</v>
      </c>
      <c r="D2012" s="109" t="s">
        <v>586</v>
      </c>
      <c r="E2012" s="203">
        <v>0.1</v>
      </c>
      <c r="F2012" s="110">
        <f>H2010</f>
        <v>20691.833333333332</v>
      </c>
      <c r="G2012" s="156">
        <v>0</v>
      </c>
      <c r="H2012" s="479">
        <f t="shared" si="172"/>
        <v>2069.1833333333334</v>
      </c>
    </row>
    <row r="2013" spans="1:9" s="42" customFormat="1" ht="17.25" x14ac:dyDescent="0.2">
      <c r="A2013" s="455" t="s">
        <v>901</v>
      </c>
      <c r="B2013" s="529"/>
      <c r="C2013" s="388" t="s">
        <v>3937</v>
      </c>
      <c r="D2013" s="389" t="s">
        <v>3251</v>
      </c>
      <c r="E2013" s="390"/>
      <c r="F2013" s="391">
        <f>ROUND(SUM(H2013:H2019),0)</f>
        <v>36983</v>
      </c>
      <c r="G2013" s="392"/>
      <c r="H2013" s="393"/>
      <c r="I2013" s="738"/>
    </row>
    <row r="2014" spans="1:9" x14ac:dyDescent="0.2">
      <c r="A2014" s="936" t="s">
        <v>382</v>
      </c>
      <c r="B2014" s="241" t="s">
        <v>1475</v>
      </c>
      <c r="C2014" s="3" t="s">
        <v>3865</v>
      </c>
      <c r="D2014" s="2" t="s">
        <v>642</v>
      </c>
      <c r="E2014" s="196">
        <v>0.05</v>
      </c>
      <c r="F2014" s="23">
        <f>VLOOKUP(B2014,'BASE DE DATOS'!$A$5:$E$997,5,FALSE)</f>
        <v>50182</v>
      </c>
      <c r="G2014" s="104">
        <v>1.03</v>
      </c>
      <c r="H2014" s="252">
        <f t="shared" ref="H2014" si="173">IF(G2014&gt;0,(G2014*F2014*E2014),(F2014*E2014))</f>
        <v>2584.373</v>
      </c>
    </row>
    <row r="2015" spans="1:9" x14ac:dyDescent="0.2">
      <c r="A2015" s="936"/>
      <c r="B2015" s="241" t="s">
        <v>1289</v>
      </c>
      <c r="C2015" s="3" t="s">
        <v>3938</v>
      </c>
      <c r="D2015" s="2" t="s">
        <v>642</v>
      </c>
      <c r="E2015" s="196">
        <v>5.5E-2</v>
      </c>
      <c r="F2015" s="23">
        <f>VLOOKUP(B2015,'BASE DE DATOS'!$A$5:$E$997,5,FALSE)</f>
        <v>69900</v>
      </c>
      <c r="G2015" s="104">
        <v>1.03</v>
      </c>
      <c r="H2015" s="252">
        <f t="shared" ref="H2015" si="174">IF(G2015&gt;0,(G2015*F2015*E2015),(F2015*E2015))</f>
        <v>3959.835</v>
      </c>
    </row>
    <row r="2016" spans="1:9" x14ac:dyDescent="0.2">
      <c r="A2016" s="936"/>
      <c r="B2016" s="241" t="s">
        <v>1523</v>
      </c>
      <c r="C2016" s="3" t="s">
        <v>643</v>
      </c>
      <c r="D2016" s="2" t="s">
        <v>642</v>
      </c>
      <c r="E2016" s="196">
        <v>0.05</v>
      </c>
      <c r="F2016" s="23">
        <f>VLOOKUP(B2016,'BASE DE DATOS'!$A$5:$E$997,5,FALSE)</f>
        <v>108900</v>
      </c>
      <c r="G2016" s="104">
        <v>1.03</v>
      </c>
      <c r="H2016" s="252">
        <f t="shared" ref="H2016:H2019" si="175">IF(G2016&gt;0,(G2016*F2016*E2016),(F2016*E2016))</f>
        <v>5608.35</v>
      </c>
    </row>
    <row r="2017" spans="1:9" x14ac:dyDescent="0.2">
      <c r="A2017" s="773" t="s">
        <v>2555</v>
      </c>
      <c r="B2017" s="241" t="s">
        <v>644</v>
      </c>
      <c r="C2017" s="3" t="s">
        <v>645</v>
      </c>
      <c r="D2017" s="2" t="s">
        <v>585</v>
      </c>
      <c r="E2017" s="196">
        <v>1</v>
      </c>
      <c r="F2017" s="23">
        <f>VLOOKUP(B2017,'BASE DE DATOS'!$A$5:$E$997,5,FALSE)</f>
        <v>248302</v>
      </c>
      <c r="G2017" s="104">
        <f>1/12</f>
        <v>8.3333333333333329E-2</v>
      </c>
      <c r="H2017" s="252">
        <f t="shared" si="175"/>
        <v>20691.833333333332</v>
      </c>
    </row>
    <row r="2018" spans="1:9" x14ac:dyDescent="0.2">
      <c r="A2018" s="937" t="s">
        <v>293</v>
      </c>
      <c r="B2018" s="241" t="s">
        <v>598</v>
      </c>
      <c r="C2018" s="218" t="s">
        <v>3362</v>
      </c>
      <c r="D2018" s="2" t="s">
        <v>586</v>
      </c>
      <c r="E2018" s="196">
        <v>0.1</v>
      </c>
      <c r="F2018" s="23">
        <f>H2017</f>
        <v>20691.833333333332</v>
      </c>
      <c r="G2018" s="104">
        <v>0</v>
      </c>
      <c r="H2018" s="252">
        <f t="shared" si="175"/>
        <v>2069.1833333333334</v>
      </c>
    </row>
    <row r="2019" spans="1:9" ht="13.5" thickBot="1" x14ac:dyDescent="0.25">
      <c r="A2019" s="938"/>
      <c r="B2019" s="528" t="s">
        <v>269</v>
      </c>
      <c r="C2019" s="88" t="s">
        <v>284</v>
      </c>
      <c r="D2019" s="109" t="s">
        <v>586</v>
      </c>
      <c r="E2019" s="203">
        <v>0.1</v>
      </c>
      <c r="F2019" s="110">
        <f>H2017</f>
        <v>20691.833333333332</v>
      </c>
      <c r="G2019" s="156">
        <v>0</v>
      </c>
      <c r="H2019" s="479">
        <f t="shared" si="175"/>
        <v>2069.1833333333334</v>
      </c>
    </row>
    <row r="2020" spans="1:9" s="42" customFormat="1" ht="30" x14ac:dyDescent="0.2">
      <c r="A2020" s="455" t="s">
        <v>902</v>
      </c>
      <c r="B2020" s="529"/>
      <c r="C2020" s="388" t="s">
        <v>3939</v>
      </c>
      <c r="D2020" s="389" t="s">
        <v>3251</v>
      </c>
      <c r="E2020" s="390"/>
      <c r="F2020" s="391">
        <f>ROUND(SUM(H2020:H2026),0)</f>
        <v>37844</v>
      </c>
      <c r="G2020" s="392"/>
      <c r="H2020" s="393"/>
      <c r="I2020" s="738"/>
    </row>
    <row r="2021" spans="1:9" x14ac:dyDescent="0.2">
      <c r="A2021" s="939" t="s">
        <v>295</v>
      </c>
      <c r="B2021" s="241" t="s">
        <v>1475</v>
      </c>
      <c r="C2021" s="3" t="s">
        <v>3865</v>
      </c>
      <c r="D2021" s="2" t="s">
        <v>642</v>
      </c>
      <c r="E2021" s="196">
        <f>0.013+0.05</f>
        <v>6.3E-2</v>
      </c>
      <c r="F2021" s="23">
        <f>VLOOKUP(B2021,'BASE DE DATOS'!$A$5:$E$997,5,FALSE)</f>
        <v>50182</v>
      </c>
      <c r="G2021" s="104">
        <v>1.03</v>
      </c>
      <c r="H2021" s="252">
        <f t="shared" ref="H2021:H2026" si="176">IF(G2021&gt;0,(G2021*F2021*E2021),(F2021*E2021))</f>
        <v>3256.30998</v>
      </c>
    </row>
    <row r="2022" spans="1:9" ht="51" x14ac:dyDescent="0.2">
      <c r="A2022" s="939"/>
      <c r="B2022" s="241" t="s">
        <v>1702</v>
      </c>
      <c r="C2022" s="3" t="s">
        <v>3933</v>
      </c>
      <c r="D2022" s="2" t="s">
        <v>642</v>
      </c>
      <c r="E2022" s="196">
        <v>3.7999999999999999E-2</v>
      </c>
      <c r="F2022" s="23">
        <f>VLOOKUP(B2022,'BASE DE DATOS'!$A$5:$E$997,5,FALSE)</f>
        <v>106000</v>
      </c>
      <c r="G2022" s="104">
        <v>1.03</v>
      </c>
      <c r="H2022" s="252">
        <f t="shared" si="176"/>
        <v>4148.84</v>
      </c>
    </row>
    <row r="2023" spans="1:9" x14ac:dyDescent="0.2">
      <c r="A2023" s="939"/>
      <c r="B2023" s="241" t="s">
        <v>1523</v>
      </c>
      <c r="C2023" s="3" t="s">
        <v>643</v>
      </c>
      <c r="D2023" s="2" t="s">
        <v>642</v>
      </c>
      <c r="E2023" s="196">
        <v>0.05</v>
      </c>
      <c r="F2023" s="23">
        <f>VLOOKUP(B2023,'BASE DE DATOS'!$A$5:$E$997,5,FALSE)</f>
        <v>108900</v>
      </c>
      <c r="G2023" s="104">
        <v>1.03</v>
      </c>
      <c r="H2023" s="252">
        <f t="shared" si="176"/>
        <v>5608.35</v>
      </c>
    </row>
    <row r="2024" spans="1:9" x14ac:dyDescent="0.2">
      <c r="A2024" s="773" t="s">
        <v>2555</v>
      </c>
      <c r="B2024" s="241" t="s">
        <v>644</v>
      </c>
      <c r="C2024" s="3" t="s">
        <v>645</v>
      </c>
      <c r="D2024" s="2" t="s">
        <v>585</v>
      </c>
      <c r="E2024" s="196">
        <v>1</v>
      </c>
      <c r="F2024" s="23">
        <f>VLOOKUP(B2024,'BASE DE DATOS'!$A$5:$E$997,5,FALSE)</f>
        <v>248302</v>
      </c>
      <c r="G2024" s="104">
        <f>1/12</f>
        <v>8.3333333333333329E-2</v>
      </c>
      <c r="H2024" s="252">
        <f t="shared" si="176"/>
        <v>20691.833333333332</v>
      </c>
    </row>
    <row r="2025" spans="1:9" x14ac:dyDescent="0.2">
      <c r="A2025" s="937" t="s">
        <v>293</v>
      </c>
      <c r="B2025" s="241" t="s">
        <v>598</v>
      </c>
      <c r="C2025" s="218" t="s">
        <v>3362</v>
      </c>
      <c r="D2025" s="2" t="s">
        <v>586</v>
      </c>
      <c r="E2025" s="196">
        <v>0.1</v>
      </c>
      <c r="F2025" s="23">
        <f>H2024</f>
        <v>20691.833333333332</v>
      </c>
      <c r="G2025" s="104">
        <v>0</v>
      </c>
      <c r="H2025" s="252">
        <f t="shared" si="176"/>
        <v>2069.1833333333334</v>
      </c>
    </row>
    <row r="2026" spans="1:9" ht="13.5" thickBot="1" x14ac:dyDescent="0.25">
      <c r="A2026" s="938"/>
      <c r="B2026" s="528" t="s">
        <v>269</v>
      </c>
      <c r="C2026" s="88" t="s">
        <v>284</v>
      </c>
      <c r="D2026" s="109" t="s">
        <v>586</v>
      </c>
      <c r="E2026" s="203">
        <v>0.1</v>
      </c>
      <c r="F2026" s="110">
        <f>H2024</f>
        <v>20691.833333333332</v>
      </c>
      <c r="G2026" s="156">
        <v>0</v>
      </c>
      <c r="H2026" s="479">
        <f t="shared" si="176"/>
        <v>2069.1833333333334</v>
      </c>
    </row>
    <row r="2027" spans="1:9" s="42" customFormat="1" ht="17.25" x14ac:dyDescent="0.2">
      <c r="A2027" s="455" t="s">
        <v>903</v>
      </c>
      <c r="B2027" s="529"/>
      <c r="C2027" s="388" t="s">
        <v>4225</v>
      </c>
      <c r="D2027" s="389" t="s">
        <v>3251</v>
      </c>
      <c r="E2027" s="390"/>
      <c r="F2027" s="391">
        <f>ROUND(SUM(H2027:H2031),0)</f>
        <v>34701</v>
      </c>
      <c r="G2027" s="392"/>
      <c r="H2027" s="393"/>
      <c r="I2027" s="738"/>
    </row>
    <row r="2028" spans="1:9" x14ac:dyDescent="0.2">
      <c r="A2028" s="772" t="s">
        <v>382</v>
      </c>
      <c r="B2028" s="241" t="s">
        <v>1298</v>
      </c>
      <c r="C2028" s="3" t="s">
        <v>181</v>
      </c>
      <c r="D2028" s="2" t="s">
        <v>642</v>
      </c>
      <c r="E2028" s="196">
        <v>0.1</v>
      </c>
      <c r="F2028" s="23">
        <f>VLOOKUP(B2028,'BASE DE DATOS'!$A$5:$E$997,5,FALSE)</f>
        <v>109900</v>
      </c>
      <c r="G2028" s="104">
        <v>1.03</v>
      </c>
      <c r="H2028" s="252">
        <f t="shared" ref="H2028:H2031" si="177">IF(G2028&gt;0,(G2028*F2028*E2028),(F2028*E2028))</f>
        <v>11319.7</v>
      </c>
    </row>
    <row r="2029" spans="1:9" x14ac:dyDescent="0.2">
      <c r="A2029" s="773" t="s">
        <v>2555</v>
      </c>
      <c r="B2029" s="241" t="s">
        <v>644</v>
      </c>
      <c r="C2029" s="3" t="s">
        <v>645</v>
      </c>
      <c r="D2029" s="2" t="s">
        <v>585</v>
      </c>
      <c r="E2029" s="196">
        <v>1</v>
      </c>
      <c r="F2029" s="23">
        <f>VLOOKUP(B2029,'BASE DE DATOS'!$A$5:$E$997,5,FALSE)</f>
        <v>248302</v>
      </c>
      <c r="G2029" s="104">
        <f>1/12</f>
        <v>8.3333333333333329E-2</v>
      </c>
      <c r="H2029" s="252">
        <f t="shared" si="177"/>
        <v>20691.833333333332</v>
      </c>
    </row>
    <row r="2030" spans="1:9" x14ac:dyDescent="0.2">
      <c r="A2030" s="937" t="s">
        <v>293</v>
      </c>
      <c r="B2030" s="241" t="s">
        <v>598</v>
      </c>
      <c r="C2030" s="218" t="s">
        <v>3362</v>
      </c>
      <c r="D2030" s="2" t="s">
        <v>586</v>
      </c>
      <c r="E2030" s="196">
        <v>0.1</v>
      </c>
      <c r="F2030" s="23">
        <f>H2029</f>
        <v>20691.833333333332</v>
      </c>
      <c r="G2030" s="104">
        <v>0</v>
      </c>
      <c r="H2030" s="252">
        <f t="shared" si="177"/>
        <v>2069.1833333333334</v>
      </c>
    </row>
    <row r="2031" spans="1:9" ht="13.5" thickBot="1" x14ac:dyDescent="0.25">
      <c r="A2031" s="938"/>
      <c r="B2031" s="528" t="s">
        <v>269</v>
      </c>
      <c r="C2031" s="88" t="s">
        <v>284</v>
      </c>
      <c r="D2031" s="109" t="s">
        <v>586</v>
      </c>
      <c r="E2031" s="203">
        <v>0.03</v>
      </c>
      <c r="F2031" s="110">
        <f>H2029</f>
        <v>20691.833333333332</v>
      </c>
      <c r="G2031" s="156">
        <v>0</v>
      </c>
      <c r="H2031" s="479">
        <f t="shared" si="177"/>
        <v>620.755</v>
      </c>
    </row>
    <row r="2032" spans="1:9" s="42" customFormat="1" ht="17.25" x14ac:dyDescent="0.2">
      <c r="A2032" s="455" t="s">
        <v>904</v>
      </c>
      <c r="B2032" s="529"/>
      <c r="C2032" s="388" t="s">
        <v>4226</v>
      </c>
      <c r="D2032" s="389" t="s">
        <v>3251</v>
      </c>
      <c r="E2032" s="390"/>
      <c r="F2032" s="391">
        <f>ROUND(SUM(H2032:H2037),0)</f>
        <v>40700</v>
      </c>
      <c r="G2032" s="392"/>
      <c r="H2032" s="393"/>
      <c r="I2032" s="738"/>
    </row>
    <row r="2033" spans="1:9" x14ac:dyDescent="0.2">
      <c r="A2033" s="936" t="s">
        <v>382</v>
      </c>
      <c r="B2033" s="241" t="s">
        <v>1529</v>
      </c>
      <c r="C2033" s="3" t="s">
        <v>3867</v>
      </c>
      <c r="D2033" s="2" t="s">
        <v>642</v>
      </c>
      <c r="E2033" s="196">
        <v>0.222</v>
      </c>
      <c r="F2033" s="23">
        <f>VLOOKUP(B2033,'BASE DE DATOS'!$A$5:$E$997,5,FALSE)</f>
        <v>91980</v>
      </c>
      <c r="G2033" s="104">
        <v>1.03</v>
      </c>
      <c r="H2033" s="252">
        <f t="shared" ref="H2033:H2037" si="178">IF(G2033&gt;0,(G2033*F2033*E2033),(F2033*E2033))</f>
        <v>21032.146800000002</v>
      </c>
    </row>
    <row r="2034" spans="1:9" x14ac:dyDescent="0.2">
      <c r="A2034" s="936"/>
      <c r="B2034" s="241" t="s">
        <v>1698</v>
      </c>
      <c r="C2034" s="3" t="s">
        <v>180</v>
      </c>
      <c r="D2034" s="2" t="s">
        <v>406</v>
      </c>
      <c r="E2034" s="196">
        <v>0.5</v>
      </c>
      <c r="F2034" s="23">
        <f>VLOOKUP(B2034,'BASE DE DATOS'!$A$5:$E$997,5,FALSE)</f>
        <v>2780</v>
      </c>
      <c r="G2034" s="104">
        <v>1.05</v>
      </c>
      <c r="H2034" s="252">
        <f t="shared" si="178"/>
        <v>1459.5</v>
      </c>
    </row>
    <row r="2035" spans="1:9" x14ac:dyDescent="0.2">
      <c r="A2035" s="81" t="s">
        <v>2555</v>
      </c>
      <c r="B2035" s="241" t="s">
        <v>644</v>
      </c>
      <c r="C2035" s="3" t="s">
        <v>645</v>
      </c>
      <c r="D2035" s="2" t="s">
        <v>585</v>
      </c>
      <c r="E2035" s="196">
        <v>1</v>
      </c>
      <c r="F2035" s="23">
        <f>VLOOKUP(B2035,'BASE DE DATOS'!$A$5:$E$997,5,FALSE)</f>
        <v>248302</v>
      </c>
      <c r="G2035" s="104">
        <f>1/15</f>
        <v>6.6666666666666666E-2</v>
      </c>
      <c r="H2035" s="252">
        <f t="shared" si="178"/>
        <v>16553.466666666667</v>
      </c>
    </row>
    <row r="2036" spans="1:9" x14ac:dyDescent="0.2">
      <c r="A2036" s="937" t="s">
        <v>293</v>
      </c>
      <c r="B2036" s="241" t="s">
        <v>598</v>
      </c>
      <c r="C2036" s="218" t="s">
        <v>3362</v>
      </c>
      <c r="D2036" s="2" t="s">
        <v>586</v>
      </c>
      <c r="E2036" s="196">
        <v>0.05</v>
      </c>
      <c r="F2036" s="23">
        <f>H2035</f>
        <v>16553.466666666667</v>
      </c>
      <c r="G2036" s="104">
        <v>0</v>
      </c>
      <c r="H2036" s="252">
        <f t="shared" si="178"/>
        <v>827.6733333333334</v>
      </c>
    </row>
    <row r="2037" spans="1:9" ht="13.5" thickBot="1" x14ac:dyDescent="0.25">
      <c r="A2037" s="938"/>
      <c r="B2037" s="528" t="s">
        <v>269</v>
      </c>
      <c r="C2037" s="88" t="s">
        <v>284</v>
      </c>
      <c r="D2037" s="109" t="s">
        <v>586</v>
      </c>
      <c r="E2037" s="203">
        <v>0.05</v>
      </c>
      <c r="F2037" s="110">
        <f>H2035</f>
        <v>16553.466666666667</v>
      </c>
      <c r="G2037" s="156">
        <v>0</v>
      </c>
      <c r="H2037" s="479">
        <f t="shared" si="178"/>
        <v>827.6733333333334</v>
      </c>
    </row>
    <row r="2038" spans="1:9" s="42" customFormat="1" ht="30" x14ac:dyDescent="0.2">
      <c r="A2038" s="455" t="s">
        <v>905</v>
      </c>
      <c r="B2038" s="529"/>
      <c r="C2038" s="388" t="s">
        <v>4227</v>
      </c>
      <c r="D2038" s="389" t="s">
        <v>3251</v>
      </c>
      <c r="E2038" s="390"/>
      <c r="F2038" s="391">
        <f>ROUND(SUM(H2038:H2043),0)</f>
        <v>34975</v>
      </c>
      <c r="G2038" s="392"/>
      <c r="H2038" s="393"/>
      <c r="I2038" s="738"/>
    </row>
    <row r="2039" spans="1:9" x14ac:dyDescent="0.2">
      <c r="A2039" s="936" t="s">
        <v>382</v>
      </c>
      <c r="B2039" s="241" t="s">
        <v>1530</v>
      </c>
      <c r="C2039" s="3" t="s">
        <v>686</v>
      </c>
      <c r="D2039" s="2" t="s">
        <v>642</v>
      </c>
      <c r="E2039" s="196">
        <v>0.1</v>
      </c>
      <c r="F2039" s="23">
        <f>VLOOKUP(B2039,'BASE DE DATOS'!$A$5:$E$997,5,FALSE)</f>
        <v>69900</v>
      </c>
      <c r="G2039" s="104">
        <v>1.03</v>
      </c>
      <c r="H2039" s="252">
        <f t="shared" ref="H2039:H2043" si="179">IF(G2039&gt;0,(G2039*F2039*E2039),(F2039*E2039))</f>
        <v>7199.7000000000007</v>
      </c>
    </row>
    <row r="2040" spans="1:9" x14ac:dyDescent="0.2">
      <c r="A2040" s="936"/>
      <c r="B2040" s="241" t="s">
        <v>1698</v>
      </c>
      <c r="C2040" s="3" t="s">
        <v>180</v>
      </c>
      <c r="D2040" s="2" t="s">
        <v>406</v>
      </c>
      <c r="E2040" s="196">
        <v>0.3</v>
      </c>
      <c r="F2040" s="23">
        <f>VLOOKUP(B2040,'BASE DE DATOS'!$A$5:$E$997,5,FALSE)</f>
        <v>2780</v>
      </c>
      <c r="G2040" s="104">
        <v>1.05</v>
      </c>
      <c r="H2040" s="252">
        <f t="shared" si="179"/>
        <v>875.69999999999993</v>
      </c>
    </row>
    <row r="2041" spans="1:9" x14ac:dyDescent="0.2">
      <c r="A2041" s="81" t="s">
        <v>2555</v>
      </c>
      <c r="B2041" s="241" t="s">
        <v>644</v>
      </c>
      <c r="C2041" s="3" t="s">
        <v>645</v>
      </c>
      <c r="D2041" s="2" t="s">
        <v>585</v>
      </c>
      <c r="E2041" s="196">
        <v>1</v>
      </c>
      <c r="F2041" s="23">
        <f>VLOOKUP(B2041,'BASE DE DATOS'!$A$5:$E$997,5,FALSE)</f>
        <v>248302</v>
      </c>
      <c r="G2041" s="104">
        <f>1/12</f>
        <v>8.3333333333333329E-2</v>
      </c>
      <c r="H2041" s="252">
        <f t="shared" si="179"/>
        <v>20691.833333333332</v>
      </c>
    </row>
    <row r="2042" spans="1:9" x14ac:dyDescent="0.2">
      <c r="A2042" s="937" t="s">
        <v>293</v>
      </c>
      <c r="B2042" s="241" t="s">
        <v>598</v>
      </c>
      <c r="C2042" s="218" t="s">
        <v>3362</v>
      </c>
      <c r="D2042" s="2" t="s">
        <v>586</v>
      </c>
      <c r="E2042" s="196">
        <v>0.1</v>
      </c>
      <c r="F2042" s="23">
        <f>H2041</f>
        <v>20691.833333333332</v>
      </c>
      <c r="G2042" s="104">
        <v>0</v>
      </c>
      <c r="H2042" s="252">
        <f t="shared" si="179"/>
        <v>2069.1833333333334</v>
      </c>
    </row>
    <row r="2043" spans="1:9" ht="13.5" thickBot="1" x14ac:dyDescent="0.25">
      <c r="A2043" s="938"/>
      <c r="B2043" s="528" t="s">
        <v>269</v>
      </c>
      <c r="C2043" s="88" t="s">
        <v>284</v>
      </c>
      <c r="D2043" s="109" t="s">
        <v>586</v>
      </c>
      <c r="E2043" s="203">
        <v>0.2</v>
      </c>
      <c r="F2043" s="110">
        <f>H2041</f>
        <v>20691.833333333332</v>
      </c>
      <c r="G2043" s="156">
        <v>0</v>
      </c>
      <c r="H2043" s="479">
        <f t="shared" si="179"/>
        <v>4138.3666666666668</v>
      </c>
    </row>
    <row r="2044" spans="1:9" s="42" customFormat="1" ht="17.25" x14ac:dyDescent="0.2">
      <c r="A2044" s="455" t="s">
        <v>906</v>
      </c>
      <c r="B2044" s="529"/>
      <c r="C2044" s="388" t="s">
        <v>3934</v>
      </c>
      <c r="D2044" s="389" t="s">
        <v>3251</v>
      </c>
      <c r="E2044" s="390"/>
      <c r="F2044" s="391">
        <f>ROUND(SUM(H2044:H2049),0)</f>
        <v>37733</v>
      </c>
      <c r="G2044" s="392"/>
      <c r="H2044" s="393"/>
      <c r="I2044" s="738"/>
    </row>
    <row r="2045" spans="1:9" x14ac:dyDescent="0.2">
      <c r="A2045" s="82" t="s">
        <v>382</v>
      </c>
      <c r="B2045" s="241" t="s">
        <v>1523</v>
      </c>
      <c r="C2045" s="3" t="s">
        <v>643</v>
      </c>
      <c r="D2045" s="2" t="s">
        <v>642</v>
      </c>
      <c r="E2045" s="196">
        <v>0.05</v>
      </c>
      <c r="F2045" s="23">
        <f>VLOOKUP(B2045,'BASE DE DATOS'!$A$5:$E$997,5,FALSE)</f>
        <v>108900</v>
      </c>
      <c r="G2045" s="104">
        <v>1.03</v>
      </c>
      <c r="H2045" s="252">
        <f t="shared" ref="H2045:H2049" si="180">IF(G2045&gt;0,(G2045*F2045*E2045),(F2045*E2045))</f>
        <v>5608.35</v>
      </c>
    </row>
    <row r="2046" spans="1:9" x14ac:dyDescent="0.2">
      <c r="A2046" s="81" t="s">
        <v>2555</v>
      </c>
      <c r="B2046" s="241" t="s">
        <v>644</v>
      </c>
      <c r="C2046" s="3" t="s">
        <v>645</v>
      </c>
      <c r="D2046" s="2" t="s">
        <v>585</v>
      </c>
      <c r="E2046" s="196">
        <v>1</v>
      </c>
      <c r="F2046" s="23">
        <f>VLOOKUP(B2046,'BASE DE DATOS'!$A$5:$E$997,5,FALSE)</f>
        <v>248302</v>
      </c>
      <c r="G2046" s="104">
        <f>1/10</f>
        <v>0.1</v>
      </c>
      <c r="H2046" s="252">
        <f t="shared" si="180"/>
        <v>24830.2</v>
      </c>
    </row>
    <row r="2047" spans="1:9" x14ac:dyDescent="0.2">
      <c r="A2047" s="944" t="s">
        <v>293</v>
      </c>
      <c r="B2047" s="241" t="s">
        <v>598</v>
      </c>
      <c r="C2047" s="218" t="s">
        <v>3362</v>
      </c>
      <c r="D2047" s="219" t="s">
        <v>586</v>
      </c>
      <c r="E2047" s="196">
        <v>0.05</v>
      </c>
      <c r="F2047" s="220">
        <f>H2046</f>
        <v>24830.2</v>
      </c>
      <c r="G2047" s="187">
        <v>0</v>
      </c>
      <c r="H2047" s="252">
        <f>IF(G2047&gt;0,(G2047*F2047*E2047),(F2047*E2047))</f>
        <v>1241.5100000000002</v>
      </c>
    </row>
    <row r="2048" spans="1:9" x14ac:dyDescent="0.2">
      <c r="A2048" s="944"/>
      <c r="B2048" s="241" t="s">
        <v>337</v>
      </c>
      <c r="C2048" s="599" t="s">
        <v>338</v>
      </c>
      <c r="D2048" s="288" t="s">
        <v>585</v>
      </c>
      <c r="E2048" s="196">
        <v>1</v>
      </c>
      <c r="F2048" s="220">
        <f>VLOOKUP(B2048,'BASE DE DATOS'!$A$5:$E$997,5,FALSE)</f>
        <v>35700</v>
      </c>
      <c r="G2048" s="187">
        <f>1/10</f>
        <v>0.1</v>
      </c>
      <c r="H2048" s="252">
        <f>IF(G2048&gt;0,(G2048*F2048*E2048),(F2048*E2048))</f>
        <v>3570</v>
      </c>
    </row>
    <row r="2049" spans="1:9" ht="13.5" thickBot="1" x14ac:dyDescent="0.25">
      <c r="A2049" s="945"/>
      <c r="B2049" s="528" t="s">
        <v>269</v>
      </c>
      <c r="C2049" s="88" t="s">
        <v>284</v>
      </c>
      <c r="D2049" s="89" t="s">
        <v>586</v>
      </c>
      <c r="E2049" s="197">
        <v>0.1</v>
      </c>
      <c r="F2049" s="90">
        <f>H2046</f>
        <v>24830.2</v>
      </c>
      <c r="G2049" s="153">
        <v>0</v>
      </c>
      <c r="H2049" s="255">
        <f t="shared" si="180"/>
        <v>2483.0200000000004</v>
      </c>
    </row>
    <row r="2050" spans="1:9" s="42" customFormat="1" ht="30" x14ac:dyDescent="0.2">
      <c r="A2050" s="455" t="s">
        <v>907</v>
      </c>
      <c r="B2050" s="529"/>
      <c r="C2050" s="388" t="s">
        <v>4228</v>
      </c>
      <c r="D2050" s="389" t="s">
        <v>3251</v>
      </c>
      <c r="E2050" s="390"/>
      <c r="F2050" s="391">
        <f>ROUND(SUM(H2050:H2054),0)</f>
        <v>25400</v>
      </c>
      <c r="G2050" s="392"/>
      <c r="H2050" s="393"/>
      <c r="I2050" s="738"/>
    </row>
    <row r="2051" spans="1:9" ht="25.5" x14ac:dyDescent="0.2">
      <c r="A2051" s="82" t="s">
        <v>382</v>
      </c>
      <c r="B2051" s="241" t="s">
        <v>1526</v>
      </c>
      <c r="C2051" s="3" t="s">
        <v>3940</v>
      </c>
      <c r="D2051" s="2" t="s">
        <v>406</v>
      </c>
      <c r="E2051" s="196">
        <v>0.3</v>
      </c>
      <c r="F2051" s="23">
        <f>VLOOKUP(B2051,'BASE DE DATOS'!$A$5:$E$997,5,FALSE)</f>
        <v>35994</v>
      </c>
      <c r="G2051" s="104">
        <v>1.03</v>
      </c>
      <c r="H2051" s="252">
        <f t="shared" ref="H2051:H2054" si="181">IF(G2051&gt;0,(G2051*F2051*E2051),(F2051*E2051))</f>
        <v>11122.145999999999</v>
      </c>
    </row>
    <row r="2052" spans="1:9" x14ac:dyDescent="0.2">
      <c r="A2052" s="81" t="s">
        <v>2555</v>
      </c>
      <c r="B2052" s="241" t="s">
        <v>644</v>
      </c>
      <c r="C2052" s="3" t="s">
        <v>645</v>
      </c>
      <c r="D2052" s="2" t="s">
        <v>585</v>
      </c>
      <c r="E2052" s="196">
        <v>1</v>
      </c>
      <c r="F2052" s="23">
        <f>VLOOKUP(B2052,'BASE DE DATOS'!$A$5:$E$997,5,FALSE)</f>
        <v>248302</v>
      </c>
      <c r="G2052" s="104">
        <f>1/20</f>
        <v>0.05</v>
      </c>
      <c r="H2052" s="252">
        <f t="shared" si="181"/>
        <v>12415.1</v>
      </c>
    </row>
    <row r="2053" spans="1:9" x14ac:dyDescent="0.2">
      <c r="A2053" s="937" t="s">
        <v>293</v>
      </c>
      <c r="B2053" s="241" t="s">
        <v>598</v>
      </c>
      <c r="C2053" s="218" t="s">
        <v>3362</v>
      </c>
      <c r="D2053" s="2" t="s">
        <v>586</v>
      </c>
      <c r="E2053" s="196">
        <v>0.1</v>
      </c>
      <c r="F2053" s="23">
        <f>H2052</f>
        <v>12415.1</v>
      </c>
      <c r="G2053" s="104">
        <v>0</v>
      </c>
      <c r="H2053" s="252">
        <f t="shared" si="181"/>
        <v>1241.5100000000002</v>
      </c>
    </row>
    <row r="2054" spans="1:9" ht="13.5" thickBot="1" x14ac:dyDescent="0.25">
      <c r="A2054" s="938"/>
      <c r="B2054" s="528" t="s">
        <v>269</v>
      </c>
      <c r="C2054" s="88" t="s">
        <v>284</v>
      </c>
      <c r="D2054" s="109" t="s">
        <v>586</v>
      </c>
      <c r="E2054" s="203">
        <v>0.05</v>
      </c>
      <c r="F2054" s="110">
        <f>H2052</f>
        <v>12415.1</v>
      </c>
      <c r="G2054" s="156">
        <v>0</v>
      </c>
      <c r="H2054" s="479">
        <f t="shared" si="181"/>
        <v>620.75500000000011</v>
      </c>
    </row>
    <row r="2055" spans="1:9" s="42" customFormat="1" ht="17.25" x14ac:dyDescent="0.2">
      <c r="A2055" s="455" t="s">
        <v>908</v>
      </c>
      <c r="B2055" s="529"/>
      <c r="C2055" s="388" t="s">
        <v>3942</v>
      </c>
      <c r="D2055" s="389" t="s">
        <v>3251</v>
      </c>
      <c r="E2055" s="395"/>
      <c r="F2055" s="391">
        <f>ROUND(SUM(H2055:H2059),0)</f>
        <v>36920</v>
      </c>
      <c r="G2055" s="392"/>
      <c r="H2055" s="393"/>
      <c r="I2055" s="738"/>
    </row>
    <row r="2056" spans="1:9" ht="25.5" x14ac:dyDescent="0.2">
      <c r="A2056" s="82" t="s">
        <v>382</v>
      </c>
      <c r="B2056" s="241" t="s">
        <v>1525</v>
      </c>
      <c r="C2056" s="3" t="s">
        <v>3941</v>
      </c>
      <c r="D2056" s="2" t="s">
        <v>642</v>
      </c>
      <c r="E2056" s="114">
        <v>7.0000000000000007E-2</v>
      </c>
      <c r="F2056" s="23">
        <f>VLOOKUP(B2056,'BASE DE DATOS'!$A$5:$E$997,5,FALSE)</f>
        <v>98800</v>
      </c>
      <c r="G2056" s="104">
        <v>1.03</v>
      </c>
      <c r="H2056" s="252">
        <f t="shared" ref="H2056:H2059" si="182">IF(G2056&gt;0,(G2056*F2056*E2056),(F2056*E2056))</f>
        <v>7123.4800000000005</v>
      </c>
    </row>
    <row r="2057" spans="1:9" x14ac:dyDescent="0.2">
      <c r="A2057" s="81" t="s">
        <v>2555</v>
      </c>
      <c r="B2057" s="241" t="s">
        <v>644</v>
      </c>
      <c r="C2057" s="3" t="s">
        <v>645</v>
      </c>
      <c r="D2057" s="2" t="s">
        <v>585</v>
      </c>
      <c r="E2057" s="114">
        <v>1</v>
      </c>
      <c r="F2057" s="23">
        <f>VLOOKUP(B2057,'BASE DE DATOS'!$A$5:$E$997,5,FALSE)</f>
        <v>248302</v>
      </c>
      <c r="G2057" s="104">
        <f>1/10</f>
        <v>0.1</v>
      </c>
      <c r="H2057" s="252">
        <f t="shared" si="182"/>
        <v>24830.2</v>
      </c>
    </row>
    <row r="2058" spans="1:9" x14ac:dyDescent="0.2">
      <c r="A2058" s="937" t="s">
        <v>293</v>
      </c>
      <c r="B2058" s="241" t="s">
        <v>598</v>
      </c>
      <c r="C2058" s="218" t="s">
        <v>3362</v>
      </c>
      <c r="D2058" s="2" t="s">
        <v>586</v>
      </c>
      <c r="E2058" s="114">
        <v>0.1</v>
      </c>
      <c r="F2058" s="23">
        <f>H2057</f>
        <v>24830.2</v>
      </c>
      <c r="G2058" s="104">
        <v>0</v>
      </c>
      <c r="H2058" s="252">
        <f t="shared" si="182"/>
        <v>2483.0200000000004</v>
      </c>
    </row>
    <row r="2059" spans="1:9" ht="13.5" thickBot="1" x14ac:dyDescent="0.25">
      <c r="A2059" s="938"/>
      <c r="B2059" s="528" t="s">
        <v>269</v>
      </c>
      <c r="C2059" s="88" t="s">
        <v>284</v>
      </c>
      <c r="D2059" s="109" t="s">
        <v>586</v>
      </c>
      <c r="E2059" s="200">
        <v>0.1</v>
      </c>
      <c r="F2059" s="110">
        <f>H2057</f>
        <v>24830.2</v>
      </c>
      <c r="G2059" s="156">
        <v>0</v>
      </c>
      <c r="H2059" s="479">
        <f t="shared" si="182"/>
        <v>2483.0200000000004</v>
      </c>
    </row>
    <row r="2060" spans="1:9" s="42" customFormat="1" ht="30" x14ac:dyDescent="0.2">
      <c r="A2060" s="455" t="s">
        <v>909</v>
      </c>
      <c r="B2060" s="529"/>
      <c r="C2060" s="388" t="s">
        <v>3943</v>
      </c>
      <c r="D2060" s="389" t="s">
        <v>3251</v>
      </c>
      <c r="E2060" s="395"/>
      <c r="F2060" s="391">
        <f>ROUND(SUM(H2060:H2063),0)</f>
        <v>42843</v>
      </c>
      <c r="G2060" s="392"/>
      <c r="H2060" s="393"/>
      <c r="I2060" s="738"/>
    </row>
    <row r="2061" spans="1:9" x14ac:dyDescent="0.2">
      <c r="A2061" s="82" t="s">
        <v>382</v>
      </c>
      <c r="B2061" s="241" t="s">
        <v>1524</v>
      </c>
      <c r="C2061" s="3" t="s">
        <v>43</v>
      </c>
      <c r="D2061" s="2" t="s">
        <v>406</v>
      </c>
      <c r="E2061" s="196">
        <v>0.31</v>
      </c>
      <c r="F2061" s="23">
        <f>VLOOKUP(B2061,'BASE DE DATOS'!$A$5:$E$997,5,FALSE)</f>
        <v>63300</v>
      </c>
      <c r="G2061" s="104">
        <v>1.03</v>
      </c>
      <c r="H2061" s="252">
        <f t="shared" ref="H2061:H2063" si="183">IF(G2061&gt;0,(G2061*F2061*E2061),(F2061*E2061))</f>
        <v>20211.689999999999</v>
      </c>
    </row>
    <row r="2062" spans="1:9" x14ac:dyDescent="0.2">
      <c r="A2062" s="81" t="s">
        <v>2555</v>
      </c>
      <c r="B2062" s="241" t="s">
        <v>587</v>
      </c>
      <c r="C2062" s="3" t="s">
        <v>588</v>
      </c>
      <c r="D2062" s="2" t="s">
        <v>585</v>
      </c>
      <c r="E2062" s="196">
        <v>1</v>
      </c>
      <c r="F2062" s="23">
        <f>VLOOKUP(B2062,'BASE DE DATOS'!$A$5:$E$997,5,FALSE)</f>
        <v>514339</v>
      </c>
      <c r="G2062" s="104">
        <f>1/25</f>
        <v>0.04</v>
      </c>
      <c r="H2062" s="252">
        <f t="shared" si="183"/>
        <v>20573.560000000001</v>
      </c>
    </row>
    <row r="2063" spans="1:9" ht="13.5" thickBot="1" x14ac:dyDescent="0.25">
      <c r="A2063" s="774" t="s">
        <v>293</v>
      </c>
      <c r="B2063" s="528" t="s">
        <v>269</v>
      </c>
      <c r="C2063" s="88" t="s">
        <v>284</v>
      </c>
      <c r="D2063" s="109" t="s">
        <v>586</v>
      </c>
      <c r="E2063" s="203">
        <v>0.1</v>
      </c>
      <c r="F2063" s="110">
        <f>H2062</f>
        <v>20573.560000000001</v>
      </c>
      <c r="G2063" s="156">
        <v>0</v>
      </c>
      <c r="H2063" s="479">
        <f t="shared" si="183"/>
        <v>2057.3560000000002</v>
      </c>
    </row>
    <row r="2064" spans="1:9" s="42" customFormat="1" ht="30" x14ac:dyDescent="0.2">
      <c r="A2064" s="455" t="s">
        <v>910</v>
      </c>
      <c r="B2064" s="527"/>
      <c r="C2064" s="388" t="s">
        <v>3948</v>
      </c>
      <c r="D2064" s="389" t="s">
        <v>3251</v>
      </c>
      <c r="E2064" s="395"/>
      <c r="F2064" s="391">
        <f>ROUND(SUM(H2064:H2070),0)</f>
        <v>48571</v>
      </c>
      <c r="G2064" s="392"/>
      <c r="H2064" s="393"/>
      <c r="I2064" s="738"/>
    </row>
    <row r="2065" spans="1:9" ht="25.5" x14ac:dyDescent="0.2">
      <c r="A2065" s="936" t="s">
        <v>382</v>
      </c>
      <c r="B2065" s="241" t="s">
        <v>2768</v>
      </c>
      <c r="C2065" s="3" t="s">
        <v>3814</v>
      </c>
      <c r="D2065" s="2" t="s">
        <v>642</v>
      </c>
      <c r="E2065" s="114">
        <v>3.3000000000000002E-2</v>
      </c>
      <c r="F2065" s="23">
        <f>VLOOKUP(B2065,'BASE DE DATOS'!$A$5:$E$997,5,FALSE)</f>
        <v>74724</v>
      </c>
      <c r="G2065" s="104">
        <v>1.03</v>
      </c>
      <c r="H2065" s="252">
        <f t="shared" ref="H2065" si="184">IF(G2065&gt;0,(G2065*F2065*E2065),(F2065*E2065))</f>
        <v>2539.8687600000003</v>
      </c>
    </row>
    <row r="2066" spans="1:9" x14ac:dyDescent="0.2">
      <c r="A2066" s="936"/>
      <c r="B2066" s="241" t="s">
        <v>1385</v>
      </c>
      <c r="C2066" s="3" t="s">
        <v>3936</v>
      </c>
      <c r="D2066" s="2" t="s">
        <v>406</v>
      </c>
      <c r="E2066" s="114">
        <v>1.5</v>
      </c>
      <c r="F2066" s="23">
        <f>VLOOKUP(B2066,'BASE DE DATOS'!$A$5:$E$997,5,FALSE)</f>
        <v>3430</v>
      </c>
      <c r="G2066" s="104">
        <v>1.05</v>
      </c>
      <c r="H2066" s="252">
        <f t="shared" ref="H2066:H2070" si="185">IF(G2066&gt;0,(G2066*F2066*E2066),(F2066*E2066))</f>
        <v>5402.25</v>
      </c>
    </row>
    <row r="2067" spans="1:9" x14ac:dyDescent="0.2">
      <c r="A2067" s="936"/>
      <c r="B2067" s="241" t="s">
        <v>2767</v>
      </c>
      <c r="C2067" s="3" t="s">
        <v>3580</v>
      </c>
      <c r="D2067" s="2" t="s">
        <v>642</v>
      </c>
      <c r="E2067" s="114">
        <v>6.6699999999999995E-2</v>
      </c>
      <c r="F2067" s="23">
        <f>VLOOKUP(B2067,'BASE DE DATOS'!$A$5:$E$997,5,FALSE)</f>
        <v>214900</v>
      </c>
      <c r="G2067" s="104">
        <v>1.03</v>
      </c>
      <c r="H2067" s="252">
        <f t="shared" si="185"/>
        <v>14763.844899999998</v>
      </c>
    </row>
    <row r="2068" spans="1:9" x14ac:dyDescent="0.2">
      <c r="A2068" s="500" t="s">
        <v>2555</v>
      </c>
      <c r="B2068" s="241" t="s">
        <v>644</v>
      </c>
      <c r="C2068" s="3" t="s">
        <v>645</v>
      </c>
      <c r="D2068" s="2" t="s">
        <v>585</v>
      </c>
      <c r="E2068" s="114">
        <v>1</v>
      </c>
      <c r="F2068" s="23">
        <f>VLOOKUP(B2068,'BASE DE DATOS'!$A$5:$E$997,5,FALSE)</f>
        <v>248302</v>
      </c>
      <c r="G2068" s="104">
        <f>1/12</f>
        <v>8.3333333333333329E-2</v>
      </c>
      <c r="H2068" s="252">
        <f t="shared" si="185"/>
        <v>20691.833333333332</v>
      </c>
    </row>
    <row r="2069" spans="1:9" x14ac:dyDescent="0.2">
      <c r="A2069" s="937" t="s">
        <v>293</v>
      </c>
      <c r="B2069" s="241" t="s">
        <v>598</v>
      </c>
      <c r="C2069" s="218" t="s">
        <v>3362</v>
      </c>
      <c r="D2069" s="2" t="s">
        <v>586</v>
      </c>
      <c r="E2069" s="114">
        <v>0.05</v>
      </c>
      <c r="F2069" s="23">
        <f>H2068</f>
        <v>20691.833333333332</v>
      </c>
      <c r="G2069" s="104">
        <v>0</v>
      </c>
      <c r="H2069" s="252">
        <f t="shared" si="185"/>
        <v>1034.5916666666667</v>
      </c>
    </row>
    <row r="2070" spans="1:9" ht="13.5" thickBot="1" x14ac:dyDescent="0.25">
      <c r="A2070" s="938"/>
      <c r="B2070" s="528" t="s">
        <v>269</v>
      </c>
      <c r="C2070" s="88" t="s">
        <v>284</v>
      </c>
      <c r="D2070" s="109" t="s">
        <v>586</v>
      </c>
      <c r="E2070" s="200">
        <v>0.2</v>
      </c>
      <c r="F2070" s="110">
        <f>H2068</f>
        <v>20691.833333333332</v>
      </c>
      <c r="G2070" s="156">
        <v>0</v>
      </c>
      <c r="H2070" s="479">
        <f t="shared" si="185"/>
        <v>4138.3666666666668</v>
      </c>
    </row>
    <row r="2071" spans="1:9" s="42" customFormat="1" ht="30" x14ac:dyDescent="0.2">
      <c r="A2071" s="455" t="s">
        <v>911</v>
      </c>
      <c r="B2071" s="529"/>
      <c r="C2071" s="388" t="s">
        <v>3947</v>
      </c>
      <c r="D2071" s="389" t="s">
        <v>3251</v>
      </c>
      <c r="E2071" s="390"/>
      <c r="F2071" s="391">
        <f>ROUND(SUM(H2071:H2077),0)</f>
        <v>53810</v>
      </c>
      <c r="G2071" s="392"/>
      <c r="H2071" s="393"/>
      <c r="I2071" s="738"/>
    </row>
    <row r="2072" spans="1:9" ht="25.5" x14ac:dyDescent="0.2">
      <c r="A2072" s="936" t="s">
        <v>382</v>
      </c>
      <c r="B2072" s="241" t="s">
        <v>2768</v>
      </c>
      <c r="C2072" s="780" t="s">
        <v>3944</v>
      </c>
      <c r="D2072" s="2" t="s">
        <v>642</v>
      </c>
      <c r="E2072" s="114">
        <v>3.3000000000000002E-2</v>
      </c>
      <c r="F2072" s="23">
        <f>VLOOKUP(B2072,'BASE DE DATOS'!$A$5:$E$997,5,FALSE)</f>
        <v>74724</v>
      </c>
      <c r="G2072" s="104">
        <v>1.03</v>
      </c>
      <c r="H2072" s="252">
        <f t="shared" ref="H2072" si="186">IF(G2072&gt;0,(G2072*F2072*E2072),(F2072*E2072))</f>
        <v>2539.8687600000003</v>
      </c>
    </row>
    <row r="2073" spans="1:9" x14ac:dyDescent="0.2">
      <c r="A2073" s="936"/>
      <c r="B2073" s="241" t="s">
        <v>1385</v>
      </c>
      <c r="C2073" s="3" t="s">
        <v>3936</v>
      </c>
      <c r="D2073" s="2" t="s">
        <v>406</v>
      </c>
      <c r="E2073" s="196">
        <v>1.5</v>
      </c>
      <c r="F2073" s="23">
        <f>VLOOKUP(B2073,'BASE DE DATOS'!$A$5:$E$997,5,FALSE)</f>
        <v>3430</v>
      </c>
      <c r="G2073" s="104">
        <v>1.05</v>
      </c>
      <c r="H2073" s="252">
        <f t="shared" ref="H2073:H2077" si="187">IF(G2073&gt;0,(G2073*F2073*E2073),(F2073*E2073))</f>
        <v>5402.25</v>
      </c>
    </row>
    <row r="2074" spans="1:9" x14ac:dyDescent="0.2">
      <c r="A2074" s="936"/>
      <c r="B2074" s="241" t="s">
        <v>2767</v>
      </c>
      <c r="C2074" s="3" t="s">
        <v>3580</v>
      </c>
      <c r="D2074" s="2" t="s">
        <v>642</v>
      </c>
      <c r="E2074" s="114">
        <v>6.7000000000000004E-2</v>
      </c>
      <c r="F2074" s="23">
        <f>VLOOKUP(B2074,'BASE DE DATOS'!$A$5:$E$997,5,FALSE)</f>
        <v>214900</v>
      </c>
      <c r="G2074" s="104">
        <v>1.03</v>
      </c>
      <c r="H2074" s="252">
        <f t="shared" si="187"/>
        <v>14830.249000000002</v>
      </c>
    </row>
    <row r="2075" spans="1:9" x14ac:dyDescent="0.2">
      <c r="A2075" s="500" t="s">
        <v>2555</v>
      </c>
      <c r="B2075" s="241" t="s">
        <v>644</v>
      </c>
      <c r="C2075" s="3" t="s">
        <v>645</v>
      </c>
      <c r="D2075" s="2" t="s">
        <v>585</v>
      </c>
      <c r="E2075" s="196">
        <v>1</v>
      </c>
      <c r="F2075" s="23">
        <f>VLOOKUP(B2075,'BASE DE DATOS'!$A$5:$E$997,5,FALSE)</f>
        <v>248302</v>
      </c>
      <c r="G2075" s="104">
        <f>1/10</f>
        <v>0.1</v>
      </c>
      <c r="H2075" s="252">
        <f t="shared" si="187"/>
        <v>24830.2</v>
      </c>
    </row>
    <row r="2076" spans="1:9" x14ac:dyDescent="0.2">
      <c r="A2076" s="937" t="s">
        <v>293</v>
      </c>
      <c r="B2076" s="241" t="s">
        <v>598</v>
      </c>
      <c r="C2076" s="218" t="s">
        <v>3362</v>
      </c>
      <c r="D2076" s="2" t="s">
        <v>586</v>
      </c>
      <c r="E2076" s="196">
        <v>0.05</v>
      </c>
      <c r="F2076" s="23">
        <f>H2075</f>
        <v>24830.2</v>
      </c>
      <c r="G2076" s="104">
        <v>0</v>
      </c>
      <c r="H2076" s="252">
        <f t="shared" si="187"/>
        <v>1241.5100000000002</v>
      </c>
    </row>
    <row r="2077" spans="1:9" ht="13.5" thickBot="1" x14ac:dyDescent="0.25">
      <c r="A2077" s="938"/>
      <c r="B2077" s="528" t="s">
        <v>269</v>
      </c>
      <c r="C2077" s="88" t="s">
        <v>284</v>
      </c>
      <c r="D2077" s="109" t="s">
        <v>586</v>
      </c>
      <c r="E2077" s="203">
        <v>0.2</v>
      </c>
      <c r="F2077" s="110">
        <f>H2075</f>
        <v>24830.2</v>
      </c>
      <c r="G2077" s="156">
        <v>0</v>
      </c>
      <c r="H2077" s="479">
        <f t="shared" si="187"/>
        <v>4966.0400000000009</v>
      </c>
    </row>
    <row r="2078" spans="1:9" s="42" customFormat="1" ht="30" x14ac:dyDescent="0.2">
      <c r="A2078" s="455" t="s">
        <v>3485</v>
      </c>
      <c r="B2078" s="529"/>
      <c r="C2078" s="388" t="s">
        <v>3946</v>
      </c>
      <c r="D2078" s="389" t="s">
        <v>3251</v>
      </c>
      <c r="E2078" s="390"/>
      <c r="F2078" s="391">
        <f>ROUND(SUM(H2078:H2085),0)</f>
        <v>49309</v>
      </c>
      <c r="G2078" s="392"/>
      <c r="H2078" s="393"/>
      <c r="I2078" s="738"/>
    </row>
    <row r="2079" spans="1:9" ht="25.5" x14ac:dyDescent="0.2">
      <c r="A2079" s="936" t="s">
        <v>382</v>
      </c>
      <c r="B2079" s="241" t="s">
        <v>2768</v>
      </c>
      <c r="C2079" s="780" t="s">
        <v>3944</v>
      </c>
      <c r="D2079" s="2" t="s">
        <v>642</v>
      </c>
      <c r="E2079" s="114">
        <v>3.3000000000000002E-2</v>
      </c>
      <c r="F2079" s="23">
        <f>VLOOKUP(B2079,'BASE DE DATOS'!$A$5:$E$997,5,FALSE)</f>
        <v>74724</v>
      </c>
      <c r="G2079" s="104">
        <v>1.03</v>
      </c>
      <c r="H2079" s="252">
        <f>IF(G2079&gt;0,(G2079*F2079*E2079),(F2079*E2079))</f>
        <v>2539.8687600000003</v>
      </c>
    </row>
    <row r="2080" spans="1:9" x14ac:dyDescent="0.2">
      <c r="A2080" s="936"/>
      <c r="B2080" s="241" t="s">
        <v>2767</v>
      </c>
      <c r="C2080" s="3" t="s">
        <v>3580</v>
      </c>
      <c r="D2080" s="2" t="s">
        <v>642</v>
      </c>
      <c r="E2080" s="114">
        <v>6.7000000000000004E-2</v>
      </c>
      <c r="F2080" s="23">
        <f>VLOOKUP(B2080,'BASE DE DATOS'!$A$5:$E$997,5,FALSE)</f>
        <v>214900</v>
      </c>
      <c r="G2080" s="104">
        <v>1.03</v>
      </c>
      <c r="H2080" s="252">
        <f t="shared" ref="H2080:H2085" si="188">IF(G2080&gt;0,(G2080*F2080*E2080),(F2080*E2080))</f>
        <v>14830.249000000002</v>
      </c>
    </row>
    <row r="2081" spans="1:9" x14ac:dyDescent="0.2">
      <c r="A2081" s="936"/>
      <c r="B2081" s="241" t="s">
        <v>1698</v>
      </c>
      <c r="C2081" s="3" t="s">
        <v>180</v>
      </c>
      <c r="D2081" s="2" t="s">
        <v>406</v>
      </c>
      <c r="E2081" s="196">
        <v>0.5</v>
      </c>
      <c r="F2081" s="23">
        <f>VLOOKUP(B2081,'BASE DE DATOS'!$A$5:$E$997,5,FALSE)</f>
        <v>2780</v>
      </c>
      <c r="G2081" s="104">
        <v>1.05</v>
      </c>
      <c r="H2081" s="252">
        <f t="shared" si="188"/>
        <v>1459.5</v>
      </c>
    </row>
    <row r="2082" spans="1:9" ht="14.25" x14ac:dyDescent="0.2">
      <c r="A2082" s="498" t="s">
        <v>3252</v>
      </c>
      <c r="B2082" s="241" t="s">
        <v>721</v>
      </c>
      <c r="C2082" s="3" t="s">
        <v>478</v>
      </c>
      <c r="D2082" s="2" t="s">
        <v>288</v>
      </c>
      <c r="E2082" s="114">
        <v>1</v>
      </c>
      <c r="F2082" s="23">
        <f>F228</f>
        <v>2263</v>
      </c>
      <c r="G2082" s="104">
        <v>0</v>
      </c>
      <c r="H2082" s="252">
        <f t="shared" si="188"/>
        <v>2263</v>
      </c>
    </row>
    <row r="2083" spans="1:9" x14ac:dyDescent="0.2">
      <c r="A2083" s="500" t="s">
        <v>2555</v>
      </c>
      <c r="B2083" s="241" t="s">
        <v>644</v>
      </c>
      <c r="C2083" s="3" t="s">
        <v>645</v>
      </c>
      <c r="D2083" s="2" t="s">
        <v>585</v>
      </c>
      <c r="E2083" s="196">
        <v>1</v>
      </c>
      <c r="F2083" s="23">
        <f>VLOOKUP(B2083,'BASE DE DATOS'!$A$5:$E$997,5,FALSE)</f>
        <v>248302</v>
      </c>
      <c r="G2083" s="104">
        <f>1/11</f>
        <v>9.0909090909090912E-2</v>
      </c>
      <c r="H2083" s="252">
        <f t="shared" si="188"/>
        <v>22572.909090909092</v>
      </c>
    </row>
    <row r="2084" spans="1:9" x14ac:dyDescent="0.2">
      <c r="A2084" s="937" t="s">
        <v>293</v>
      </c>
      <c r="B2084" s="241" t="s">
        <v>598</v>
      </c>
      <c r="C2084" s="218" t="s">
        <v>3362</v>
      </c>
      <c r="D2084" s="2" t="s">
        <v>586</v>
      </c>
      <c r="E2084" s="196">
        <v>0.05</v>
      </c>
      <c r="F2084" s="23">
        <f>H2083</f>
        <v>22572.909090909092</v>
      </c>
      <c r="G2084" s="104">
        <v>0</v>
      </c>
      <c r="H2084" s="252">
        <f t="shared" si="188"/>
        <v>1128.6454545454546</v>
      </c>
    </row>
    <row r="2085" spans="1:9" ht="13.5" thickBot="1" x14ac:dyDescent="0.25">
      <c r="A2085" s="938"/>
      <c r="B2085" s="528" t="s">
        <v>269</v>
      </c>
      <c r="C2085" s="88" t="s">
        <v>284</v>
      </c>
      <c r="D2085" s="109" t="s">
        <v>586</v>
      </c>
      <c r="E2085" s="203">
        <v>0.2</v>
      </c>
      <c r="F2085" s="110">
        <f>H2083</f>
        <v>22572.909090909092</v>
      </c>
      <c r="G2085" s="156">
        <v>0</v>
      </c>
      <c r="H2085" s="479">
        <f t="shared" si="188"/>
        <v>4514.5818181818186</v>
      </c>
    </row>
    <row r="2086" spans="1:9" s="42" customFormat="1" ht="30" x14ac:dyDescent="0.2">
      <c r="A2086" s="455" t="s">
        <v>3486</v>
      </c>
      <c r="B2086" s="529"/>
      <c r="C2086" s="388" t="s">
        <v>3945</v>
      </c>
      <c r="D2086" s="389" t="s">
        <v>3251</v>
      </c>
      <c r="E2086" s="390"/>
      <c r="F2086" s="391">
        <f>ROUND(SUM(H2086:H2093),0)</f>
        <v>52130</v>
      </c>
      <c r="G2086" s="392"/>
      <c r="H2086" s="393"/>
      <c r="I2086" s="738"/>
    </row>
    <row r="2087" spans="1:9" ht="25.5" x14ac:dyDescent="0.2">
      <c r="A2087" s="936" t="s">
        <v>382</v>
      </c>
      <c r="B2087" s="241" t="s">
        <v>2768</v>
      </c>
      <c r="C2087" s="780" t="s">
        <v>3944</v>
      </c>
      <c r="D2087" s="2" t="s">
        <v>642</v>
      </c>
      <c r="E2087" s="114">
        <v>3.3000000000000002E-2</v>
      </c>
      <c r="F2087" s="23">
        <f>VLOOKUP(B2087,'BASE DE DATOS'!$A$5:$E$997,5,FALSE)</f>
        <v>74724</v>
      </c>
      <c r="G2087" s="104">
        <v>1.03</v>
      </c>
      <c r="H2087" s="252">
        <f>IF(G2087&gt;0,(G2087*F2087*E2087),(F2087*E2087))</f>
        <v>2539.8687600000003</v>
      </c>
    </row>
    <row r="2088" spans="1:9" x14ac:dyDescent="0.2">
      <c r="A2088" s="936"/>
      <c r="B2088" s="241" t="s">
        <v>2767</v>
      </c>
      <c r="C2088" s="3" t="s">
        <v>3580</v>
      </c>
      <c r="D2088" s="2" t="s">
        <v>642</v>
      </c>
      <c r="E2088" s="114">
        <v>6.7000000000000004E-2</v>
      </c>
      <c r="F2088" s="23">
        <f>VLOOKUP(B2088,'BASE DE DATOS'!$A$5:$E$997,5,FALSE)</f>
        <v>214900</v>
      </c>
      <c r="G2088" s="104">
        <v>1.03</v>
      </c>
      <c r="H2088" s="252">
        <f t="shared" ref="H2088:H2093" si="189">IF(G2088&gt;0,(G2088*F2088*E2088),(F2088*E2088))</f>
        <v>14830.249000000002</v>
      </c>
    </row>
    <row r="2089" spans="1:9" x14ac:dyDescent="0.2">
      <c r="A2089" s="936"/>
      <c r="B2089" s="241" t="s">
        <v>1698</v>
      </c>
      <c r="C2089" s="3" t="s">
        <v>180</v>
      </c>
      <c r="D2089" s="2" t="s">
        <v>406</v>
      </c>
      <c r="E2089" s="196">
        <v>0.5</v>
      </c>
      <c r="F2089" s="23">
        <f>VLOOKUP(B2089,'BASE DE DATOS'!$A$5:$E$997,5,FALSE)</f>
        <v>2780</v>
      </c>
      <c r="G2089" s="104">
        <v>1.05</v>
      </c>
      <c r="H2089" s="252">
        <f t="shared" si="189"/>
        <v>1459.5</v>
      </c>
    </row>
    <row r="2090" spans="1:9" ht="14.25" x14ac:dyDescent="0.2">
      <c r="A2090" s="498" t="s">
        <v>3252</v>
      </c>
      <c r="B2090" s="241" t="s">
        <v>721</v>
      </c>
      <c r="C2090" s="3" t="s">
        <v>478</v>
      </c>
      <c r="D2090" s="2" t="s">
        <v>288</v>
      </c>
      <c r="E2090" s="114">
        <v>1</v>
      </c>
      <c r="F2090" s="23">
        <f>F228</f>
        <v>2263</v>
      </c>
      <c r="G2090" s="104">
        <v>0</v>
      </c>
      <c r="H2090" s="252">
        <f t="shared" si="189"/>
        <v>2263</v>
      </c>
    </row>
    <row r="2091" spans="1:9" x14ac:dyDescent="0.2">
      <c r="A2091" s="500" t="s">
        <v>2555</v>
      </c>
      <c r="B2091" s="241" t="s">
        <v>644</v>
      </c>
      <c r="C2091" s="3" t="s">
        <v>645</v>
      </c>
      <c r="D2091" s="2" t="s">
        <v>585</v>
      </c>
      <c r="E2091" s="196">
        <v>1</v>
      </c>
      <c r="F2091" s="23">
        <f>VLOOKUP(B2091,'BASE DE DATOS'!$A$5:$E$997,5,FALSE)</f>
        <v>248302</v>
      </c>
      <c r="G2091" s="104">
        <f>1/10</f>
        <v>0.1</v>
      </c>
      <c r="H2091" s="252">
        <f t="shared" si="189"/>
        <v>24830.2</v>
      </c>
    </row>
    <row r="2092" spans="1:9" x14ac:dyDescent="0.2">
      <c r="A2092" s="937" t="s">
        <v>293</v>
      </c>
      <c r="B2092" s="241" t="s">
        <v>598</v>
      </c>
      <c r="C2092" s="218" t="s">
        <v>3362</v>
      </c>
      <c r="D2092" s="2" t="s">
        <v>586</v>
      </c>
      <c r="E2092" s="196">
        <v>0.05</v>
      </c>
      <c r="F2092" s="23">
        <f>H2091</f>
        <v>24830.2</v>
      </c>
      <c r="G2092" s="104">
        <v>0</v>
      </c>
      <c r="H2092" s="252">
        <f t="shared" si="189"/>
        <v>1241.5100000000002</v>
      </c>
    </row>
    <row r="2093" spans="1:9" ht="13.5" thickBot="1" x14ac:dyDescent="0.25">
      <c r="A2093" s="938"/>
      <c r="B2093" s="528" t="s">
        <v>269</v>
      </c>
      <c r="C2093" s="88" t="s">
        <v>284</v>
      </c>
      <c r="D2093" s="109" t="s">
        <v>586</v>
      </c>
      <c r="E2093" s="203">
        <v>0.2</v>
      </c>
      <c r="F2093" s="110">
        <f>H2091</f>
        <v>24830.2</v>
      </c>
      <c r="G2093" s="156">
        <v>0</v>
      </c>
      <c r="H2093" s="479">
        <f t="shared" si="189"/>
        <v>4966.0400000000009</v>
      </c>
    </row>
    <row r="2094" spans="1:9" s="42" customFormat="1" ht="17.25" x14ac:dyDescent="0.2">
      <c r="A2094" s="455" t="s">
        <v>3487</v>
      </c>
      <c r="B2094" s="527"/>
      <c r="C2094" s="388" t="s">
        <v>3949</v>
      </c>
      <c r="D2094" s="389" t="s">
        <v>3251</v>
      </c>
      <c r="E2094" s="395"/>
      <c r="F2094" s="391">
        <f>ROUND(SUM(H2094:H2099),0)</f>
        <v>36824</v>
      </c>
      <c r="G2094" s="392"/>
      <c r="H2094" s="393"/>
      <c r="I2094" s="738"/>
    </row>
    <row r="2095" spans="1:9" x14ac:dyDescent="0.2">
      <c r="A2095" s="936" t="s">
        <v>382</v>
      </c>
      <c r="B2095" s="241" t="s">
        <v>1385</v>
      </c>
      <c r="C2095" s="3" t="s">
        <v>3936</v>
      </c>
      <c r="D2095" s="2" t="s">
        <v>406</v>
      </c>
      <c r="E2095" s="114">
        <v>1.5</v>
      </c>
      <c r="F2095" s="23">
        <f>VLOOKUP(B2095,'BASE DE DATOS'!$A$5:$E$997,5,FALSE)</f>
        <v>3430</v>
      </c>
      <c r="G2095" s="104">
        <v>1.05</v>
      </c>
      <c r="H2095" s="252">
        <f t="shared" ref="H2095:H2099" si="190">IF(G2095&gt;0,(G2095*F2095*E2095),(F2095*E2095))</f>
        <v>5402.25</v>
      </c>
    </row>
    <row r="2096" spans="1:9" x14ac:dyDescent="0.2">
      <c r="A2096" s="936"/>
      <c r="B2096" s="241" t="s">
        <v>1833</v>
      </c>
      <c r="C2096" s="3" t="s">
        <v>3950</v>
      </c>
      <c r="D2096" s="2" t="s">
        <v>642</v>
      </c>
      <c r="E2096" s="114">
        <v>0.05</v>
      </c>
      <c r="F2096" s="23">
        <f>VLOOKUP(B2096,'BASE DE DATOS'!$A$5:$E$997,5,FALSE)</f>
        <v>107900</v>
      </c>
      <c r="G2096" s="104">
        <v>1.03</v>
      </c>
      <c r="H2096" s="252">
        <f t="shared" si="190"/>
        <v>5556.85</v>
      </c>
    </row>
    <row r="2097" spans="1:9" x14ac:dyDescent="0.2">
      <c r="A2097" s="776" t="s">
        <v>2555</v>
      </c>
      <c r="B2097" s="241" t="s">
        <v>644</v>
      </c>
      <c r="C2097" s="3" t="s">
        <v>645</v>
      </c>
      <c r="D2097" s="2" t="s">
        <v>585</v>
      </c>
      <c r="E2097" s="114">
        <v>1</v>
      </c>
      <c r="F2097" s="23">
        <f>VLOOKUP(B2097,'BASE DE DATOS'!$A$5:$E$997,5,FALSE)</f>
        <v>248302</v>
      </c>
      <c r="G2097" s="104">
        <f>1/12</f>
        <v>8.3333333333333329E-2</v>
      </c>
      <c r="H2097" s="252">
        <f t="shared" si="190"/>
        <v>20691.833333333332</v>
      </c>
    </row>
    <row r="2098" spans="1:9" x14ac:dyDescent="0.2">
      <c r="A2098" s="937" t="s">
        <v>293</v>
      </c>
      <c r="B2098" s="241" t="s">
        <v>598</v>
      </c>
      <c r="C2098" s="218" t="s">
        <v>3362</v>
      </c>
      <c r="D2098" s="2" t="s">
        <v>586</v>
      </c>
      <c r="E2098" s="114">
        <v>0.05</v>
      </c>
      <c r="F2098" s="23">
        <f>H2097</f>
        <v>20691.833333333332</v>
      </c>
      <c r="G2098" s="104">
        <v>0</v>
      </c>
      <c r="H2098" s="252">
        <f t="shared" si="190"/>
        <v>1034.5916666666667</v>
      </c>
    </row>
    <row r="2099" spans="1:9" ht="13.5" thickBot="1" x14ac:dyDescent="0.25">
      <c r="A2099" s="938"/>
      <c r="B2099" s="528" t="s">
        <v>269</v>
      </c>
      <c r="C2099" s="88" t="s">
        <v>284</v>
      </c>
      <c r="D2099" s="109" t="s">
        <v>586</v>
      </c>
      <c r="E2099" s="200">
        <v>0.2</v>
      </c>
      <c r="F2099" s="110">
        <f>H2097</f>
        <v>20691.833333333332</v>
      </c>
      <c r="G2099" s="156">
        <v>0</v>
      </c>
      <c r="H2099" s="479">
        <f t="shared" si="190"/>
        <v>4138.3666666666668</v>
      </c>
    </row>
    <row r="2100" spans="1:9" s="42" customFormat="1" ht="30" x14ac:dyDescent="0.2">
      <c r="A2100" s="455" t="s">
        <v>3488</v>
      </c>
      <c r="B2100" s="529"/>
      <c r="C2100" s="388" t="s">
        <v>3951</v>
      </c>
      <c r="D2100" s="389" t="s">
        <v>3251</v>
      </c>
      <c r="E2100" s="390"/>
      <c r="F2100" s="391">
        <f>ROUND(SUM(H2100:H2105),0)</f>
        <v>41997</v>
      </c>
      <c r="G2100" s="392"/>
      <c r="H2100" s="393"/>
      <c r="I2100" s="738"/>
    </row>
    <row r="2101" spans="1:9" x14ac:dyDescent="0.2">
      <c r="A2101" s="936" t="s">
        <v>382</v>
      </c>
      <c r="B2101" s="241" t="s">
        <v>1385</v>
      </c>
      <c r="C2101" s="3" t="s">
        <v>3936</v>
      </c>
      <c r="D2101" s="2" t="s">
        <v>406</v>
      </c>
      <c r="E2101" s="196">
        <v>1.5</v>
      </c>
      <c r="F2101" s="23">
        <f>VLOOKUP(B2101,'BASE DE DATOS'!$A$5:$E$997,5,FALSE)</f>
        <v>3430</v>
      </c>
      <c r="G2101" s="104">
        <v>1.05</v>
      </c>
      <c r="H2101" s="252">
        <f t="shared" ref="H2101:H2105" si="191">IF(G2101&gt;0,(G2101*F2101*E2101),(F2101*E2101))</f>
        <v>5402.25</v>
      </c>
    </row>
    <row r="2102" spans="1:9" x14ac:dyDescent="0.2">
      <c r="A2102" s="936"/>
      <c r="B2102" s="241" t="s">
        <v>1833</v>
      </c>
      <c r="C2102" s="3" t="s">
        <v>3950</v>
      </c>
      <c r="D2102" s="2" t="s">
        <v>642</v>
      </c>
      <c r="E2102" s="114">
        <v>0.05</v>
      </c>
      <c r="F2102" s="23">
        <f>VLOOKUP(B2102,'BASE DE DATOS'!$A$5:$E$997,5,FALSE)</f>
        <v>107900</v>
      </c>
      <c r="G2102" s="104">
        <v>1.03</v>
      </c>
      <c r="H2102" s="252">
        <f t="shared" si="191"/>
        <v>5556.85</v>
      </c>
    </row>
    <row r="2103" spans="1:9" x14ac:dyDescent="0.2">
      <c r="A2103" s="776" t="s">
        <v>2555</v>
      </c>
      <c r="B2103" s="241" t="s">
        <v>644</v>
      </c>
      <c r="C2103" s="3" t="s">
        <v>645</v>
      </c>
      <c r="D2103" s="2" t="s">
        <v>585</v>
      </c>
      <c r="E2103" s="196">
        <v>1</v>
      </c>
      <c r="F2103" s="23">
        <f>VLOOKUP(B2103,'BASE DE DATOS'!$A$5:$E$997,5,FALSE)</f>
        <v>248302</v>
      </c>
      <c r="G2103" s="104">
        <f>1/10</f>
        <v>0.1</v>
      </c>
      <c r="H2103" s="252">
        <f t="shared" si="191"/>
        <v>24830.2</v>
      </c>
    </row>
    <row r="2104" spans="1:9" x14ac:dyDescent="0.2">
      <c r="A2104" s="937" t="s">
        <v>293</v>
      </c>
      <c r="B2104" s="241" t="s">
        <v>598</v>
      </c>
      <c r="C2104" s="218" t="s">
        <v>3362</v>
      </c>
      <c r="D2104" s="2" t="s">
        <v>586</v>
      </c>
      <c r="E2104" s="196">
        <v>0.05</v>
      </c>
      <c r="F2104" s="23">
        <f>H2103</f>
        <v>24830.2</v>
      </c>
      <c r="G2104" s="104">
        <v>0</v>
      </c>
      <c r="H2104" s="252">
        <f t="shared" si="191"/>
        <v>1241.5100000000002</v>
      </c>
    </row>
    <row r="2105" spans="1:9" ht="13.5" thickBot="1" x14ac:dyDescent="0.25">
      <c r="A2105" s="938"/>
      <c r="B2105" s="528" t="s">
        <v>269</v>
      </c>
      <c r="C2105" s="88" t="s">
        <v>284</v>
      </c>
      <c r="D2105" s="109" t="s">
        <v>586</v>
      </c>
      <c r="E2105" s="203">
        <v>0.2</v>
      </c>
      <c r="F2105" s="110">
        <f>H2103</f>
        <v>24830.2</v>
      </c>
      <c r="G2105" s="156">
        <v>0</v>
      </c>
      <c r="H2105" s="479">
        <f t="shared" si="191"/>
        <v>4966.0400000000009</v>
      </c>
    </row>
    <row r="2106" spans="1:9" s="42" customFormat="1" ht="30" x14ac:dyDescent="0.2">
      <c r="A2106" s="455" t="s">
        <v>3489</v>
      </c>
      <c r="B2106" s="529"/>
      <c r="C2106" s="388" t="s">
        <v>3953</v>
      </c>
      <c r="D2106" s="389" t="s">
        <v>3251</v>
      </c>
      <c r="E2106" s="390"/>
      <c r="F2106" s="391">
        <f>ROUND(SUM(H2106:H2112),0)</f>
        <v>41766</v>
      </c>
      <c r="G2106" s="392"/>
      <c r="H2106" s="393"/>
      <c r="I2106" s="738"/>
    </row>
    <row r="2107" spans="1:9" x14ac:dyDescent="0.2">
      <c r="A2107" s="936" t="s">
        <v>382</v>
      </c>
      <c r="B2107" s="241" t="s">
        <v>1833</v>
      </c>
      <c r="C2107" s="3" t="s">
        <v>3950</v>
      </c>
      <c r="D2107" s="2" t="s">
        <v>642</v>
      </c>
      <c r="E2107" s="114">
        <v>0.05</v>
      </c>
      <c r="F2107" s="23">
        <f>VLOOKUP(B2107,'BASE DE DATOS'!$A$5:$E$997,5,FALSE)</f>
        <v>107900</v>
      </c>
      <c r="G2107" s="104">
        <v>1.03</v>
      </c>
      <c r="H2107" s="252">
        <f t="shared" ref="H2107:H2112" si="192">IF(G2107&gt;0,(G2107*F2107*E2107),(F2107*E2107))</f>
        <v>5556.85</v>
      </c>
    </row>
    <row r="2108" spans="1:9" x14ac:dyDescent="0.2">
      <c r="A2108" s="936"/>
      <c r="B2108" s="241" t="s">
        <v>1698</v>
      </c>
      <c r="C2108" s="3" t="s">
        <v>180</v>
      </c>
      <c r="D2108" s="2" t="s">
        <v>406</v>
      </c>
      <c r="E2108" s="196">
        <v>0.5</v>
      </c>
      <c r="F2108" s="23">
        <f>VLOOKUP(B2108,'BASE DE DATOS'!$A$5:$E$997,5,FALSE)</f>
        <v>2780</v>
      </c>
      <c r="G2108" s="104">
        <v>1.05</v>
      </c>
      <c r="H2108" s="252">
        <f t="shared" si="192"/>
        <v>1459.5</v>
      </c>
    </row>
    <row r="2109" spans="1:9" ht="14.25" x14ac:dyDescent="0.2">
      <c r="A2109" s="775" t="s">
        <v>3252</v>
      </c>
      <c r="B2109" s="241" t="s">
        <v>721</v>
      </c>
      <c r="C2109" s="3" t="s">
        <v>478</v>
      </c>
      <c r="D2109" s="2" t="s">
        <v>288</v>
      </c>
      <c r="E2109" s="114">
        <v>1</v>
      </c>
      <c r="F2109" s="23">
        <f>F261</f>
        <v>6534</v>
      </c>
      <c r="G2109" s="104">
        <v>0</v>
      </c>
      <c r="H2109" s="252">
        <f t="shared" si="192"/>
        <v>6534</v>
      </c>
    </row>
    <row r="2110" spans="1:9" x14ac:dyDescent="0.2">
      <c r="A2110" s="776" t="s">
        <v>2555</v>
      </c>
      <c r="B2110" s="241" t="s">
        <v>644</v>
      </c>
      <c r="C2110" s="3" t="s">
        <v>645</v>
      </c>
      <c r="D2110" s="2" t="s">
        <v>585</v>
      </c>
      <c r="E2110" s="196">
        <v>1</v>
      </c>
      <c r="F2110" s="23">
        <f>VLOOKUP(B2110,'BASE DE DATOS'!$A$5:$E$997,5,FALSE)</f>
        <v>248302</v>
      </c>
      <c r="G2110" s="104">
        <f>1/11</f>
        <v>9.0909090909090912E-2</v>
      </c>
      <c r="H2110" s="252">
        <f t="shared" si="192"/>
        <v>22572.909090909092</v>
      </c>
    </row>
    <row r="2111" spans="1:9" x14ac:dyDescent="0.2">
      <c r="A2111" s="937" t="s">
        <v>293</v>
      </c>
      <c r="B2111" s="241" t="s">
        <v>598</v>
      </c>
      <c r="C2111" s="218" t="s">
        <v>3362</v>
      </c>
      <c r="D2111" s="2" t="s">
        <v>586</v>
      </c>
      <c r="E2111" s="196">
        <v>0.05</v>
      </c>
      <c r="F2111" s="23">
        <f>H2110</f>
        <v>22572.909090909092</v>
      </c>
      <c r="G2111" s="104">
        <v>0</v>
      </c>
      <c r="H2111" s="252">
        <f t="shared" si="192"/>
        <v>1128.6454545454546</v>
      </c>
    </row>
    <row r="2112" spans="1:9" ht="13.5" thickBot="1" x14ac:dyDescent="0.25">
      <c r="A2112" s="938"/>
      <c r="B2112" s="528" t="s">
        <v>269</v>
      </c>
      <c r="C2112" s="88" t="s">
        <v>284</v>
      </c>
      <c r="D2112" s="109" t="s">
        <v>586</v>
      </c>
      <c r="E2112" s="203">
        <v>0.2</v>
      </c>
      <c r="F2112" s="110">
        <f>H2110</f>
        <v>22572.909090909092</v>
      </c>
      <c r="G2112" s="156">
        <v>0</v>
      </c>
      <c r="H2112" s="479">
        <f t="shared" si="192"/>
        <v>4514.5818181818186</v>
      </c>
    </row>
    <row r="2113" spans="1:9" s="42" customFormat="1" ht="30" x14ac:dyDescent="0.2">
      <c r="A2113" s="455" t="s">
        <v>3490</v>
      </c>
      <c r="B2113" s="529"/>
      <c r="C2113" s="388" t="s">
        <v>3952</v>
      </c>
      <c r="D2113" s="389" t="s">
        <v>3251</v>
      </c>
      <c r="E2113" s="390"/>
      <c r="F2113" s="391">
        <f>ROUND(SUM(H2113:H2119),0)</f>
        <v>44588</v>
      </c>
      <c r="G2113" s="392"/>
      <c r="H2113" s="393"/>
      <c r="I2113" s="738"/>
    </row>
    <row r="2114" spans="1:9" x14ac:dyDescent="0.2">
      <c r="A2114" s="936" t="s">
        <v>382</v>
      </c>
      <c r="B2114" s="241" t="s">
        <v>1833</v>
      </c>
      <c r="C2114" s="3" t="s">
        <v>3950</v>
      </c>
      <c r="D2114" s="2" t="s">
        <v>642</v>
      </c>
      <c r="E2114" s="114">
        <v>0.05</v>
      </c>
      <c r="F2114" s="23">
        <f>VLOOKUP(B2114,'BASE DE DATOS'!$A$5:$E$997,5,FALSE)</f>
        <v>107900</v>
      </c>
      <c r="G2114" s="104">
        <v>1.03</v>
      </c>
      <c r="H2114" s="252">
        <f t="shared" ref="H2114:H2119" si="193">IF(G2114&gt;0,(G2114*F2114*E2114),(F2114*E2114))</f>
        <v>5556.85</v>
      </c>
    </row>
    <row r="2115" spans="1:9" x14ac:dyDescent="0.2">
      <c r="A2115" s="936"/>
      <c r="B2115" s="241" t="s">
        <v>1698</v>
      </c>
      <c r="C2115" s="3" t="s">
        <v>180</v>
      </c>
      <c r="D2115" s="2" t="s">
        <v>406</v>
      </c>
      <c r="E2115" s="196">
        <v>0.5</v>
      </c>
      <c r="F2115" s="23">
        <f>VLOOKUP(B2115,'BASE DE DATOS'!$A$5:$E$997,5,FALSE)</f>
        <v>2780</v>
      </c>
      <c r="G2115" s="104">
        <v>1.05</v>
      </c>
      <c r="H2115" s="252">
        <f t="shared" si="193"/>
        <v>1459.5</v>
      </c>
    </row>
    <row r="2116" spans="1:9" ht="14.25" x14ac:dyDescent="0.2">
      <c r="A2116" s="775" t="s">
        <v>3252</v>
      </c>
      <c r="B2116" s="241" t="s">
        <v>721</v>
      </c>
      <c r="C2116" s="3" t="s">
        <v>478</v>
      </c>
      <c r="D2116" s="2" t="s">
        <v>288</v>
      </c>
      <c r="E2116" s="114">
        <v>1</v>
      </c>
      <c r="F2116" s="23">
        <f>F261</f>
        <v>6534</v>
      </c>
      <c r="G2116" s="104">
        <v>0</v>
      </c>
      <c r="H2116" s="252">
        <f t="shared" si="193"/>
        <v>6534</v>
      </c>
    </row>
    <row r="2117" spans="1:9" x14ac:dyDescent="0.2">
      <c r="A2117" s="776" t="s">
        <v>2555</v>
      </c>
      <c r="B2117" s="241" t="s">
        <v>644</v>
      </c>
      <c r="C2117" s="3" t="s">
        <v>645</v>
      </c>
      <c r="D2117" s="2" t="s">
        <v>585</v>
      </c>
      <c r="E2117" s="196">
        <v>1</v>
      </c>
      <c r="F2117" s="23">
        <f>VLOOKUP(B2117,'BASE DE DATOS'!$A$5:$E$997,5,FALSE)</f>
        <v>248302</v>
      </c>
      <c r="G2117" s="104">
        <f>1/10</f>
        <v>0.1</v>
      </c>
      <c r="H2117" s="252">
        <f t="shared" si="193"/>
        <v>24830.2</v>
      </c>
    </row>
    <row r="2118" spans="1:9" x14ac:dyDescent="0.2">
      <c r="A2118" s="937" t="s">
        <v>293</v>
      </c>
      <c r="B2118" s="241" t="s">
        <v>598</v>
      </c>
      <c r="C2118" s="218" t="s">
        <v>3362</v>
      </c>
      <c r="D2118" s="2" t="s">
        <v>586</v>
      </c>
      <c r="E2118" s="196">
        <v>0.05</v>
      </c>
      <c r="F2118" s="23">
        <f>H2117</f>
        <v>24830.2</v>
      </c>
      <c r="G2118" s="104">
        <v>0</v>
      </c>
      <c r="H2118" s="252">
        <f t="shared" si="193"/>
        <v>1241.5100000000002</v>
      </c>
    </row>
    <row r="2119" spans="1:9" ht="13.5" thickBot="1" x14ac:dyDescent="0.25">
      <c r="A2119" s="938"/>
      <c r="B2119" s="528" t="s">
        <v>269</v>
      </c>
      <c r="C2119" s="88" t="s">
        <v>284</v>
      </c>
      <c r="D2119" s="109" t="s">
        <v>586</v>
      </c>
      <c r="E2119" s="203">
        <v>0.2</v>
      </c>
      <c r="F2119" s="110">
        <f>H2117</f>
        <v>24830.2</v>
      </c>
      <c r="G2119" s="156">
        <v>0</v>
      </c>
      <c r="H2119" s="479">
        <f t="shared" si="193"/>
        <v>4966.0400000000009</v>
      </c>
    </row>
    <row r="2120" spans="1:9" s="42" customFormat="1" ht="17.25" x14ac:dyDescent="0.2">
      <c r="A2120" s="455" t="s">
        <v>3954</v>
      </c>
      <c r="B2120" s="529"/>
      <c r="C2120" s="388" t="s">
        <v>470</v>
      </c>
      <c r="D2120" s="389" t="s">
        <v>3251</v>
      </c>
      <c r="E2120" s="395"/>
      <c r="F2120" s="391">
        <f>ROUND(SUM(H2120:H2124),0)</f>
        <v>41953</v>
      </c>
      <c r="G2120" s="392"/>
      <c r="H2120" s="393"/>
      <c r="I2120" s="738"/>
    </row>
    <row r="2121" spans="1:9" x14ac:dyDescent="0.2">
      <c r="A2121" s="82" t="s">
        <v>382</v>
      </c>
      <c r="B2121" s="241" t="s">
        <v>1717</v>
      </c>
      <c r="C2121" s="3" t="s">
        <v>4044</v>
      </c>
      <c r="D2121" s="2" t="s">
        <v>406</v>
      </c>
      <c r="E2121" s="114">
        <v>3.1579999999999999</v>
      </c>
      <c r="F2121" s="23">
        <f>VLOOKUP(B2121,'BASE DE DATOS'!$A$5:$E$997,5,FALSE)</f>
        <v>5264</v>
      </c>
      <c r="G2121" s="104">
        <v>1.03</v>
      </c>
      <c r="H2121" s="252">
        <f t="shared" ref="H2121:H2124" si="194">IF(G2121&gt;0,(G2121*F2121*E2121),(F2121*E2121))</f>
        <v>17122.423360000001</v>
      </c>
    </row>
    <row r="2122" spans="1:9" x14ac:dyDescent="0.2">
      <c r="A2122" s="81" t="s">
        <v>2555</v>
      </c>
      <c r="B2122" s="241" t="s">
        <v>644</v>
      </c>
      <c r="C2122" s="3" t="s">
        <v>645</v>
      </c>
      <c r="D2122" s="2" t="s">
        <v>585</v>
      </c>
      <c r="E2122" s="114">
        <v>1</v>
      </c>
      <c r="F2122" s="23">
        <f>VLOOKUP(B2122,'BASE DE DATOS'!$A$5:$E$997,5,FALSE)</f>
        <v>248302</v>
      </c>
      <c r="G2122" s="104">
        <f>1/12</f>
        <v>8.3333333333333329E-2</v>
      </c>
      <c r="H2122" s="252">
        <f t="shared" si="194"/>
        <v>20691.833333333332</v>
      </c>
    </row>
    <row r="2123" spans="1:9" x14ac:dyDescent="0.2">
      <c r="A2123" s="937" t="s">
        <v>293</v>
      </c>
      <c r="B2123" s="241" t="s">
        <v>598</v>
      </c>
      <c r="C2123" s="218" t="s">
        <v>3362</v>
      </c>
      <c r="D2123" s="2" t="s">
        <v>586</v>
      </c>
      <c r="E2123" s="114">
        <v>0.1</v>
      </c>
      <c r="F2123" s="23">
        <f>H2122</f>
        <v>20691.833333333332</v>
      </c>
      <c r="G2123" s="104">
        <v>0</v>
      </c>
      <c r="H2123" s="252">
        <f t="shared" si="194"/>
        <v>2069.1833333333334</v>
      </c>
    </row>
    <row r="2124" spans="1:9" ht="13.5" thickBot="1" x14ac:dyDescent="0.25">
      <c r="A2124" s="938"/>
      <c r="B2124" s="528" t="s">
        <v>269</v>
      </c>
      <c r="C2124" s="88" t="s">
        <v>284</v>
      </c>
      <c r="D2124" s="109" t="s">
        <v>586</v>
      </c>
      <c r="E2124" s="200">
        <v>0.1</v>
      </c>
      <c r="F2124" s="110">
        <f>H2122</f>
        <v>20691.833333333332</v>
      </c>
      <c r="G2124" s="156">
        <v>0</v>
      </c>
      <c r="H2124" s="479">
        <f t="shared" si="194"/>
        <v>2069.1833333333334</v>
      </c>
    </row>
    <row r="2125" spans="1:9" s="42" customFormat="1" ht="30" x14ac:dyDescent="0.2">
      <c r="A2125" s="455" t="s">
        <v>3955</v>
      </c>
      <c r="B2125" s="529"/>
      <c r="C2125" s="388" t="s">
        <v>509</v>
      </c>
      <c r="D2125" s="389" t="s">
        <v>405</v>
      </c>
      <c r="E2125" s="390"/>
      <c r="F2125" s="391">
        <f>ROUND(SUM(H2125:H2129),0)</f>
        <v>8645</v>
      </c>
      <c r="G2125" s="392"/>
      <c r="H2125" s="393"/>
      <c r="I2125" s="738"/>
    </row>
    <row r="2126" spans="1:9" x14ac:dyDescent="0.2">
      <c r="A2126" s="936" t="s">
        <v>382</v>
      </c>
      <c r="B2126" s="241" t="s">
        <v>1523</v>
      </c>
      <c r="C2126" s="3" t="s">
        <v>643</v>
      </c>
      <c r="D2126" s="2" t="s">
        <v>642</v>
      </c>
      <c r="E2126" s="196">
        <v>2.5000000000000001E-2</v>
      </c>
      <c r="F2126" s="23">
        <f>VLOOKUP(B2126,'BASE DE DATOS'!$A$5:$E$997,5,FALSE)</f>
        <v>108900</v>
      </c>
      <c r="G2126" s="104">
        <v>1.03</v>
      </c>
      <c r="H2126" s="252">
        <f t="shared" ref="H2126:H2129" si="195">IF(G2126&gt;0,(G2126*F2126*E2126),(F2126*E2126))</f>
        <v>2804.1750000000002</v>
      </c>
    </row>
    <row r="2127" spans="1:9" x14ac:dyDescent="0.2">
      <c r="A2127" s="936"/>
      <c r="B2127" s="241" t="s">
        <v>1698</v>
      </c>
      <c r="C2127" s="3" t="s">
        <v>180</v>
      </c>
      <c r="D2127" s="2" t="s">
        <v>406</v>
      </c>
      <c r="E2127" s="196">
        <v>0.01</v>
      </c>
      <c r="F2127" s="23">
        <f>VLOOKUP(B2127,'BASE DE DATOS'!$A$5:$E$997,5,FALSE)</f>
        <v>2780</v>
      </c>
      <c r="G2127" s="104">
        <v>1.05</v>
      </c>
      <c r="H2127" s="252">
        <f t="shared" si="195"/>
        <v>29.19</v>
      </c>
    </row>
    <row r="2128" spans="1:9" x14ac:dyDescent="0.2">
      <c r="A2128" s="81" t="s">
        <v>2555</v>
      </c>
      <c r="B2128" s="241" t="s">
        <v>644</v>
      </c>
      <c r="C2128" s="3" t="s">
        <v>645</v>
      </c>
      <c r="D2128" s="2" t="s">
        <v>585</v>
      </c>
      <c r="E2128" s="196">
        <v>1</v>
      </c>
      <c r="F2128" s="23">
        <f>VLOOKUP(B2128,'BASE DE DATOS'!$A$5:$E$997,5,FALSE)</f>
        <v>248302</v>
      </c>
      <c r="G2128" s="104">
        <f>1/47</f>
        <v>2.1276595744680851E-2</v>
      </c>
      <c r="H2128" s="252">
        <f t="shared" si="195"/>
        <v>5283.0212765957449</v>
      </c>
    </row>
    <row r="2129" spans="1:9" ht="13.5" thickBot="1" x14ac:dyDescent="0.25">
      <c r="A2129" s="94" t="s">
        <v>293</v>
      </c>
      <c r="B2129" s="528" t="s">
        <v>269</v>
      </c>
      <c r="C2129" s="108" t="s">
        <v>284</v>
      </c>
      <c r="D2129" s="109" t="s">
        <v>586</v>
      </c>
      <c r="E2129" s="203">
        <v>0.1</v>
      </c>
      <c r="F2129" s="110">
        <f>H2128</f>
        <v>5283.0212765957449</v>
      </c>
      <c r="G2129" s="156">
        <v>0</v>
      </c>
      <c r="H2129" s="479">
        <f t="shared" si="195"/>
        <v>528.30212765957447</v>
      </c>
    </row>
    <row r="2130" spans="1:9" s="42" customFormat="1" ht="17.25" x14ac:dyDescent="0.2">
      <c r="A2130" s="455" t="s">
        <v>3956</v>
      </c>
      <c r="B2130" s="529"/>
      <c r="C2130" s="388" t="s">
        <v>151</v>
      </c>
      <c r="D2130" s="389" t="s">
        <v>3251</v>
      </c>
      <c r="E2130" s="395"/>
      <c r="F2130" s="391">
        <f>ROUND(SUM(H2130:H2135),0)</f>
        <v>11489</v>
      </c>
      <c r="G2130" s="392"/>
      <c r="H2130" s="393"/>
      <c r="I2130" s="738"/>
    </row>
    <row r="2131" spans="1:9" x14ac:dyDescent="0.2">
      <c r="A2131" s="936" t="s">
        <v>382</v>
      </c>
      <c r="B2131" s="241" t="s">
        <v>1279</v>
      </c>
      <c r="C2131" s="3" t="s">
        <v>358</v>
      </c>
      <c r="D2131" s="2" t="s">
        <v>617</v>
      </c>
      <c r="E2131" s="114">
        <v>1</v>
      </c>
      <c r="F2131" s="23">
        <f>VLOOKUP(B2131,'BASE DE DATOS'!$A$5:$E$997,5,FALSE)</f>
        <v>19</v>
      </c>
      <c r="G2131" s="104">
        <v>0</v>
      </c>
      <c r="H2131" s="252">
        <f>IF(G2131&gt;0,(G2131*F2131*E2131),(F2131*E2131))</f>
        <v>19</v>
      </c>
    </row>
    <row r="2132" spans="1:9" x14ac:dyDescent="0.2">
      <c r="A2132" s="936"/>
      <c r="B2132" s="241" t="s">
        <v>1317</v>
      </c>
      <c r="C2132" s="3" t="s">
        <v>3803</v>
      </c>
      <c r="D2132" s="2" t="s">
        <v>406</v>
      </c>
      <c r="E2132" s="114">
        <v>3</v>
      </c>
      <c r="F2132" s="23">
        <f>VLOOKUP(B2132,'BASE DE DATOS'!$A$5:$E$997,5,FALSE)</f>
        <v>1990</v>
      </c>
      <c r="G2132" s="104">
        <v>1.03</v>
      </c>
      <c r="H2132" s="252">
        <f t="shared" ref="H2132:H2135" si="196">IF(G2132&gt;0,(G2132*F2132*E2132),(F2132*E2132))</f>
        <v>6149.1</v>
      </c>
    </row>
    <row r="2133" spans="1:9" x14ac:dyDescent="0.2">
      <c r="A2133" s="81" t="s">
        <v>2555</v>
      </c>
      <c r="B2133" s="241" t="s">
        <v>583</v>
      </c>
      <c r="C2133" s="3" t="s">
        <v>584</v>
      </c>
      <c r="D2133" s="2" t="s">
        <v>585</v>
      </c>
      <c r="E2133" s="114">
        <v>1</v>
      </c>
      <c r="F2133" s="23">
        <f>VLOOKUP(B2133,'BASE DE DATOS'!$A$5:$E$997,5,FALSE)</f>
        <v>88679</v>
      </c>
      <c r="G2133" s="104">
        <f>1/20</f>
        <v>0.05</v>
      </c>
      <c r="H2133" s="252">
        <f t="shared" si="196"/>
        <v>4433.95</v>
      </c>
    </row>
    <row r="2134" spans="1:9" x14ac:dyDescent="0.2">
      <c r="A2134" s="937" t="s">
        <v>293</v>
      </c>
      <c r="B2134" s="241" t="s">
        <v>598</v>
      </c>
      <c r="C2134" s="218" t="s">
        <v>3362</v>
      </c>
      <c r="D2134" s="2" t="s">
        <v>586</v>
      </c>
      <c r="E2134" s="114">
        <v>0.1</v>
      </c>
      <c r="F2134" s="23">
        <f>H2133</f>
        <v>4433.95</v>
      </c>
      <c r="G2134" s="104">
        <v>0</v>
      </c>
      <c r="H2134" s="252">
        <f t="shared" si="196"/>
        <v>443.39499999999998</v>
      </c>
    </row>
    <row r="2135" spans="1:9" ht="13.5" thickBot="1" x14ac:dyDescent="0.25">
      <c r="A2135" s="938"/>
      <c r="B2135" s="528" t="s">
        <v>269</v>
      </c>
      <c r="C2135" s="88" t="s">
        <v>284</v>
      </c>
      <c r="D2135" s="109" t="s">
        <v>586</v>
      </c>
      <c r="E2135" s="200">
        <v>0.1</v>
      </c>
      <c r="F2135" s="110">
        <f>H2133</f>
        <v>4433.95</v>
      </c>
      <c r="G2135" s="156">
        <v>0</v>
      </c>
      <c r="H2135" s="479">
        <f t="shared" si="196"/>
        <v>443.39499999999998</v>
      </c>
    </row>
    <row r="2136" spans="1:9" s="42" customFormat="1" ht="17.25" x14ac:dyDescent="0.2">
      <c r="A2136" s="455" t="s">
        <v>3957</v>
      </c>
      <c r="B2136" s="529"/>
      <c r="C2136" s="388" t="s">
        <v>418</v>
      </c>
      <c r="D2136" s="389" t="s">
        <v>3251</v>
      </c>
      <c r="E2136" s="395"/>
      <c r="F2136" s="391">
        <f>ROUND(SUM(H2136:H2141),0)</f>
        <v>9439</v>
      </c>
      <c r="G2136" s="392"/>
      <c r="H2136" s="393"/>
      <c r="I2136" s="738"/>
    </row>
    <row r="2137" spans="1:9" x14ac:dyDescent="0.2">
      <c r="A2137" s="936" t="s">
        <v>382</v>
      </c>
      <c r="B2137" s="241" t="s">
        <v>1279</v>
      </c>
      <c r="C2137" s="3" t="s">
        <v>358</v>
      </c>
      <c r="D2137" s="2" t="s">
        <v>617</v>
      </c>
      <c r="E2137" s="114">
        <v>1</v>
      </c>
      <c r="F2137" s="23">
        <f>VLOOKUP(B2137,'BASE DE DATOS'!$A$5:$E$997,5,FALSE)</f>
        <v>19</v>
      </c>
      <c r="G2137" s="104">
        <v>0</v>
      </c>
      <c r="H2137" s="252">
        <f>IF(G2137&gt;0,(G2137*F2137*E2137),(F2137*E2137))</f>
        <v>19</v>
      </c>
    </row>
    <row r="2138" spans="1:9" x14ac:dyDescent="0.2">
      <c r="A2138" s="936"/>
      <c r="B2138" s="241" t="s">
        <v>1317</v>
      </c>
      <c r="C2138" s="3" t="s">
        <v>3803</v>
      </c>
      <c r="D2138" s="2" t="s">
        <v>406</v>
      </c>
      <c r="E2138" s="114">
        <v>2</v>
      </c>
      <c r="F2138" s="23">
        <f>VLOOKUP(B2138,'BASE DE DATOS'!$A$5:$E$997,5,FALSE)</f>
        <v>1990</v>
      </c>
      <c r="G2138" s="104">
        <v>1.03</v>
      </c>
      <c r="H2138" s="252">
        <f t="shared" ref="H2138:H2141" si="197">IF(G2138&gt;0,(G2138*F2138*E2138),(F2138*E2138))</f>
        <v>4099.4000000000005</v>
      </c>
    </row>
    <row r="2139" spans="1:9" x14ac:dyDescent="0.2">
      <c r="A2139" s="81" t="s">
        <v>2555</v>
      </c>
      <c r="B2139" s="241" t="s">
        <v>583</v>
      </c>
      <c r="C2139" s="3" t="s">
        <v>584</v>
      </c>
      <c r="D2139" s="2" t="s">
        <v>585</v>
      </c>
      <c r="E2139" s="114">
        <v>1</v>
      </c>
      <c r="F2139" s="23">
        <f>VLOOKUP(B2139,'BASE DE DATOS'!$A$5:$E$997,5,FALSE)</f>
        <v>88679</v>
      </c>
      <c r="G2139" s="104">
        <f>1/20</f>
        <v>0.05</v>
      </c>
      <c r="H2139" s="252">
        <f t="shared" si="197"/>
        <v>4433.95</v>
      </c>
    </row>
    <row r="2140" spans="1:9" x14ac:dyDescent="0.2">
      <c r="A2140" s="937" t="s">
        <v>293</v>
      </c>
      <c r="B2140" s="241" t="s">
        <v>598</v>
      </c>
      <c r="C2140" s="218" t="s">
        <v>3362</v>
      </c>
      <c r="D2140" s="2" t="s">
        <v>586</v>
      </c>
      <c r="E2140" s="114">
        <v>0.1</v>
      </c>
      <c r="F2140" s="23">
        <f>H2139</f>
        <v>4433.95</v>
      </c>
      <c r="G2140" s="104">
        <v>0</v>
      </c>
      <c r="H2140" s="252">
        <f t="shared" si="197"/>
        <v>443.39499999999998</v>
      </c>
    </row>
    <row r="2141" spans="1:9" ht="13.5" thickBot="1" x14ac:dyDescent="0.25">
      <c r="A2141" s="938"/>
      <c r="B2141" s="528" t="s">
        <v>269</v>
      </c>
      <c r="C2141" s="88" t="s">
        <v>284</v>
      </c>
      <c r="D2141" s="109" t="s">
        <v>586</v>
      </c>
      <c r="E2141" s="200">
        <v>0.1</v>
      </c>
      <c r="F2141" s="110">
        <f>H2139</f>
        <v>4433.95</v>
      </c>
      <c r="G2141" s="156">
        <v>0</v>
      </c>
      <c r="H2141" s="479">
        <f t="shared" si="197"/>
        <v>443.39499999999998</v>
      </c>
    </row>
    <row r="2142" spans="1:9" s="42" customFormat="1" ht="17.25" x14ac:dyDescent="0.2">
      <c r="A2142" s="455" t="s">
        <v>3958</v>
      </c>
      <c r="B2142" s="529"/>
      <c r="C2142" s="388" t="s">
        <v>417</v>
      </c>
      <c r="D2142" s="389" t="s">
        <v>3251</v>
      </c>
      <c r="E2142" s="395"/>
      <c r="F2142" s="391">
        <f>ROUND(SUM(H2142:H2147),0)</f>
        <v>11213</v>
      </c>
      <c r="G2142" s="392"/>
      <c r="H2142" s="393"/>
      <c r="I2142" s="738"/>
    </row>
    <row r="2143" spans="1:9" x14ac:dyDescent="0.2">
      <c r="A2143" s="936" t="s">
        <v>382</v>
      </c>
      <c r="B2143" s="241" t="s">
        <v>1279</v>
      </c>
      <c r="C2143" s="3" t="s">
        <v>358</v>
      </c>
      <c r="D2143" s="2" t="s">
        <v>617</v>
      </c>
      <c r="E2143" s="114">
        <v>1</v>
      </c>
      <c r="F2143" s="23">
        <f>VLOOKUP(B2143,'BASE DE DATOS'!$A$5:$E$997,5,FALSE)</f>
        <v>19</v>
      </c>
      <c r="G2143" s="104">
        <v>0</v>
      </c>
      <c r="H2143" s="252">
        <f>IF(G2143&gt;0,(G2143*F2143*E2143),(F2143*E2143))</f>
        <v>19</v>
      </c>
    </row>
    <row r="2144" spans="1:9" x14ac:dyDescent="0.2">
      <c r="A2144" s="936"/>
      <c r="B2144" s="241" t="s">
        <v>1317</v>
      </c>
      <c r="C2144" s="3" t="s">
        <v>3803</v>
      </c>
      <c r="D2144" s="2" t="s">
        <v>406</v>
      </c>
      <c r="E2144" s="114">
        <v>2</v>
      </c>
      <c r="F2144" s="23">
        <f>VLOOKUP(B2144,'BASE DE DATOS'!$A$5:$E$997,5,FALSE)</f>
        <v>1990</v>
      </c>
      <c r="G2144" s="104">
        <v>1.03</v>
      </c>
      <c r="H2144" s="252">
        <f t="shared" ref="H2144:H2147" si="198">IF(G2144&gt;0,(G2144*F2144*E2144),(F2144*E2144))</f>
        <v>4099.4000000000005</v>
      </c>
    </row>
    <row r="2145" spans="1:9" x14ac:dyDescent="0.2">
      <c r="A2145" s="81" t="s">
        <v>2555</v>
      </c>
      <c r="B2145" s="241" t="s">
        <v>583</v>
      </c>
      <c r="C2145" s="3" t="s">
        <v>584</v>
      </c>
      <c r="D2145" s="2" t="s">
        <v>585</v>
      </c>
      <c r="E2145" s="114">
        <v>1</v>
      </c>
      <c r="F2145" s="23">
        <f>VLOOKUP(B2145,'BASE DE DATOS'!$A$5:$E$997,5,FALSE)</f>
        <v>88679</v>
      </c>
      <c r="G2145" s="104">
        <f>1/15</f>
        <v>6.6666666666666666E-2</v>
      </c>
      <c r="H2145" s="252">
        <f t="shared" si="198"/>
        <v>5911.9333333333334</v>
      </c>
    </row>
    <row r="2146" spans="1:9" x14ac:dyDescent="0.2">
      <c r="A2146" s="937" t="s">
        <v>293</v>
      </c>
      <c r="B2146" s="241" t="s">
        <v>598</v>
      </c>
      <c r="C2146" s="218" t="s">
        <v>3362</v>
      </c>
      <c r="D2146" s="2" t="s">
        <v>586</v>
      </c>
      <c r="E2146" s="114">
        <v>0.1</v>
      </c>
      <c r="F2146" s="23">
        <f>H2145</f>
        <v>5911.9333333333334</v>
      </c>
      <c r="G2146" s="104">
        <v>0</v>
      </c>
      <c r="H2146" s="252">
        <f t="shared" si="198"/>
        <v>591.19333333333338</v>
      </c>
    </row>
    <row r="2147" spans="1:9" ht="13.5" thickBot="1" x14ac:dyDescent="0.25">
      <c r="A2147" s="938"/>
      <c r="B2147" s="528" t="s">
        <v>269</v>
      </c>
      <c r="C2147" s="88" t="s">
        <v>284</v>
      </c>
      <c r="D2147" s="109" t="s">
        <v>586</v>
      </c>
      <c r="E2147" s="200">
        <v>0.1</v>
      </c>
      <c r="F2147" s="110">
        <f>H2145</f>
        <v>5911.9333333333334</v>
      </c>
      <c r="G2147" s="156">
        <v>0</v>
      </c>
      <c r="H2147" s="479">
        <f t="shared" si="198"/>
        <v>591.19333333333338</v>
      </c>
    </row>
    <row r="2148" spans="1:9" s="42" customFormat="1" ht="17.25" x14ac:dyDescent="0.2">
      <c r="A2148" s="67" t="s">
        <v>3959</v>
      </c>
      <c r="B2148" s="529"/>
      <c r="C2148" s="359" t="s">
        <v>115</v>
      </c>
      <c r="D2148" s="389" t="s">
        <v>3251</v>
      </c>
      <c r="E2148" s="395"/>
      <c r="F2148" s="391">
        <f>ROUND(SUM(H2148:H2150),0)</f>
        <v>35693</v>
      </c>
      <c r="G2148" s="392"/>
      <c r="H2148" s="393"/>
      <c r="I2148" s="738"/>
    </row>
    <row r="2149" spans="1:9" x14ac:dyDescent="0.2">
      <c r="A2149" s="81" t="s">
        <v>2555</v>
      </c>
      <c r="B2149" s="241" t="s">
        <v>331</v>
      </c>
      <c r="C2149" s="44" t="s">
        <v>332</v>
      </c>
      <c r="D2149" s="2" t="s">
        <v>585</v>
      </c>
      <c r="E2149" s="114">
        <v>1</v>
      </c>
      <c r="F2149" s="23">
        <f>VLOOKUP(B2149,'BASE DE DATOS'!$A$5:$E$997,5,FALSE)</f>
        <v>124151</v>
      </c>
      <c r="G2149" s="104">
        <f>1/4</f>
        <v>0.25</v>
      </c>
      <c r="H2149" s="252">
        <f t="shared" ref="H2149:H2155" si="199">IF(G2149&gt;0,(G2149*F2149*E2149),(F2149*E2149))</f>
        <v>31037.75</v>
      </c>
    </row>
    <row r="2150" spans="1:9" ht="13.5" thickBot="1" x14ac:dyDescent="0.25">
      <c r="A2150" s="94" t="s">
        <v>293</v>
      </c>
      <c r="B2150" s="528" t="s">
        <v>269</v>
      </c>
      <c r="C2150" s="108" t="s">
        <v>284</v>
      </c>
      <c r="D2150" s="109" t="s">
        <v>586</v>
      </c>
      <c r="E2150" s="200">
        <v>0.15</v>
      </c>
      <c r="F2150" s="110">
        <f>H2149</f>
        <v>31037.75</v>
      </c>
      <c r="G2150" s="156">
        <v>0</v>
      </c>
      <c r="H2150" s="479">
        <f t="shared" si="199"/>
        <v>4655.6624999999995</v>
      </c>
    </row>
    <row r="2151" spans="1:9" s="42" customFormat="1" ht="17.25" x14ac:dyDescent="0.2">
      <c r="A2151" s="67" t="s">
        <v>3960</v>
      </c>
      <c r="B2151" s="529"/>
      <c r="C2151" s="388" t="s">
        <v>537</v>
      </c>
      <c r="D2151" s="389" t="s">
        <v>3251</v>
      </c>
      <c r="E2151" s="390"/>
      <c r="F2151" s="391">
        <f>ROUND(SUM(H2152:H2155),0)</f>
        <v>84340</v>
      </c>
      <c r="G2151" s="392"/>
      <c r="H2151" s="393"/>
      <c r="I2151" s="738">
        <v>31</v>
      </c>
    </row>
    <row r="2152" spans="1:9" x14ac:dyDescent="0.2">
      <c r="A2152" s="936" t="s">
        <v>382</v>
      </c>
      <c r="B2152" s="241" t="s">
        <v>1509</v>
      </c>
      <c r="C2152" s="3" t="s">
        <v>3885</v>
      </c>
      <c r="D2152" s="2" t="s">
        <v>256</v>
      </c>
      <c r="E2152" s="196">
        <v>0.2</v>
      </c>
      <c r="F2152" s="23">
        <f>VLOOKUP(B2152,'BASE DE DATOS'!$A$5:$E$997,5,FALSE)</f>
        <v>144900</v>
      </c>
      <c r="G2152" s="104">
        <v>1.03</v>
      </c>
      <c r="H2152" s="252">
        <f t="shared" si="199"/>
        <v>29849.4</v>
      </c>
    </row>
    <row r="2153" spans="1:9" x14ac:dyDescent="0.2">
      <c r="A2153" s="936"/>
      <c r="B2153" s="241" t="s">
        <v>1901</v>
      </c>
      <c r="C2153" s="3" t="s">
        <v>1889</v>
      </c>
      <c r="D2153" s="2" t="s">
        <v>406</v>
      </c>
      <c r="E2153" s="196">
        <v>0.2</v>
      </c>
      <c r="F2153" s="23">
        <f>VLOOKUP(B2153,'BASE DE DATOS'!$A$5:$E$997,5,FALSE)</f>
        <v>229000</v>
      </c>
      <c r="G2153" s="104">
        <v>0</v>
      </c>
      <c r="H2153" s="252">
        <f t="shared" si="199"/>
        <v>45800</v>
      </c>
    </row>
    <row r="2154" spans="1:9" x14ac:dyDescent="0.2">
      <c r="A2154" s="81" t="s">
        <v>2555</v>
      </c>
      <c r="B2154" s="241" t="s">
        <v>644</v>
      </c>
      <c r="C2154" s="3" t="s">
        <v>645</v>
      </c>
      <c r="D2154" s="2" t="s">
        <v>585</v>
      </c>
      <c r="E2154" s="196">
        <v>1</v>
      </c>
      <c r="F2154" s="23">
        <f>VLOOKUP(B2154,'BASE DE DATOS'!$A$5:$E$997,5,FALSE)</f>
        <v>248302</v>
      </c>
      <c r="G2154" s="104">
        <f>1/30</f>
        <v>3.3333333333333333E-2</v>
      </c>
      <c r="H2154" s="252">
        <f t="shared" si="199"/>
        <v>8276.7333333333336</v>
      </c>
    </row>
    <row r="2155" spans="1:9" ht="13.5" thickBot="1" x14ac:dyDescent="0.25">
      <c r="A2155" s="94" t="s">
        <v>293</v>
      </c>
      <c r="B2155" s="528" t="s">
        <v>269</v>
      </c>
      <c r="C2155" s="108" t="s">
        <v>284</v>
      </c>
      <c r="D2155" s="109" t="s">
        <v>586</v>
      </c>
      <c r="E2155" s="203">
        <v>0.05</v>
      </c>
      <c r="F2155" s="110">
        <f>H2154</f>
        <v>8276.7333333333336</v>
      </c>
      <c r="G2155" s="156">
        <v>0</v>
      </c>
      <c r="H2155" s="252">
        <f t="shared" si="199"/>
        <v>413.8366666666667</v>
      </c>
    </row>
    <row r="2156" spans="1:9" ht="15.75" thickBot="1" x14ac:dyDescent="0.25">
      <c r="A2156" s="974" t="s">
        <v>702</v>
      </c>
      <c r="B2156" s="974"/>
      <c r="C2156" s="974"/>
      <c r="D2156" s="974"/>
      <c r="E2156" s="974"/>
      <c r="F2156" s="975"/>
      <c r="G2156" s="974"/>
      <c r="H2156" s="976"/>
    </row>
    <row r="2157" spans="1:9" ht="45.75" thickBot="1" x14ac:dyDescent="0.25">
      <c r="A2157" s="72" t="s">
        <v>2044</v>
      </c>
      <c r="B2157" s="72" t="s">
        <v>265</v>
      </c>
      <c r="C2157" s="72" t="s">
        <v>402</v>
      </c>
      <c r="D2157" s="354" t="s">
        <v>346</v>
      </c>
      <c r="E2157" s="192" t="s">
        <v>2173</v>
      </c>
      <c r="F2157" s="162" t="s">
        <v>3165</v>
      </c>
      <c r="G2157" s="290" t="s">
        <v>281</v>
      </c>
      <c r="H2157" s="74" t="s">
        <v>3164</v>
      </c>
    </row>
    <row r="2158" spans="1:9" ht="27.6" customHeight="1" thickBot="1" x14ac:dyDescent="0.25">
      <c r="A2158" s="992" t="s">
        <v>3367</v>
      </c>
      <c r="B2158" s="993"/>
      <c r="C2158" s="993"/>
      <c r="D2158" s="993"/>
      <c r="E2158" s="993"/>
      <c r="F2158" s="993"/>
      <c r="G2158" s="993"/>
      <c r="H2158" s="994"/>
    </row>
    <row r="2159" spans="1:9" s="42" customFormat="1" ht="17.25" x14ac:dyDescent="0.2">
      <c r="A2159" s="67" t="s">
        <v>2538</v>
      </c>
      <c r="B2159" s="529"/>
      <c r="C2159" s="388" t="s">
        <v>517</v>
      </c>
      <c r="D2159" s="389" t="s">
        <v>3251</v>
      </c>
      <c r="E2159" s="390"/>
      <c r="F2159" s="391">
        <f>ROUND(SUM(H2159:H2162),0)</f>
        <v>15395</v>
      </c>
      <c r="G2159" s="392"/>
      <c r="H2159" s="393"/>
      <c r="I2159" s="738"/>
    </row>
    <row r="2160" spans="1:9" x14ac:dyDescent="0.2">
      <c r="A2160" s="81" t="s">
        <v>2555</v>
      </c>
      <c r="B2160" s="241" t="s">
        <v>644</v>
      </c>
      <c r="C2160" s="3" t="s">
        <v>645</v>
      </c>
      <c r="D2160" s="2" t="s">
        <v>585</v>
      </c>
      <c r="E2160" s="114">
        <v>1</v>
      </c>
      <c r="F2160" s="23">
        <f>VLOOKUP(B2160,'BASE DE DATOS'!$A$5:$E$997,5,FALSE)</f>
        <v>248302</v>
      </c>
      <c r="G2160" s="104">
        <f>1/25</f>
        <v>0.04</v>
      </c>
      <c r="H2160" s="252">
        <f t="shared" ref="H2160:H2162" si="200">IF(G2160&gt;0,(G2160*F2160*E2160),(F2160*E2160))</f>
        <v>9932.08</v>
      </c>
    </row>
    <row r="2161" spans="1:9" x14ac:dyDescent="0.2">
      <c r="A2161" s="937" t="s">
        <v>293</v>
      </c>
      <c r="B2161" s="241" t="s">
        <v>598</v>
      </c>
      <c r="C2161" s="218" t="s">
        <v>3362</v>
      </c>
      <c r="D2161" s="2" t="s">
        <v>586</v>
      </c>
      <c r="E2161" s="114">
        <v>0.05</v>
      </c>
      <c r="F2161" s="23">
        <f>H2160</f>
        <v>9932.08</v>
      </c>
      <c r="G2161" s="104">
        <v>0</v>
      </c>
      <c r="H2161" s="252">
        <f t="shared" si="200"/>
        <v>496.60400000000004</v>
      </c>
    </row>
    <row r="2162" spans="1:9" ht="13.5" thickBot="1" x14ac:dyDescent="0.25">
      <c r="A2162" s="938"/>
      <c r="B2162" s="528" t="s">
        <v>269</v>
      </c>
      <c r="C2162" s="88" t="s">
        <v>284</v>
      </c>
      <c r="D2162" s="109" t="s">
        <v>586</v>
      </c>
      <c r="E2162" s="200">
        <v>0.5</v>
      </c>
      <c r="F2162" s="110">
        <f>H2160</f>
        <v>9932.08</v>
      </c>
      <c r="G2162" s="156">
        <v>0</v>
      </c>
      <c r="H2162" s="479">
        <f t="shared" si="200"/>
        <v>4966.04</v>
      </c>
    </row>
    <row r="2163" spans="1:9" s="42" customFormat="1" ht="45" x14ac:dyDescent="0.2">
      <c r="A2163" s="67" t="s">
        <v>2539</v>
      </c>
      <c r="B2163" s="529"/>
      <c r="C2163" s="388" t="s">
        <v>2055</v>
      </c>
      <c r="D2163" s="389" t="s">
        <v>3251</v>
      </c>
      <c r="E2163" s="390"/>
      <c r="F2163" s="391">
        <f>ROUND(SUM(H2163:H2166),0)</f>
        <v>12829</v>
      </c>
      <c r="G2163" s="392"/>
      <c r="H2163" s="393"/>
      <c r="I2163" s="738"/>
    </row>
    <row r="2164" spans="1:9" x14ac:dyDescent="0.2">
      <c r="A2164" s="81" t="s">
        <v>2555</v>
      </c>
      <c r="B2164" s="241" t="s">
        <v>644</v>
      </c>
      <c r="C2164" s="3" t="s">
        <v>645</v>
      </c>
      <c r="D2164" s="2" t="s">
        <v>585</v>
      </c>
      <c r="E2164" s="114">
        <v>1</v>
      </c>
      <c r="F2164" s="23">
        <f>VLOOKUP(B2164,'BASE DE DATOS'!$A$5:$E$997,5,FALSE)</f>
        <v>248302</v>
      </c>
      <c r="G2164" s="104">
        <f>1/30</f>
        <v>3.3333333333333333E-2</v>
      </c>
      <c r="H2164" s="252">
        <f t="shared" ref="H2164:H2166" si="201">IF(G2164&gt;0,(G2164*F2164*E2164),(F2164*E2164))</f>
        <v>8276.7333333333336</v>
      </c>
    </row>
    <row r="2165" spans="1:9" x14ac:dyDescent="0.2">
      <c r="A2165" s="944" t="s">
        <v>293</v>
      </c>
      <c r="B2165" s="241" t="s">
        <v>598</v>
      </c>
      <c r="C2165" s="218" t="s">
        <v>3362</v>
      </c>
      <c r="D2165" s="2" t="s">
        <v>586</v>
      </c>
      <c r="E2165" s="114">
        <v>0.05</v>
      </c>
      <c r="F2165" s="23">
        <f>H2164</f>
        <v>8276.7333333333336</v>
      </c>
      <c r="G2165" s="104">
        <v>0</v>
      </c>
      <c r="H2165" s="252">
        <f t="shared" si="201"/>
        <v>413.8366666666667</v>
      </c>
    </row>
    <row r="2166" spans="1:9" ht="13.5" thickBot="1" x14ac:dyDescent="0.25">
      <c r="A2166" s="945"/>
      <c r="B2166" s="528" t="s">
        <v>269</v>
      </c>
      <c r="C2166" s="88" t="s">
        <v>284</v>
      </c>
      <c r="D2166" s="109" t="s">
        <v>586</v>
      </c>
      <c r="E2166" s="200">
        <v>0.5</v>
      </c>
      <c r="F2166" s="110">
        <f>H2164</f>
        <v>8276.7333333333336</v>
      </c>
      <c r="G2166" s="156">
        <v>0</v>
      </c>
      <c r="H2166" s="479">
        <f t="shared" si="201"/>
        <v>4138.3666666666668</v>
      </c>
    </row>
    <row r="2167" spans="1:9" s="42" customFormat="1" ht="30" x14ac:dyDescent="0.2">
      <c r="A2167" s="67" t="s">
        <v>2540</v>
      </c>
      <c r="B2167" s="529"/>
      <c r="C2167" s="388" t="s">
        <v>3270</v>
      </c>
      <c r="D2167" s="389" t="s">
        <v>405</v>
      </c>
      <c r="E2167" s="390"/>
      <c r="F2167" s="391">
        <f>ROUND(SUM(H2167:H2170),0)</f>
        <v>12216</v>
      </c>
      <c r="G2167" s="392"/>
      <c r="H2167" s="393"/>
      <c r="I2167" s="738"/>
    </row>
    <row r="2168" spans="1:9" x14ac:dyDescent="0.2">
      <c r="A2168" s="81" t="s">
        <v>2555</v>
      </c>
      <c r="B2168" s="241" t="s">
        <v>607</v>
      </c>
      <c r="C2168" s="3" t="s">
        <v>608</v>
      </c>
      <c r="D2168" s="2" t="s">
        <v>585</v>
      </c>
      <c r="E2168" s="114">
        <v>1</v>
      </c>
      <c r="F2168" s="23">
        <f>VLOOKUP(B2168,'BASE DE DATOS'!$A$5:$E$997,5,FALSE)</f>
        <v>336981</v>
      </c>
      <c r="G2168" s="104">
        <f>1/40</f>
        <v>2.5000000000000001E-2</v>
      </c>
      <c r="H2168" s="252">
        <f t="shared" ref="H2168:H2170" si="202">IF(G2168&gt;0,(G2168*F2168*E2168),(F2168*E2168))</f>
        <v>8424.5249999999996</v>
      </c>
    </row>
    <row r="2169" spans="1:9" x14ac:dyDescent="0.2">
      <c r="A2169" s="944" t="s">
        <v>293</v>
      </c>
      <c r="B2169" s="241" t="s">
        <v>598</v>
      </c>
      <c r="C2169" s="218" t="s">
        <v>3362</v>
      </c>
      <c r="D2169" s="2" t="s">
        <v>586</v>
      </c>
      <c r="E2169" s="114">
        <v>0.05</v>
      </c>
      <c r="F2169" s="23">
        <f>H2168</f>
        <v>8424.5249999999996</v>
      </c>
      <c r="G2169" s="104">
        <v>0</v>
      </c>
      <c r="H2169" s="252">
        <f t="shared" si="202"/>
        <v>421.22624999999999</v>
      </c>
    </row>
    <row r="2170" spans="1:9" ht="13.5" thickBot="1" x14ac:dyDescent="0.25">
      <c r="A2170" s="945"/>
      <c r="B2170" s="528" t="s">
        <v>269</v>
      </c>
      <c r="C2170" s="88" t="s">
        <v>284</v>
      </c>
      <c r="D2170" s="109" t="s">
        <v>586</v>
      </c>
      <c r="E2170" s="200">
        <v>0.4</v>
      </c>
      <c r="F2170" s="110">
        <f>H2168</f>
        <v>8424.5249999999996</v>
      </c>
      <c r="G2170" s="156">
        <v>0</v>
      </c>
      <c r="H2170" s="479">
        <f t="shared" si="202"/>
        <v>3369.81</v>
      </c>
    </row>
    <row r="2171" spans="1:9" s="42" customFormat="1" ht="30" x14ac:dyDescent="0.2">
      <c r="A2171" s="67" t="s">
        <v>2541</v>
      </c>
      <c r="B2171" s="529"/>
      <c r="C2171" s="388" t="s">
        <v>3341</v>
      </c>
      <c r="D2171" s="389" t="s">
        <v>3251</v>
      </c>
      <c r="E2171" s="395"/>
      <c r="F2171" s="391">
        <f>ROUND(SUM(H2171:H2178),0)</f>
        <v>42759</v>
      </c>
      <c r="G2171" s="392"/>
      <c r="H2171" s="393"/>
      <c r="I2171" s="738"/>
    </row>
    <row r="2172" spans="1:9" x14ac:dyDescent="0.2">
      <c r="A2172" s="936" t="s">
        <v>382</v>
      </c>
      <c r="B2172" s="241" t="s">
        <v>1284</v>
      </c>
      <c r="C2172" s="3" t="s">
        <v>3117</v>
      </c>
      <c r="D2172" s="2" t="s">
        <v>411</v>
      </c>
      <c r="E2172" s="196">
        <v>1</v>
      </c>
      <c r="F2172" s="23">
        <f>VLOOKUP(B2172,'BASE DE DATOS'!$A$5:$E$997,5,FALSE)</f>
        <v>495</v>
      </c>
      <c r="G2172" s="104">
        <v>0</v>
      </c>
      <c r="H2172" s="252">
        <f>IF(G2172&gt;0,(G2172*F2172*E2172),(F2172*E2172))</f>
        <v>495</v>
      </c>
    </row>
    <row r="2173" spans="1:9" x14ac:dyDescent="0.2">
      <c r="A2173" s="936"/>
      <c r="B2173" s="241" t="s">
        <v>1402</v>
      </c>
      <c r="C2173" s="3" t="s">
        <v>153</v>
      </c>
      <c r="D2173" s="2" t="s">
        <v>411</v>
      </c>
      <c r="E2173" s="196">
        <v>2</v>
      </c>
      <c r="F2173" s="23">
        <f>VLOOKUP(B2173,'BASE DE DATOS'!$A$5:$E$997,5,FALSE)</f>
        <v>1100</v>
      </c>
      <c r="G2173" s="104">
        <v>0</v>
      </c>
      <c r="H2173" s="252">
        <f t="shared" ref="H2173:H2178" si="203">IF(G2173&gt;0,(G2173*F2173*E2173),(F2173*E2173))</f>
        <v>2200</v>
      </c>
    </row>
    <row r="2174" spans="1:9" x14ac:dyDescent="0.2">
      <c r="A2174" s="936"/>
      <c r="B2174" s="241" t="s">
        <v>1428</v>
      </c>
      <c r="C2174" s="3" t="s">
        <v>37</v>
      </c>
      <c r="D2174" s="2" t="s">
        <v>406</v>
      </c>
      <c r="E2174" s="196">
        <v>0.01</v>
      </c>
      <c r="F2174" s="23">
        <f>VLOOKUP(B2174,'BASE DE DATOS'!$A$5:$E$997,5,FALSE)</f>
        <v>8598</v>
      </c>
      <c r="G2174" s="104">
        <v>3</v>
      </c>
      <c r="H2174" s="252">
        <f t="shared" si="203"/>
        <v>257.94</v>
      </c>
    </row>
    <row r="2175" spans="1:9" ht="14.25" x14ac:dyDescent="0.2">
      <c r="A2175" s="936"/>
      <c r="B2175" s="241" t="s">
        <v>1713</v>
      </c>
      <c r="C2175" s="3" t="s">
        <v>1949</v>
      </c>
      <c r="D2175" s="2" t="s">
        <v>288</v>
      </c>
      <c r="E2175" s="196">
        <v>1.27</v>
      </c>
      <c r="F2175" s="23">
        <f>VLOOKUP(B2175,'BASE DE DATOS'!$A$5:$E$997,5,FALSE)</f>
        <v>21319</v>
      </c>
      <c r="G2175" s="104">
        <v>1.03</v>
      </c>
      <c r="H2175" s="252">
        <f>IF(G2175&gt;0,(G2175*F2175*E2175),(F2175*E2175))</f>
        <v>27887.383900000001</v>
      </c>
    </row>
    <row r="2176" spans="1:9" x14ac:dyDescent="0.2">
      <c r="A2176" s="81" t="s">
        <v>2555</v>
      </c>
      <c r="B2176" s="241" t="s">
        <v>644</v>
      </c>
      <c r="C2176" s="3" t="s">
        <v>645</v>
      </c>
      <c r="D2176" s="2" t="s">
        <v>585</v>
      </c>
      <c r="E2176" s="196">
        <v>1</v>
      </c>
      <c r="F2176" s="23">
        <f>VLOOKUP(B2176,'BASE DE DATOS'!$A$5:$E$997,5,FALSE)</f>
        <v>248302</v>
      </c>
      <c r="G2176" s="104">
        <f>1/25</f>
        <v>0.04</v>
      </c>
      <c r="H2176" s="252">
        <f t="shared" si="203"/>
        <v>9932.08</v>
      </c>
    </row>
    <row r="2177" spans="1:9" x14ac:dyDescent="0.2">
      <c r="A2177" s="937" t="s">
        <v>293</v>
      </c>
      <c r="B2177" s="241" t="s">
        <v>598</v>
      </c>
      <c r="C2177" s="218" t="s">
        <v>3362</v>
      </c>
      <c r="D2177" s="2" t="s">
        <v>586</v>
      </c>
      <c r="E2177" s="196">
        <v>0.1</v>
      </c>
      <c r="F2177" s="23">
        <f>H2176</f>
        <v>9932.08</v>
      </c>
      <c r="G2177" s="104">
        <v>0</v>
      </c>
      <c r="H2177" s="252">
        <f t="shared" si="203"/>
        <v>993.20800000000008</v>
      </c>
    </row>
    <row r="2178" spans="1:9" ht="13.5" thickBot="1" x14ac:dyDescent="0.25">
      <c r="A2178" s="938"/>
      <c r="B2178" s="528" t="s">
        <v>269</v>
      </c>
      <c r="C2178" s="88" t="s">
        <v>284</v>
      </c>
      <c r="D2178" s="109" t="s">
        <v>586</v>
      </c>
      <c r="E2178" s="203">
        <v>0.1</v>
      </c>
      <c r="F2178" s="110">
        <f>H2176</f>
        <v>9932.08</v>
      </c>
      <c r="G2178" s="156">
        <v>0</v>
      </c>
      <c r="H2178" s="479">
        <f t="shared" si="203"/>
        <v>993.20800000000008</v>
      </c>
    </row>
    <row r="2179" spans="1:9" s="42" customFormat="1" ht="30" x14ac:dyDescent="0.2">
      <c r="A2179" s="67" t="s">
        <v>2542</v>
      </c>
      <c r="B2179" s="529"/>
      <c r="C2179" s="388" t="s">
        <v>3346</v>
      </c>
      <c r="D2179" s="389" t="s">
        <v>3251</v>
      </c>
      <c r="E2179" s="395"/>
      <c r="F2179" s="391">
        <f>ROUND(SUM(H2179:H2186),0)</f>
        <v>48110</v>
      </c>
      <c r="G2179" s="392"/>
      <c r="H2179" s="393"/>
      <c r="I2179" s="738"/>
    </row>
    <row r="2180" spans="1:9" x14ac:dyDescent="0.2">
      <c r="A2180" s="939" t="s">
        <v>295</v>
      </c>
      <c r="B2180" s="241" t="s">
        <v>1284</v>
      </c>
      <c r="C2180" s="3" t="s">
        <v>3117</v>
      </c>
      <c r="D2180" s="2" t="s">
        <v>411</v>
      </c>
      <c r="E2180" s="114">
        <v>1.2</v>
      </c>
      <c r="F2180" s="23">
        <f>VLOOKUP(B2180,'BASE DE DATOS'!$A$5:$E$997,5,FALSE)</f>
        <v>495</v>
      </c>
      <c r="G2180" s="104">
        <v>0</v>
      </c>
      <c r="H2180" s="252">
        <f>IF(G2180&gt;0,(G2180*F2180*E2180),(F2180*E2180))</f>
        <v>594</v>
      </c>
    </row>
    <row r="2181" spans="1:9" x14ac:dyDescent="0.2">
      <c r="A2181" s="939"/>
      <c r="B2181" s="241" t="s">
        <v>1402</v>
      </c>
      <c r="C2181" s="3" t="s">
        <v>153</v>
      </c>
      <c r="D2181" s="2" t="s">
        <v>411</v>
      </c>
      <c r="E2181" s="114">
        <v>2</v>
      </c>
      <c r="F2181" s="23">
        <f>VLOOKUP(B2181,'BASE DE DATOS'!$A$5:$E$997,5,FALSE)</f>
        <v>1100</v>
      </c>
      <c r="G2181" s="104">
        <v>0</v>
      </c>
      <c r="H2181" s="252">
        <f t="shared" ref="H2181:H2186" si="204">IF(G2181&gt;0,(G2181*F2181*E2181),(F2181*E2181))</f>
        <v>2200</v>
      </c>
    </row>
    <row r="2182" spans="1:9" x14ac:dyDescent="0.2">
      <c r="A2182" s="939"/>
      <c r="B2182" s="241" t="s">
        <v>1428</v>
      </c>
      <c r="C2182" s="3" t="s">
        <v>37</v>
      </c>
      <c r="D2182" s="2" t="s">
        <v>406</v>
      </c>
      <c r="E2182" s="196">
        <v>0.25</v>
      </c>
      <c r="F2182" s="23">
        <f>VLOOKUP(B2182,'BASE DE DATOS'!$A$5:$E$997,5,FALSE)</f>
        <v>8598</v>
      </c>
      <c r="G2182" s="104">
        <v>1.03</v>
      </c>
      <c r="H2182" s="252">
        <f t="shared" si="204"/>
        <v>2213.9850000000001</v>
      </c>
    </row>
    <row r="2183" spans="1:9" ht="25.5" x14ac:dyDescent="0.2">
      <c r="A2183" s="939"/>
      <c r="B2183" s="241" t="s">
        <v>1593</v>
      </c>
      <c r="C2183" s="3" t="s">
        <v>3345</v>
      </c>
      <c r="D2183" s="2" t="s">
        <v>288</v>
      </c>
      <c r="E2183" s="196">
        <v>1.27</v>
      </c>
      <c r="F2183" s="23">
        <f>VLOOKUP(B2183,'BASE DE DATOS'!$A$5:$E$997,5,FALSE)</f>
        <v>18397</v>
      </c>
      <c r="G2183" s="104">
        <v>1.03</v>
      </c>
      <c r="H2183" s="252">
        <f>IF(G2183&gt;0,(G2183*F2183*E2183),(F2183*E2183))</f>
        <v>24065.115699999998</v>
      </c>
    </row>
    <row r="2184" spans="1:9" x14ac:dyDescent="0.2">
      <c r="A2184" s="81" t="s">
        <v>2555</v>
      </c>
      <c r="B2184" s="241" t="s">
        <v>644</v>
      </c>
      <c r="C2184" s="3" t="s">
        <v>645</v>
      </c>
      <c r="D2184" s="2" t="s">
        <v>585</v>
      </c>
      <c r="E2184" s="196">
        <v>1</v>
      </c>
      <c r="F2184" s="23">
        <f>VLOOKUP(B2184,'BASE DE DATOS'!$A$5:$E$997,5,FALSE)</f>
        <v>248302</v>
      </c>
      <c r="G2184" s="104">
        <f>1/15</f>
        <v>6.6666666666666666E-2</v>
      </c>
      <c r="H2184" s="252">
        <f t="shared" si="204"/>
        <v>16553.466666666667</v>
      </c>
    </row>
    <row r="2185" spans="1:9" x14ac:dyDescent="0.2">
      <c r="A2185" s="937" t="s">
        <v>293</v>
      </c>
      <c r="B2185" s="241" t="s">
        <v>598</v>
      </c>
      <c r="C2185" s="218" t="s">
        <v>3362</v>
      </c>
      <c r="D2185" s="2" t="s">
        <v>586</v>
      </c>
      <c r="E2185" s="196">
        <v>0.1</v>
      </c>
      <c r="F2185" s="23">
        <f>H2184</f>
        <v>16553.466666666667</v>
      </c>
      <c r="G2185" s="104">
        <v>0</v>
      </c>
      <c r="H2185" s="252">
        <f t="shared" si="204"/>
        <v>1655.3466666666668</v>
      </c>
    </row>
    <row r="2186" spans="1:9" ht="13.5" thickBot="1" x14ac:dyDescent="0.25">
      <c r="A2186" s="938"/>
      <c r="B2186" s="528" t="s">
        <v>269</v>
      </c>
      <c r="C2186" s="88" t="s">
        <v>284</v>
      </c>
      <c r="D2186" s="109" t="s">
        <v>586</v>
      </c>
      <c r="E2186" s="203">
        <v>0.05</v>
      </c>
      <c r="F2186" s="110">
        <f>H2184</f>
        <v>16553.466666666667</v>
      </c>
      <c r="G2186" s="156">
        <v>0</v>
      </c>
      <c r="H2186" s="479">
        <f t="shared" si="204"/>
        <v>827.6733333333334</v>
      </c>
    </row>
    <row r="2187" spans="1:9" s="42" customFormat="1" ht="30" x14ac:dyDescent="0.2">
      <c r="A2187" s="67" t="s">
        <v>2543</v>
      </c>
      <c r="B2187" s="529"/>
      <c r="C2187" s="388" t="s">
        <v>3342</v>
      </c>
      <c r="D2187" s="389" t="s">
        <v>3251</v>
      </c>
      <c r="E2187" s="395"/>
      <c r="F2187" s="391">
        <f>ROUND(SUM(H2187:H2194),0)</f>
        <v>102147</v>
      </c>
      <c r="G2187" s="392"/>
      <c r="H2187" s="393"/>
      <c r="I2187" s="738"/>
    </row>
    <row r="2188" spans="1:9" x14ac:dyDescent="0.2">
      <c r="A2188" s="936" t="s">
        <v>382</v>
      </c>
      <c r="B2188" s="241" t="s">
        <v>1284</v>
      </c>
      <c r="C2188" s="3" t="s">
        <v>3117</v>
      </c>
      <c r="D2188" s="2" t="s">
        <v>411</v>
      </c>
      <c r="E2188" s="196">
        <v>1</v>
      </c>
      <c r="F2188" s="23">
        <f>VLOOKUP(B2188,'BASE DE DATOS'!$A$5:$E$997,5,FALSE)</f>
        <v>495</v>
      </c>
      <c r="G2188" s="104">
        <v>0</v>
      </c>
      <c r="H2188" s="252">
        <f>IF(G2188&gt;0,(G2188*F2188*E2188),(F2188*E2188))</f>
        <v>495</v>
      </c>
    </row>
    <row r="2189" spans="1:9" x14ac:dyDescent="0.2">
      <c r="A2189" s="936"/>
      <c r="B2189" s="241" t="s">
        <v>1402</v>
      </c>
      <c r="C2189" s="3" t="s">
        <v>153</v>
      </c>
      <c r="D2189" s="2" t="s">
        <v>411</v>
      </c>
      <c r="E2189" s="196">
        <v>2</v>
      </c>
      <c r="F2189" s="23">
        <f>VLOOKUP(B2189,'BASE DE DATOS'!$A$5:$E$997,5,FALSE)</f>
        <v>1100</v>
      </c>
      <c r="G2189" s="104">
        <v>0</v>
      </c>
      <c r="H2189" s="252">
        <f t="shared" ref="H2189:H2194" si="205">IF(G2189&gt;0,(G2189*F2189*E2189),(F2189*E2189))</f>
        <v>2200</v>
      </c>
    </row>
    <row r="2190" spans="1:9" x14ac:dyDescent="0.2">
      <c r="A2190" s="936"/>
      <c r="B2190" s="241" t="s">
        <v>1428</v>
      </c>
      <c r="C2190" s="3" t="s">
        <v>37</v>
      </c>
      <c r="D2190" s="2" t="s">
        <v>406</v>
      </c>
      <c r="E2190" s="196">
        <v>0.01</v>
      </c>
      <c r="F2190" s="23">
        <f>VLOOKUP(B2190,'BASE DE DATOS'!$A$5:$E$997,5,FALSE)</f>
        <v>8598</v>
      </c>
      <c r="G2190" s="104">
        <v>0</v>
      </c>
      <c r="H2190" s="252">
        <f t="shared" si="205"/>
        <v>85.98</v>
      </c>
    </row>
    <row r="2191" spans="1:9" ht="14.25" x14ac:dyDescent="0.2">
      <c r="A2191" s="936"/>
      <c r="B2191" s="241" t="s">
        <v>1809</v>
      </c>
      <c r="C2191" s="3" t="s">
        <v>3142</v>
      </c>
      <c r="D2191" s="2" t="s">
        <v>288</v>
      </c>
      <c r="E2191" s="196">
        <v>1.27</v>
      </c>
      <c r="F2191" s="23">
        <f>VLOOKUP(B2191,'BASE DE DATOS'!$A$5:$E$997,5,FALSE)</f>
        <v>61409</v>
      </c>
      <c r="G2191" s="104">
        <v>1.03</v>
      </c>
      <c r="H2191" s="252">
        <f>IF(G2191&gt;0,(G2191*F2191*E2191),(F2191*E2191))</f>
        <v>80329.112900000007</v>
      </c>
    </row>
    <row r="2192" spans="1:9" x14ac:dyDescent="0.2">
      <c r="A2192" s="81" t="s">
        <v>2555</v>
      </c>
      <c r="B2192" s="241" t="s">
        <v>644</v>
      </c>
      <c r="C2192" s="3" t="s">
        <v>645</v>
      </c>
      <c r="D2192" s="2" t="s">
        <v>585</v>
      </c>
      <c r="E2192" s="196">
        <v>1</v>
      </c>
      <c r="F2192" s="23">
        <f>VLOOKUP(B2192,'BASE DE DATOS'!$A$5:$E$997,5,FALSE)</f>
        <v>248302</v>
      </c>
      <c r="G2192" s="104">
        <f>1/15</f>
        <v>6.6666666666666666E-2</v>
      </c>
      <c r="H2192" s="252">
        <f t="shared" si="205"/>
        <v>16553.466666666667</v>
      </c>
    </row>
    <row r="2193" spans="1:9" x14ac:dyDescent="0.2">
      <c r="A2193" s="937" t="s">
        <v>293</v>
      </c>
      <c r="B2193" s="241" t="s">
        <v>598</v>
      </c>
      <c r="C2193" s="218" t="s">
        <v>3362</v>
      </c>
      <c r="D2193" s="2" t="s">
        <v>586</v>
      </c>
      <c r="E2193" s="196">
        <v>0.1</v>
      </c>
      <c r="F2193" s="23">
        <f>H2192</f>
        <v>16553.466666666667</v>
      </c>
      <c r="G2193" s="104">
        <v>0</v>
      </c>
      <c r="H2193" s="252">
        <f t="shared" si="205"/>
        <v>1655.3466666666668</v>
      </c>
    </row>
    <row r="2194" spans="1:9" ht="13.5" thickBot="1" x14ac:dyDescent="0.25">
      <c r="A2194" s="938"/>
      <c r="B2194" s="528" t="s">
        <v>269</v>
      </c>
      <c r="C2194" s="88" t="s">
        <v>284</v>
      </c>
      <c r="D2194" s="109" t="s">
        <v>586</v>
      </c>
      <c r="E2194" s="203">
        <v>0.05</v>
      </c>
      <c r="F2194" s="110">
        <f>H2192</f>
        <v>16553.466666666667</v>
      </c>
      <c r="G2194" s="156">
        <v>0</v>
      </c>
      <c r="H2194" s="479">
        <f t="shared" si="205"/>
        <v>827.6733333333334</v>
      </c>
    </row>
    <row r="2195" spans="1:9" s="407" customFormat="1" ht="45" x14ac:dyDescent="0.2">
      <c r="A2195" s="67" t="s">
        <v>2544</v>
      </c>
      <c r="B2195" s="529"/>
      <c r="C2195" s="388" t="s">
        <v>3340</v>
      </c>
      <c r="D2195" s="389" t="s">
        <v>3251</v>
      </c>
      <c r="E2195" s="395"/>
      <c r="F2195" s="391">
        <f>ROUND(SUM(H2195:H2205),0)</f>
        <v>265030</v>
      </c>
      <c r="G2195" s="392"/>
      <c r="H2195" s="393"/>
      <c r="I2195" s="33"/>
    </row>
    <row r="2196" spans="1:9" x14ac:dyDescent="0.2">
      <c r="A2196" s="939" t="s">
        <v>295</v>
      </c>
      <c r="B2196" s="241" t="s">
        <v>1367</v>
      </c>
      <c r="C2196" s="3" t="s">
        <v>592</v>
      </c>
      <c r="D2196" s="2" t="s">
        <v>405</v>
      </c>
      <c r="E2196" s="114">
        <v>2</v>
      </c>
      <c r="F2196" s="23">
        <f>VLOOKUP(B2196,'BASE DE DATOS'!$A$5:$E$997,5,FALSE)</f>
        <v>6534</v>
      </c>
      <c r="G2196" s="104">
        <v>1.03</v>
      </c>
      <c r="H2196" s="252">
        <f t="shared" ref="H2196:H2205" si="206">IF(G2196&gt;0,(G2196*F2196*E2196),(F2196*E2196))</f>
        <v>13460.04</v>
      </c>
    </row>
    <row r="2197" spans="1:9" x14ac:dyDescent="0.2">
      <c r="A2197" s="939"/>
      <c r="B2197" s="241" t="s">
        <v>1383</v>
      </c>
      <c r="C2197" s="3" t="s">
        <v>602</v>
      </c>
      <c r="D2197" s="2" t="s">
        <v>411</v>
      </c>
      <c r="E2197" s="114">
        <v>1</v>
      </c>
      <c r="F2197" s="23">
        <f>VLOOKUP(B2197,'BASE DE DATOS'!$A$5:$E$997,5,FALSE)</f>
        <v>7000</v>
      </c>
      <c r="G2197" s="104">
        <v>1.03</v>
      </c>
      <c r="H2197" s="252">
        <f>IF(G2197&gt;0,(G2197*F2197*E2197),(F2197*E2197))</f>
        <v>7210</v>
      </c>
    </row>
    <row r="2198" spans="1:9" ht="14.25" x14ac:dyDescent="0.2">
      <c r="A2198" s="939"/>
      <c r="B2198" s="241" t="s">
        <v>1474</v>
      </c>
      <c r="C2198" s="3" t="s">
        <v>673</v>
      </c>
      <c r="D2198" s="2" t="s">
        <v>288</v>
      </c>
      <c r="E2198" s="114">
        <v>1</v>
      </c>
      <c r="F2198" s="23">
        <f>VLOOKUP(B2198,'BASE DE DATOS'!$A$5:$E$997,5,FALSE)</f>
        <v>2276</v>
      </c>
      <c r="G2198" s="104">
        <v>1.03</v>
      </c>
      <c r="H2198" s="252">
        <f>IF(G2198&gt;0,(G2198*F2198*E2198),(F2198*E2198))</f>
        <v>2344.2800000000002</v>
      </c>
    </row>
    <row r="2199" spans="1:9" ht="14.25" x14ac:dyDescent="0.2">
      <c r="A2199" s="939"/>
      <c r="B2199" s="241" t="s">
        <v>1481</v>
      </c>
      <c r="C2199" s="3" t="s">
        <v>1962</v>
      </c>
      <c r="D2199" s="2" t="s">
        <v>288</v>
      </c>
      <c r="E2199" s="114">
        <v>1</v>
      </c>
      <c r="F2199" s="23">
        <f>VLOOKUP(B2199,'BASE DE DATOS'!$A$5:$E$997,5,FALSE)</f>
        <v>12990</v>
      </c>
      <c r="G2199" s="104">
        <v>1.03</v>
      </c>
      <c r="H2199" s="252">
        <f>IF(G2199&gt;0,(G2199*F2199*E2199),(F2199*E2199))</f>
        <v>13379.7</v>
      </c>
    </row>
    <row r="2200" spans="1:9" x14ac:dyDescent="0.2">
      <c r="A2200" s="939"/>
      <c r="B2200" s="241" t="s">
        <v>1558</v>
      </c>
      <c r="C2200" s="3" t="s">
        <v>2023</v>
      </c>
      <c r="D2200" s="2" t="s">
        <v>590</v>
      </c>
      <c r="E2200" s="114">
        <v>0.15</v>
      </c>
      <c r="F2200" s="23">
        <f>VLOOKUP(B2200,'BASE DE DATOS'!$A$5:$E$997,5,FALSE)</f>
        <v>5650</v>
      </c>
      <c r="G2200" s="104">
        <v>0</v>
      </c>
      <c r="H2200" s="252">
        <f t="shared" si="206"/>
        <v>847.5</v>
      </c>
    </row>
    <row r="2201" spans="1:9" ht="13.15" customHeight="1" x14ac:dyDescent="0.2">
      <c r="A2201" s="939"/>
      <c r="B2201" s="241" t="s">
        <v>1592</v>
      </c>
      <c r="C2201" s="3" t="s">
        <v>189</v>
      </c>
      <c r="D2201" s="2" t="s">
        <v>411</v>
      </c>
      <c r="E2201" s="114">
        <v>33</v>
      </c>
      <c r="F2201" s="23">
        <f>VLOOKUP(B2201,'BASE DE DATOS'!$A$5:$E$997,5,FALSE)</f>
        <v>4900</v>
      </c>
      <c r="G2201" s="104">
        <v>1.05</v>
      </c>
      <c r="H2201" s="252">
        <f>IF(G2201&gt;0,(G2201*F2201*E2201),(F2201*E2201))</f>
        <v>169785</v>
      </c>
    </row>
    <row r="2202" spans="1:9" ht="14.25" x14ac:dyDescent="0.2">
      <c r="A2202" s="64" t="s">
        <v>3252</v>
      </c>
      <c r="B2202" s="241" t="s">
        <v>820</v>
      </c>
      <c r="C2202" s="3" t="s">
        <v>2100</v>
      </c>
      <c r="D2202" s="2" t="s">
        <v>285</v>
      </c>
      <c r="E2202" s="114">
        <f>12*0.03*0.24*0.05</f>
        <v>4.3200000000000001E-3</v>
      </c>
      <c r="F2202" s="23">
        <f>F108</f>
        <v>843974</v>
      </c>
      <c r="G2202" s="104">
        <v>1.05</v>
      </c>
      <c r="H2202" s="252">
        <f t="shared" si="206"/>
        <v>3828.2660640000004</v>
      </c>
    </row>
    <row r="2203" spans="1:9" x14ac:dyDescent="0.2">
      <c r="A2203" s="81" t="s">
        <v>2555</v>
      </c>
      <c r="B2203" s="244" t="s">
        <v>644</v>
      </c>
      <c r="C2203" s="20" t="s">
        <v>645</v>
      </c>
      <c r="D2203" s="19" t="s">
        <v>585</v>
      </c>
      <c r="E2203" s="194">
        <v>1</v>
      </c>
      <c r="F2203" s="23">
        <f>VLOOKUP(B2203,'BASE DE DATOS'!$A$5:$E$997,5,FALSE)</f>
        <v>248302</v>
      </c>
      <c r="G2203" s="58">
        <f>1/5.5</f>
        <v>0.18181818181818182</v>
      </c>
      <c r="H2203" s="252">
        <f t="shared" si="206"/>
        <v>45145.818181818184</v>
      </c>
    </row>
    <row r="2204" spans="1:9" x14ac:dyDescent="0.2">
      <c r="A2204" s="937" t="s">
        <v>293</v>
      </c>
      <c r="B2204" s="241" t="s">
        <v>598</v>
      </c>
      <c r="C2204" s="218" t="s">
        <v>3362</v>
      </c>
      <c r="D2204" s="2" t="s">
        <v>586</v>
      </c>
      <c r="E2204" s="114">
        <v>0.1</v>
      </c>
      <c r="F2204" s="23">
        <f>H2203</f>
        <v>45145.818181818184</v>
      </c>
      <c r="G2204" s="104">
        <v>0</v>
      </c>
      <c r="H2204" s="252">
        <f t="shared" si="206"/>
        <v>4514.5818181818186</v>
      </c>
    </row>
    <row r="2205" spans="1:9" ht="13.5" thickBot="1" x14ac:dyDescent="0.25">
      <c r="A2205" s="938"/>
      <c r="B2205" s="528" t="s">
        <v>269</v>
      </c>
      <c r="C2205" s="88" t="s">
        <v>284</v>
      </c>
      <c r="D2205" s="109" t="s">
        <v>586</v>
      </c>
      <c r="E2205" s="200">
        <v>0.1</v>
      </c>
      <c r="F2205" s="110">
        <f>H2203</f>
        <v>45145.818181818184</v>
      </c>
      <c r="G2205" s="156">
        <v>0</v>
      </c>
      <c r="H2205" s="479">
        <f t="shared" si="206"/>
        <v>4514.5818181818186</v>
      </c>
    </row>
    <row r="2206" spans="1:9" s="42" customFormat="1" ht="30" x14ac:dyDescent="0.2">
      <c r="A2206" s="67" t="s">
        <v>2545</v>
      </c>
      <c r="B2206" s="529"/>
      <c r="C2206" s="388" t="s">
        <v>3344</v>
      </c>
      <c r="D2206" s="389" t="s">
        <v>3251</v>
      </c>
      <c r="E2206" s="395"/>
      <c r="F2206" s="391">
        <f>ROUND(SUM(H2206:H2213),0)</f>
        <v>36963</v>
      </c>
      <c r="G2206" s="392"/>
      <c r="H2206" s="393"/>
      <c r="I2206" s="738"/>
    </row>
    <row r="2207" spans="1:9" x14ac:dyDescent="0.2">
      <c r="A2207" s="936" t="s">
        <v>382</v>
      </c>
      <c r="B2207" s="241" t="s">
        <v>1284</v>
      </c>
      <c r="C2207" s="3" t="s">
        <v>3117</v>
      </c>
      <c r="D2207" s="2" t="s">
        <v>411</v>
      </c>
      <c r="E2207" s="196">
        <v>2</v>
      </c>
      <c r="F2207" s="23">
        <f>VLOOKUP(B2207,'BASE DE DATOS'!$A$5:$E$997,5,FALSE)</f>
        <v>495</v>
      </c>
      <c r="G2207" s="104">
        <v>0</v>
      </c>
      <c r="H2207" s="252">
        <f>IF(G2207&gt;0,(G2207*F2207*E2207),(F2207*E2207))</f>
        <v>990</v>
      </c>
    </row>
    <row r="2208" spans="1:9" x14ac:dyDescent="0.2">
      <c r="A2208" s="936"/>
      <c r="B2208" s="241" t="s">
        <v>1367</v>
      </c>
      <c r="C2208" s="3" t="s">
        <v>592</v>
      </c>
      <c r="D2208" s="2" t="s">
        <v>405</v>
      </c>
      <c r="E2208" s="114">
        <v>1.6</v>
      </c>
      <c r="F2208" s="23">
        <f>VLOOKUP(B2208,'BASE DE DATOS'!$A$5:$E$997,5,FALSE)</f>
        <v>6534</v>
      </c>
      <c r="G2208" s="104">
        <v>1.03</v>
      </c>
      <c r="H2208" s="252">
        <f t="shared" ref="H2208:H2213" si="207">IF(G2208&gt;0,(G2208*F2208*E2208),(F2208*E2208))</f>
        <v>10768.032000000001</v>
      </c>
    </row>
    <row r="2209" spans="1:9" x14ac:dyDescent="0.2">
      <c r="A2209" s="936"/>
      <c r="B2209" s="241" t="s">
        <v>1428</v>
      </c>
      <c r="C2209" s="3" t="s">
        <v>37</v>
      </c>
      <c r="D2209" s="2" t="s">
        <v>406</v>
      </c>
      <c r="E2209" s="196">
        <v>0.01</v>
      </c>
      <c r="F2209" s="23">
        <f>VLOOKUP(B2209,'BASE DE DATOS'!$A$5:$E$997,5,FALSE)</f>
        <v>8598</v>
      </c>
      <c r="G2209" s="104">
        <v>1.03</v>
      </c>
      <c r="H2209" s="252">
        <f t="shared" si="207"/>
        <v>88.559400000000011</v>
      </c>
    </row>
    <row r="2210" spans="1:9" ht="14.25" x14ac:dyDescent="0.2">
      <c r="A2210" s="936"/>
      <c r="B2210" s="241" t="s">
        <v>1787</v>
      </c>
      <c r="C2210" s="3" t="s">
        <v>3343</v>
      </c>
      <c r="D2210" s="2" t="s">
        <v>288</v>
      </c>
      <c r="E2210" s="196">
        <v>1.1000000000000001</v>
      </c>
      <c r="F2210" s="23">
        <f>VLOOKUP(B2210,'BASE DE DATOS'!$A$5:$E$997,5,FALSE)</f>
        <v>13767</v>
      </c>
      <c r="G2210" s="104">
        <v>1.03</v>
      </c>
      <c r="H2210" s="252">
        <f>IF(G2210&gt;0,(G2210*F2210*E2210),(F2210*E2210))</f>
        <v>15598.011000000002</v>
      </c>
    </row>
    <row r="2211" spans="1:9" x14ac:dyDescent="0.2">
      <c r="A2211" s="81" t="s">
        <v>2555</v>
      </c>
      <c r="B2211" s="241" t="s">
        <v>644</v>
      </c>
      <c r="C2211" s="3" t="s">
        <v>645</v>
      </c>
      <c r="D2211" s="2" t="s">
        <v>585</v>
      </c>
      <c r="E2211" s="196">
        <v>1</v>
      </c>
      <c r="F2211" s="23">
        <f>VLOOKUP(B2211,'BASE DE DATOS'!$A$5:$E$997,5,FALSE)</f>
        <v>248302</v>
      </c>
      <c r="G2211" s="104">
        <f>1/30</f>
        <v>3.3333333333333333E-2</v>
      </c>
      <c r="H2211" s="252">
        <f t="shared" si="207"/>
        <v>8276.7333333333336</v>
      </c>
    </row>
    <row r="2212" spans="1:9" x14ac:dyDescent="0.2">
      <c r="A2212" s="937" t="s">
        <v>293</v>
      </c>
      <c r="B2212" s="241" t="s">
        <v>598</v>
      </c>
      <c r="C2212" s="218" t="s">
        <v>3362</v>
      </c>
      <c r="D2212" s="2" t="s">
        <v>586</v>
      </c>
      <c r="E2212" s="196">
        <v>0.1</v>
      </c>
      <c r="F2212" s="23">
        <f>H2211</f>
        <v>8276.7333333333336</v>
      </c>
      <c r="G2212" s="104">
        <v>0</v>
      </c>
      <c r="H2212" s="252">
        <f t="shared" si="207"/>
        <v>827.6733333333334</v>
      </c>
    </row>
    <row r="2213" spans="1:9" ht="13.5" thickBot="1" x14ac:dyDescent="0.25">
      <c r="A2213" s="938"/>
      <c r="B2213" s="528" t="s">
        <v>269</v>
      </c>
      <c r="C2213" s="88" t="s">
        <v>284</v>
      </c>
      <c r="D2213" s="109" t="s">
        <v>586</v>
      </c>
      <c r="E2213" s="200">
        <v>0.05</v>
      </c>
      <c r="F2213" s="110">
        <f>H2211</f>
        <v>8276.7333333333336</v>
      </c>
      <c r="G2213" s="156">
        <v>0</v>
      </c>
      <c r="H2213" s="479">
        <f t="shared" si="207"/>
        <v>413.8366666666667</v>
      </c>
    </row>
    <row r="2214" spans="1:9" s="42" customFormat="1" ht="17.25" x14ac:dyDescent="0.2">
      <c r="A2214" s="67" t="s">
        <v>2546</v>
      </c>
      <c r="B2214" s="565"/>
      <c r="C2214" s="403" t="s">
        <v>3352</v>
      </c>
      <c r="D2214" s="389" t="s">
        <v>3251</v>
      </c>
      <c r="E2214" s="436"/>
      <c r="F2214" s="391">
        <f>ROUND(SUM(H2214:H2220),0)</f>
        <v>108495</v>
      </c>
      <c r="G2214" s="437"/>
      <c r="H2214" s="303"/>
      <c r="I2214" s="738"/>
    </row>
    <row r="2215" spans="1:9" x14ac:dyDescent="0.2">
      <c r="A2215" s="936" t="s">
        <v>382</v>
      </c>
      <c r="B2215" s="241" t="s">
        <v>1361</v>
      </c>
      <c r="C2215" s="44" t="s">
        <v>106</v>
      </c>
      <c r="D2215" s="136" t="s">
        <v>411</v>
      </c>
      <c r="E2215" s="114">
        <v>2</v>
      </c>
      <c r="F2215" s="23">
        <f>VLOOKUP(B2215,'BASE DE DATOS'!$A$5:$E$997,5,FALSE)</f>
        <v>379</v>
      </c>
      <c r="G2215" s="104">
        <v>0</v>
      </c>
      <c r="H2215" s="252">
        <f>IF(G2215&gt;0,(G2215*F2215*E2215),(F2215*E2215))</f>
        <v>758</v>
      </c>
    </row>
    <row r="2216" spans="1:9" s="33" customFormat="1" ht="14.25" x14ac:dyDescent="0.2">
      <c r="A2216" s="936"/>
      <c r="B2216" s="241" t="s">
        <v>1594</v>
      </c>
      <c r="C2216" s="44" t="s">
        <v>2467</v>
      </c>
      <c r="D2216" s="2" t="s">
        <v>288</v>
      </c>
      <c r="E2216" s="196">
        <v>1.1000000000000001</v>
      </c>
      <c r="F2216" s="23">
        <f>VLOOKUP(B2216,'BASE DE DATOS'!$A$5:$E$997,5,FALSE)</f>
        <v>58394</v>
      </c>
      <c r="G2216" s="104">
        <v>1.05</v>
      </c>
      <c r="H2216" s="252">
        <f t="shared" ref="H2216:H2220" si="208">IF(G2216&gt;0,(G2216*F2216*E2216),(F2216*E2216))</f>
        <v>67445.070000000007</v>
      </c>
    </row>
    <row r="2217" spans="1:9" x14ac:dyDescent="0.2">
      <c r="A2217" s="936"/>
      <c r="B2217" s="241" t="s">
        <v>1606</v>
      </c>
      <c r="C2217" s="44" t="s">
        <v>1975</v>
      </c>
      <c r="D2217" s="136" t="s">
        <v>411</v>
      </c>
      <c r="E2217" s="114">
        <v>4</v>
      </c>
      <c r="F2217" s="23">
        <f>VLOOKUP(B2217,'BASE DE DATOS'!$A$5:$E$997,5,FALSE)</f>
        <v>8033.333333333333</v>
      </c>
      <c r="G2217" s="104">
        <v>0</v>
      </c>
      <c r="H2217" s="252">
        <f t="shared" si="208"/>
        <v>32133.333333333332</v>
      </c>
    </row>
    <row r="2218" spans="1:9" x14ac:dyDescent="0.2">
      <c r="A2218" s="81" t="s">
        <v>2555</v>
      </c>
      <c r="B2218" s="241" t="s">
        <v>644</v>
      </c>
      <c r="C2218" s="3" t="s">
        <v>645</v>
      </c>
      <c r="D2218" s="2" t="s">
        <v>585</v>
      </c>
      <c r="E2218" s="196">
        <v>1</v>
      </c>
      <c r="F2218" s="23">
        <f>VLOOKUP(B2218,'BASE DE DATOS'!$A$5:$E$997,5,FALSE)</f>
        <v>248302</v>
      </c>
      <c r="G2218" s="104">
        <f>1/35</f>
        <v>2.8571428571428571E-2</v>
      </c>
      <c r="H2218" s="252">
        <f t="shared" si="208"/>
        <v>7094.3428571428567</v>
      </c>
    </row>
    <row r="2219" spans="1:9" x14ac:dyDescent="0.2">
      <c r="A2219" s="937" t="s">
        <v>293</v>
      </c>
      <c r="B2219" s="241" t="s">
        <v>598</v>
      </c>
      <c r="C2219" s="218" t="s">
        <v>3362</v>
      </c>
      <c r="D2219" s="2" t="s">
        <v>586</v>
      </c>
      <c r="E2219" s="196">
        <v>0.1</v>
      </c>
      <c r="F2219" s="23">
        <f>H2218</f>
        <v>7094.3428571428567</v>
      </c>
      <c r="G2219" s="104">
        <v>0</v>
      </c>
      <c r="H2219" s="252">
        <f t="shared" si="208"/>
        <v>709.43428571428569</v>
      </c>
    </row>
    <row r="2220" spans="1:9" ht="13.5" thickBot="1" x14ac:dyDescent="0.25">
      <c r="A2220" s="938"/>
      <c r="B2220" s="528" t="s">
        <v>269</v>
      </c>
      <c r="C2220" s="88" t="s">
        <v>284</v>
      </c>
      <c r="D2220" s="109" t="s">
        <v>586</v>
      </c>
      <c r="E2220" s="203">
        <v>0.05</v>
      </c>
      <c r="F2220" s="110">
        <f>H2218</f>
        <v>7094.3428571428567</v>
      </c>
      <c r="G2220" s="156">
        <v>0</v>
      </c>
      <c r="H2220" s="479">
        <f t="shared" si="208"/>
        <v>354.71714285714285</v>
      </c>
    </row>
    <row r="2221" spans="1:9" s="42" customFormat="1" ht="30" x14ac:dyDescent="0.2">
      <c r="A2221" s="67" t="s">
        <v>2521</v>
      </c>
      <c r="B2221" s="565"/>
      <c r="C2221" s="403" t="s">
        <v>3353</v>
      </c>
      <c r="D2221" s="389" t="s">
        <v>3251</v>
      </c>
      <c r="E2221" s="436"/>
      <c r="F2221" s="391">
        <f>ROUND(SUM(H2221:H2227),0)</f>
        <v>78624</v>
      </c>
      <c r="G2221" s="437"/>
      <c r="H2221" s="303"/>
      <c r="I2221" s="738"/>
    </row>
    <row r="2222" spans="1:9" x14ac:dyDescent="0.2">
      <c r="A2222" s="936" t="s">
        <v>382</v>
      </c>
      <c r="B2222" s="241" t="s">
        <v>1361</v>
      </c>
      <c r="C2222" s="44" t="s">
        <v>106</v>
      </c>
      <c r="D2222" s="136" t="s">
        <v>411</v>
      </c>
      <c r="E2222" s="114">
        <v>2</v>
      </c>
      <c r="F2222" s="23">
        <f>VLOOKUP(B2222,'BASE DE DATOS'!$A$5:$E$997,5,FALSE)</f>
        <v>379</v>
      </c>
      <c r="G2222" s="104">
        <v>0</v>
      </c>
      <c r="H2222" s="252">
        <f>IF(G2222&gt;0,(G2222*F2222*E2222),(F2222*E2222))</f>
        <v>758</v>
      </c>
    </row>
    <row r="2223" spans="1:9" s="33" customFormat="1" ht="25.5" x14ac:dyDescent="0.2">
      <c r="A2223" s="936"/>
      <c r="B2223" s="241" t="s">
        <v>1821</v>
      </c>
      <c r="C2223" s="26" t="s">
        <v>2747</v>
      </c>
      <c r="D2223" s="2" t="s">
        <v>288</v>
      </c>
      <c r="E2223" s="196">
        <v>1.1000000000000001</v>
      </c>
      <c r="F2223" s="23">
        <f>VLOOKUP(B2223,'BASE DE DATOS'!$A$5:$E$997,5,FALSE)</f>
        <v>29706</v>
      </c>
      <c r="G2223" s="104">
        <v>1.05</v>
      </c>
      <c r="H2223" s="252">
        <f t="shared" ref="H2223:H2227" si="209">IF(G2223&gt;0,(G2223*F2223*E2223),(F2223*E2223))</f>
        <v>34310.430000000008</v>
      </c>
    </row>
    <row r="2224" spans="1:9" x14ac:dyDescent="0.2">
      <c r="A2224" s="936"/>
      <c r="B2224" s="241" t="s">
        <v>1606</v>
      </c>
      <c r="C2224" s="44" t="s">
        <v>1975</v>
      </c>
      <c r="D2224" s="136" t="s">
        <v>411</v>
      </c>
      <c r="E2224" s="114">
        <v>4</v>
      </c>
      <c r="F2224" s="23">
        <f>VLOOKUP(B2224,'BASE DE DATOS'!$A$5:$E$997,5,FALSE)</f>
        <v>8033.333333333333</v>
      </c>
      <c r="G2224" s="104">
        <v>0</v>
      </c>
      <c r="H2224" s="252">
        <f t="shared" si="209"/>
        <v>32133.333333333332</v>
      </c>
    </row>
    <row r="2225" spans="1:9" x14ac:dyDescent="0.2">
      <c r="A2225" s="81" t="s">
        <v>2555</v>
      </c>
      <c r="B2225" s="241" t="s">
        <v>644</v>
      </c>
      <c r="C2225" s="3" t="s">
        <v>645</v>
      </c>
      <c r="D2225" s="2" t="s">
        <v>585</v>
      </c>
      <c r="E2225" s="196">
        <v>1</v>
      </c>
      <c r="F2225" s="23">
        <f>VLOOKUP(B2225,'BASE DE DATOS'!$A$5:$E$997,5,FALSE)</f>
        <v>248302</v>
      </c>
      <c r="G2225" s="104">
        <f>1/25</f>
        <v>0.04</v>
      </c>
      <c r="H2225" s="252">
        <f t="shared" si="209"/>
        <v>9932.08</v>
      </c>
    </row>
    <row r="2226" spans="1:9" x14ac:dyDescent="0.2">
      <c r="A2226" s="937" t="s">
        <v>293</v>
      </c>
      <c r="B2226" s="241" t="s">
        <v>598</v>
      </c>
      <c r="C2226" s="218" t="s">
        <v>3362</v>
      </c>
      <c r="D2226" s="2" t="s">
        <v>586</v>
      </c>
      <c r="E2226" s="196">
        <v>0.1</v>
      </c>
      <c r="F2226" s="23">
        <f>H2225</f>
        <v>9932.08</v>
      </c>
      <c r="G2226" s="104">
        <v>0</v>
      </c>
      <c r="H2226" s="252">
        <f t="shared" si="209"/>
        <v>993.20800000000008</v>
      </c>
    </row>
    <row r="2227" spans="1:9" ht="13.5" thickBot="1" x14ac:dyDescent="0.25">
      <c r="A2227" s="938"/>
      <c r="B2227" s="528" t="s">
        <v>269</v>
      </c>
      <c r="C2227" s="88" t="s">
        <v>284</v>
      </c>
      <c r="D2227" s="109" t="s">
        <v>586</v>
      </c>
      <c r="E2227" s="203">
        <v>0.05</v>
      </c>
      <c r="F2227" s="110">
        <f>H2225</f>
        <v>9932.08</v>
      </c>
      <c r="G2227" s="156">
        <v>0</v>
      </c>
      <c r="H2227" s="479">
        <f t="shared" si="209"/>
        <v>496.60400000000004</v>
      </c>
    </row>
    <row r="2228" spans="1:9" s="42" customFormat="1" ht="15" x14ac:dyDescent="0.2">
      <c r="A2228" s="67" t="s">
        <v>2522</v>
      </c>
      <c r="B2228" s="529"/>
      <c r="C2228" s="388" t="s">
        <v>152</v>
      </c>
      <c r="D2228" s="389" t="s">
        <v>405</v>
      </c>
      <c r="E2228" s="395"/>
      <c r="F2228" s="391">
        <f>ROUND(SUM(H2228:H2235),0)</f>
        <v>54799</v>
      </c>
      <c r="G2228" s="392"/>
      <c r="H2228" s="393"/>
      <c r="I2228" s="738"/>
    </row>
    <row r="2229" spans="1:9" x14ac:dyDescent="0.2">
      <c r="A2229" s="936" t="s">
        <v>382</v>
      </c>
      <c r="B2229" s="241" t="s">
        <v>1284</v>
      </c>
      <c r="C2229" s="3" t="s">
        <v>3117</v>
      </c>
      <c r="D2229" s="2" t="s">
        <v>411</v>
      </c>
      <c r="E2229" s="114">
        <v>2</v>
      </c>
      <c r="F2229" s="23">
        <f>VLOOKUP(B2229,'BASE DE DATOS'!$A$5:$E$997,5,FALSE)</f>
        <v>495</v>
      </c>
      <c r="G2229" s="104">
        <v>0</v>
      </c>
      <c r="H2229" s="252">
        <f>IF(G2229&gt;0,(G2229*F2229*E2229),(F2229*E2229))</f>
        <v>990</v>
      </c>
    </row>
    <row r="2230" spans="1:9" x14ac:dyDescent="0.2">
      <c r="A2230" s="936"/>
      <c r="B2230" s="241" t="s">
        <v>1800</v>
      </c>
      <c r="C2230" s="3" t="s">
        <v>1797</v>
      </c>
      <c r="D2230" s="2" t="s">
        <v>405</v>
      </c>
      <c r="E2230" s="114">
        <v>1</v>
      </c>
      <c r="F2230" s="23">
        <f>VLOOKUP(B2230,'BASE DE DATOS'!$A$5:$E$997,5,FALSE)</f>
        <v>39900</v>
      </c>
      <c r="G2230" s="104">
        <v>0</v>
      </c>
      <c r="H2230" s="252">
        <f t="shared" ref="H2230:H2235" si="210">IF(G2230&gt;0,(G2230*F2230*E2230),(F2230*E2230))</f>
        <v>39900</v>
      </c>
    </row>
    <row r="2231" spans="1:9" x14ac:dyDescent="0.2">
      <c r="A2231" s="936"/>
      <c r="B2231" s="241" t="s">
        <v>1402</v>
      </c>
      <c r="C2231" s="3" t="s">
        <v>153</v>
      </c>
      <c r="D2231" s="2" t="s">
        <v>411</v>
      </c>
      <c r="E2231" s="114">
        <v>2</v>
      </c>
      <c r="F2231" s="23">
        <f>VLOOKUP(B2231,'BASE DE DATOS'!$A$5:$E$997,5,FALSE)</f>
        <v>1100</v>
      </c>
      <c r="G2231" s="104">
        <v>0</v>
      </c>
      <c r="H2231" s="252">
        <f t="shared" si="210"/>
        <v>2200</v>
      </c>
    </row>
    <row r="2232" spans="1:9" x14ac:dyDescent="0.2">
      <c r="A2232" s="936"/>
      <c r="B2232" s="241" t="s">
        <v>1428</v>
      </c>
      <c r="C2232" s="3" t="s">
        <v>37</v>
      </c>
      <c r="D2232" s="2" t="s">
        <v>406</v>
      </c>
      <c r="E2232" s="114">
        <v>0.01</v>
      </c>
      <c r="F2232" s="23">
        <f>VLOOKUP(B2232,'BASE DE DATOS'!$A$5:$E$997,5,FALSE)</f>
        <v>8598</v>
      </c>
      <c r="G2232" s="104">
        <v>1.03</v>
      </c>
      <c r="H2232" s="252">
        <f t="shared" si="210"/>
        <v>88.559400000000011</v>
      </c>
    </row>
    <row r="2233" spans="1:9" x14ac:dyDescent="0.2">
      <c r="A2233" s="81" t="s">
        <v>2555</v>
      </c>
      <c r="B2233" s="241" t="s">
        <v>644</v>
      </c>
      <c r="C2233" s="3" t="s">
        <v>645</v>
      </c>
      <c r="D2233" s="2" t="s">
        <v>585</v>
      </c>
      <c r="E2233" s="114">
        <v>1</v>
      </c>
      <c r="F2233" s="23">
        <f>VLOOKUP(B2233,'BASE DE DATOS'!$A$5:$E$997,5,FALSE)</f>
        <v>248302</v>
      </c>
      <c r="G2233" s="104">
        <f>1/25</f>
        <v>0.04</v>
      </c>
      <c r="H2233" s="252">
        <f t="shared" si="210"/>
        <v>9932.08</v>
      </c>
    </row>
    <row r="2234" spans="1:9" x14ac:dyDescent="0.2">
      <c r="A2234" s="937" t="s">
        <v>293</v>
      </c>
      <c r="B2234" s="241" t="s">
        <v>598</v>
      </c>
      <c r="C2234" s="218" t="s">
        <v>3362</v>
      </c>
      <c r="D2234" s="2" t="s">
        <v>586</v>
      </c>
      <c r="E2234" s="114">
        <v>0.1</v>
      </c>
      <c r="F2234" s="23">
        <f>H2233</f>
        <v>9932.08</v>
      </c>
      <c r="G2234" s="104">
        <v>0</v>
      </c>
      <c r="H2234" s="252">
        <f t="shared" si="210"/>
        <v>993.20800000000008</v>
      </c>
    </row>
    <row r="2235" spans="1:9" ht="13.5" thickBot="1" x14ac:dyDescent="0.25">
      <c r="A2235" s="938"/>
      <c r="B2235" s="528" t="s">
        <v>269</v>
      </c>
      <c r="C2235" s="88" t="s">
        <v>284</v>
      </c>
      <c r="D2235" s="109" t="s">
        <v>586</v>
      </c>
      <c r="E2235" s="203">
        <v>7.0000000000000007E-2</v>
      </c>
      <c r="F2235" s="110">
        <f>H2233</f>
        <v>9932.08</v>
      </c>
      <c r="G2235" s="156">
        <v>0</v>
      </c>
      <c r="H2235" s="479">
        <f t="shared" si="210"/>
        <v>695.24560000000008</v>
      </c>
    </row>
    <row r="2236" spans="1:9" s="42" customFormat="1" ht="30" x14ac:dyDescent="0.2">
      <c r="A2236" s="67" t="s">
        <v>2523</v>
      </c>
      <c r="B2236" s="529"/>
      <c r="C2236" s="388" t="s">
        <v>157</v>
      </c>
      <c r="D2236" s="389" t="s">
        <v>405</v>
      </c>
      <c r="E2236" s="395"/>
      <c r="F2236" s="391">
        <f>ROUND(SUM(H2236:H2242),0)</f>
        <v>93404</v>
      </c>
      <c r="G2236" s="392"/>
      <c r="H2236" s="393"/>
      <c r="I2236" s="738"/>
    </row>
    <row r="2237" spans="1:9" x14ac:dyDescent="0.2">
      <c r="A2237" s="936" t="s">
        <v>382</v>
      </c>
      <c r="B2237" s="241" t="s">
        <v>1284</v>
      </c>
      <c r="C2237" s="3" t="s">
        <v>3117</v>
      </c>
      <c r="D2237" s="2" t="s">
        <v>411</v>
      </c>
      <c r="E2237" s="114">
        <v>2</v>
      </c>
      <c r="F2237" s="23">
        <f>VLOOKUP(B2237,'BASE DE DATOS'!$A$5:$E$997,5,FALSE)</f>
        <v>495</v>
      </c>
      <c r="G2237" s="104">
        <v>0</v>
      </c>
      <c r="H2237" s="252">
        <f>IF(G2237&gt;0,(G2237*F2237*E2237),(F2237*E2237))</f>
        <v>990</v>
      </c>
    </row>
    <row r="2238" spans="1:9" x14ac:dyDescent="0.2">
      <c r="A2238" s="936"/>
      <c r="B2238" s="241" t="s">
        <v>1799</v>
      </c>
      <c r="C2238" s="3" t="s">
        <v>1798</v>
      </c>
      <c r="D2238" s="2" t="s">
        <v>405</v>
      </c>
      <c r="E2238" s="114">
        <v>1</v>
      </c>
      <c r="F2238" s="23">
        <f>VLOOKUP(B2238,'BASE DE DATOS'!$A$5:$E$997,5,FALSE)</f>
        <v>77800</v>
      </c>
      <c r="G2238" s="104">
        <v>0</v>
      </c>
      <c r="H2238" s="252">
        <f t="shared" ref="H2238:H2242" si="211">IF(G2238&gt;0,(G2238*F2238*E2238),(F2238*E2238))</f>
        <v>77800</v>
      </c>
    </row>
    <row r="2239" spans="1:9" x14ac:dyDescent="0.2">
      <c r="A2239" s="936"/>
      <c r="B2239" s="241" t="s">
        <v>1428</v>
      </c>
      <c r="C2239" s="3" t="s">
        <v>37</v>
      </c>
      <c r="D2239" s="2" t="s">
        <v>406</v>
      </c>
      <c r="E2239" s="114">
        <v>0.01</v>
      </c>
      <c r="F2239" s="23">
        <f>VLOOKUP(B2239,'BASE DE DATOS'!$A$5:$E$997,5,FALSE)</f>
        <v>8598</v>
      </c>
      <c r="G2239" s="104">
        <v>1.03</v>
      </c>
      <c r="H2239" s="252">
        <f t="shared" si="211"/>
        <v>88.559400000000011</v>
      </c>
    </row>
    <row r="2240" spans="1:9" x14ac:dyDescent="0.2">
      <c r="A2240" s="81" t="s">
        <v>2555</v>
      </c>
      <c r="B2240" s="241" t="s">
        <v>644</v>
      </c>
      <c r="C2240" s="3" t="s">
        <v>645</v>
      </c>
      <c r="D2240" s="2" t="s">
        <v>585</v>
      </c>
      <c r="E2240" s="114">
        <v>1</v>
      </c>
      <c r="F2240" s="23">
        <f>VLOOKUP(B2240,'BASE DE DATOS'!$A$5:$E$997,5,FALSE)</f>
        <v>248302</v>
      </c>
      <c r="G2240" s="104">
        <f>1/20</f>
        <v>0.05</v>
      </c>
      <c r="H2240" s="252">
        <f t="shared" si="211"/>
        <v>12415.1</v>
      </c>
    </row>
    <row r="2241" spans="1:9" x14ac:dyDescent="0.2">
      <c r="A2241" s="937" t="s">
        <v>293</v>
      </c>
      <c r="B2241" s="241" t="s">
        <v>598</v>
      </c>
      <c r="C2241" s="218" t="s">
        <v>3362</v>
      </c>
      <c r="D2241" s="2" t="s">
        <v>586</v>
      </c>
      <c r="E2241" s="114">
        <v>0.1</v>
      </c>
      <c r="F2241" s="23">
        <f>H2240</f>
        <v>12415.1</v>
      </c>
      <c r="G2241" s="104">
        <v>0</v>
      </c>
      <c r="H2241" s="252">
        <f t="shared" si="211"/>
        <v>1241.5100000000002</v>
      </c>
    </row>
    <row r="2242" spans="1:9" ht="13.5" thickBot="1" x14ac:dyDescent="0.25">
      <c r="A2242" s="938"/>
      <c r="B2242" s="528" t="s">
        <v>269</v>
      </c>
      <c r="C2242" s="88" t="s">
        <v>284</v>
      </c>
      <c r="D2242" s="109" t="s">
        <v>586</v>
      </c>
      <c r="E2242" s="203">
        <v>7.0000000000000007E-2</v>
      </c>
      <c r="F2242" s="110">
        <f>H2240</f>
        <v>12415.1</v>
      </c>
      <c r="G2242" s="156">
        <v>0</v>
      </c>
      <c r="H2242" s="479">
        <f t="shared" si="211"/>
        <v>869.05700000000013</v>
      </c>
    </row>
    <row r="2243" spans="1:9" s="42" customFormat="1" ht="15" x14ac:dyDescent="0.2">
      <c r="A2243" s="67" t="s">
        <v>2524</v>
      </c>
      <c r="B2243" s="529"/>
      <c r="C2243" s="388" t="s">
        <v>108</v>
      </c>
      <c r="D2243" s="389" t="s">
        <v>405</v>
      </c>
      <c r="E2243" s="395"/>
      <c r="F2243" s="391">
        <f>ROUND(SUM(H2243:H2248),0)</f>
        <v>86252</v>
      </c>
      <c r="G2243" s="392"/>
      <c r="H2243" s="393"/>
      <c r="I2243" s="738"/>
    </row>
    <row r="2244" spans="1:9" x14ac:dyDescent="0.2">
      <c r="A2244" s="936" t="s">
        <v>382</v>
      </c>
      <c r="B2244" s="241" t="s">
        <v>1311</v>
      </c>
      <c r="C2244" s="44" t="s">
        <v>98</v>
      </c>
      <c r="D2244" s="136" t="s">
        <v>405</v>
      </c>
      <c r="E2244" s="114">
        <v>1</v>
      </c>
      <c r="F2244" s="23">
        <f>VLOOKUP(B2244,'BASE DE DATOS'!$A$5:$E$997,5,FALSE)</f>
        <v>50818</v>
      </c>
      <c r="G2244" s="104">
        <v>0</v>
      </c>
      <c r="H2244" s="252">
        <f t="shared" ref="H2244:H2248" si="212">IF(G2244&gt;0,(G2244*F2244*E2244),(F2244*E2244))</f>
        <v>50818</v>
      </c>
    </row>
    <row r="2245" spans="1:9" x14ac:dyDescent="0.2">
      <c r="A2245" s="936"/>
      <c r="B2245" s="241" t="s">
        <v>1606</v>
      </c>
      <c r="C2245" s="44" t="s">
        <v>1975</v>
      </c>
      <c r="D2245" s="136" t="s">
        <v>411</v>
      </c>
      <c r="E2245" s="114">
        <v>2</v>
      </c>
      <c r="F2245" s="23">
        <f>VLOOKUP(B2245,'BASE DE DATOS'!$A$5:$E$997,5,FALSE)</f>
        <v>8033.333333333333</v>
      </c>
      <c r="G2245" s="104">
        <v>0</v>
      </c>
      <c r="H2245" s="252">
        <f t="shared" si="212"/>
        <v>16066.666666666666</v>
      </c>
    </row>
    <row r="2246" spans="1:9" x14ac:dyDescent="0.2">
      <c r="A2246" s="81" t="s">
        <v>2555</v>
      </c>
      <c r="B2246" s="241" t="s">
        <v>644</v>
      </c>
      <c r="C2246" s="3" t="s">
        <v>645</v>
      </c>
      <c r="D2246" s="2" t="s">
        <v>585</v>
      </c>
      <c r="E2246" s="114">
        <v>1</v>
      </c>
      <c r="F2246" s="23">
        <f>VLOOKUP(B2246,'BASE DE DATOS'!$A$5:$E$997,5,FALSE)</f>
        <v>248302</v>
      </c>
      <c r="G2246" s="104">
        <f>1/15</f>
        <v>6.6666666666666666E-2</v>
      </c>
      <c r="H2246" s="252">
        <f t="shared" si="212"/>
        <v>16553.466666666667</v>
      </c>
    </row>
    <row r="2247" spans="1:9" x14ac:dyDescent="0.2">
      <c r="A2247" s="937" t="s">
        <v>293</v>
      </c>
      <c r="B2247" s="241" t="s">
        <v>598</v>
      </c>
      <c r="C2247" s="218" t="s">
        <v>3362</v>
      </c>
      <c r="D2247" s="2" t="s">
        <v>586</v>
      </c>
      <c r="E2247" s="114">
        <v>0.1</v>
      </c>
      <c r="F2247" s="23">
        <f>H2246</f>
        <v>16553.466666666667</v>
      </c>
      <c r="G2247" s="104">
        <v>0</v>
      </c>
      <c r="H2247" s="252">
        <f t="shared" si="212"/>
        <v>1655.3466666666668</v>
      </c>
    </row>
    <row r="2248" spans="1:9" ht="13.5" thickBot="1" x14ac:dyDescent="0.25">
      <c r="A2248" s="938"/>
      <c r="B2248" s="528" t="s">
        <v>269</v>
      </c>
      <c r="C2248" s="88" t="s">
        <v>284</v>
      </c>
      <c r="D2248" s="109" t="s">
        <v>586</v>
      </c>
      <c r="E2248" s="203">
        <v>7.0000000000000007E-2</v>
      </c>
      <c r="F2248" s="110">
        <f>H2246</f>
        <v>16553.466666666667</v>
      </c>
      <c r="G2248" s="156">
        <v>0</v>
      </c>
      <c r="H2248" s="479">
        <f t="shared" si="212"/>
        <v>1158.7426666666668</v>
      </c>
    </row>
    <row r="2249" spans="1:9" s="42" customFormat="1" ht="30" x14ac:dyDescent="0.2">
      <c r="A2249" s="67" t="s">
        <v>2525</v>
      </c>
      <c r="B2249" s="529"/>
      <c r="C2249" s="388" t="s">
        <v>3347</v>
      </c>
      <c r="D2249" s="389" t="s">
        <v>411</v>
      </c>
      <c r="E2249" s="395"/>
      <c r="F2249" s="391">
        <f>ROUND(SUM(H2249:H2258),0)</f>
        <v>152324</v>
      </c>
      <c r="G2249" s="392"/>
      <c r="H2249" s="393"/>
      <c r="I2249" s="738"/>
    </row>
    <row r="2250" spans="1:9" x14ac:dyDescent="0.2">
      <c r="A2250" s="939" t="s">
        <v>295</v>
      </c>
      <c r="B2250" s="241" t="s">
        <v>1284</v>
      </c>
      <c r="C2250" s="3" t="s">
        <v>3117</v>
      </c>
      <c r="D2250" s="2" t="s">
        <v>411</v>
      </c>
      <c r="E2250" s="114">
        <v>2</v>
      </c>
      <c r="F2250" s="23">
        <f>VLOOKUP(B2250,'BASE DE DATOS'!$A$5:$E$997,5,FALSE)</f>
        <v>495</v>
      </c>
      <c r="G2250" s="104">
        <v>0</v>
      </c>
      <c r="H2250" s="252">
        <f>IF(G2250&gt;0,(G2250*F2250*E2250),(F2250*E2250))</f>
        <v>990</v>
      </c>
    </row>
    <row r="2251" spans="1:9" ht="13.15" customHeight="1" x14ac:dyDescent="0.2">
      <c r="A2251" s="939"/>
      <c r="B2251" s="241" t="s">
        <v>1802</v>
      </c>
      <c r="C2251" s="3" t="s">
        <v>3141</v>
      </c>
      <c r="D2251" s="2" t="s">
        <v>411</v>
      </c>
      <c r="E2251" s="114">
        <v>1</v>
      </c>
      <c r="F2251" s="23">
        <f>VLOOKUP(B2251,'BASE DE DATOS'!$A$5:$E$997,5,FALSE)</f>
        <v>79900</v>
      </c>
      <c r="G2251" s="104">
        <v>0</v>
      </c>
      <c r="H2251" s="252">
        <f t="shared" ref="H2251:H2258" si="213">IF(G2251&gt;0,(G2251*F2251*E2251),(F2251*E2251))</f>
        <v>79900</v>
      </c>
    </row>
    <row r="2252" spans="1:9" x14ac:dyDescent="0.2">
      <c r="A2252" s="939"/>
      <c r="B2252" s="241" t="s">
        <v>1402</v>
      </c>
      <c r="C2252" s="3" t="s">
        <v>153</v>
      </c>
      <c r="D2252" s="2" t="s">
        <v>411</v>
      </c>
      <c r="E2252" s="114">
        <v>3</v>
      </c>
      <c r="F2252" s="23">
        <f>VLOOKUP(B2252,'BASE DE DATOS'!$A$5:$E$997,5,FALSE)</f>
        <v>1100</v>
      </c>
      <c r="G2252" s="104">
        <v>0</v>
      </c>
      <c r="H2252" s="252">
        <f t="shared" si="213"/>
        <v>3300</v>
      </c>
    </row>
    <row r="2253" spans="1:9" x14ac:dyDescent="0.2">
      <c r="A2253" s="939"/>
      <c r="B2253" s="241" t="s">
        <v>1428</v>
      </c>
      <c r="C2253" s="3" t="s">
        <v>37</v>
      </c>
      <c r="D2253" s="2" t="s">
        <v>406</v>
      </c>
      <c r="E2253" s="114">
        <v>1.4999999999999999E-2</v>
      </c>
      <c r="F2253" s="23">
        <f>VLOOKUP(B2253,'BASE DE DATOS'!$A$5:$E$997,5,FALSE)</f>
        <v>8598</v>
      </c>
      <c r="G2253" s="104">
        <v>1.03</v>
      </c>
      <c r="H2253" s="252">
        <f>IF(G2253&gt;0,(G2253*F2253*E2253),(F2253*E2253))</f>
        <v>132.8391</v>
      </c>
    </row>
    <row r="2254" spans="1:9" x14ac:dyDescent="0.2">
      <c r="A2254" s="939"/>
      <c r="B2254" s="241" t="s">
        <v>1543</v>
      </c>
      <c r="C2254" s="3" t="s">
        <v>186</v>
      </c>
      <c r="D2254" s="2" t="s">
        <v>187</v>
      </c>
      <c r="E2254" s="114">
        <v>1</v>
      </c>
      <c r="F2254" s="23">
        <f>VLOOKUP(B2254,'BASE DE DATOS'!$A$5:$E$997,5,FALSE)</f>
        <v>4800</v>
      </c>
      <c r="G2254" s="104">
        <v>0</v>
      </c>
      <c r="H2254" s="252">
        <f t="shared" si="213"/>
        <v>4800</v>
      </c>
    </row>
    <row r="2255" spans="1:9" ht="14.25" x14ac:dyDescent="0.2">
      <c r="A2255" s="939"/>
      <c r="B2255" s="241" t="s">
        <v>1696</v>
      </c>
      <c r="C2255" s="3" t="s">
        <v>2750</v>
      </c>
      <c r="D2255" s="2" t="s">
        <v>288</v>
      </c>
      <c r="E2255" s="114">
        <f>0.7*0.62</f>
        <v>0.434</v>
      </c>
      <c r="F2255" s="23">
        <f>VLOOKUP(B2255,'BASE DE DATOS'!$A$5:$E$997,5,FALSE)</f>
        <v>101000</v>
      </c>
      <c r="G2255" s="104">
        <v>0</v>
      </c>
      <c r="H2255" s="252">
        <f t="shared" si="213"/>
        <v>43834</v>
      </c>
    </row>
    <row r="2256" spans="1:9" x14ac:dyDescent="0.2">
      <c r="A2256" s="81" t="s">
        <v>2555</v>
      </c>
      <c r="B2256" s="241" t="s">
        <v>644</v>
      </c>
      <c r="C2256" s="3" t="s">
        <v>645</v>
      </c>
      <c r="D2256" s="2" t="s">
        <v>585</v>
      </c>
      <c r="E2256" s="114">
        <v>1</v>
      </c>
      <c r="F2256" s="23">
        <f>VLOOKUP(B2256,'BASE DE DATOS'!$A$5:$E$997,5,FALSE)</f>
        <v>248302</v>
      </c>
      <c r="G2256" s="104">
        <f>1/15</f>
        <v>6.6666666666666666E-2</v>
      </c>
      <c r="H2256" s="252">
        <f t="shared" si="213"/>
        <v>16553.466666666667</v>
      </c>
    </row>
    <row r="2257" spans="1:9" x14ac:dyDescent="0.2">
      <c r="A2257" s="937" t="s">
        <v>293</v>
      </c>
      <c r="B2257" s="241" t="s">
        <v>598</v>
      </c>
      <c r="C2257" s="218" t="s">
        <v>3362</v>
      </c>
      <c r="D2257" s="2" t="s">
        <v>586</v>
      </c>
      <c r="E2257" s="114">
        <v>0.1</v>
      </c>
      <c r="F2257" s="23">
        <f>H2256</f>
        <v>16553.466666666667</v>
      </c>
      <c r="G2257" s="104">
        <v>0</v>
      </c>
      <c r="H2257" s="252">
        <f t="shared" si="213"/>
        <v>1655.3466666666668</v>
      </c>
    </row>
    <row r="2258" spans="1:9" ht="13.5" thickBot="1" x14ac:dyDescent="0.25">
      <c r="A2258" s="938"/>
      <c r="B2258" s="528" t="s">
        <v>269</v>
      </c>
      <c r="C2258" s="88" t="s">
        <v>284</v>
      </c>
      <c r="D2258" s="109" t="s">
        <v>586</v>
      </c>
      <c r="E2258" s="203">
        <v>7.0000000000000007E-2</v>
      </c>
      <c r="F2258" s="110">
        <f>H2256</f>
        <v>16553.466666666667</v>
      </c>
      <c r="G2258" s="156">
        <v>0</v>
      </c>
      <c r="H2258" s="479">
        <f t="shared" si="213"/>
        <v>1158.7426666666668</v>
      </c>
    </row>
    <row r="2259" spans="1:9" s="42" customFormat="1" ht="15" x14ac:dyDescent="0.2">
      <c r="A2259" s="67" t="s">
        <v>2526</v>
      </c>
      <c r="B2259" s="529"/>
      <c r="C2259" s="388" t="s">
        <v>154</v>
      </c>
      <c r="D2259" s="389" t="s">
        <v>405</v>
      </c>
      <c r="E2259" s="395"/>
      <c r="F2259" s="391">
        <f>ROUND(SUM(H2259:H2265),0)</f>
        <v>41395</v>
      </c>
      <c r="G2259" s="392"/>
      <c r="H2259" s="393"/>
      <c r="I2259" s="738"/>
    </row>
    <row r="2260" spans="1:9" x14ac:dyDescent="0.2">
      <c r="A2260" s="936" t="s">
        <v>382</v>
      </c>
      <c r="B2260" s="241" t="s">
        <v>1284</v>
      </c>
      <c r="C2260" s="3" t="s">
        <v>3117</v>
      </c>
      <c r="D2260" s="2" t="s">
        <v>411</v>
      </c>
      <c r="E2260" s="114">
        <v>2</v>
      </c>
      <c r="F2260" s="23">
        <f>VLOOKUP(B2260,'BASE DE DATOS'!$A$5:$E$997,5,FALSE)</f>
        <v>495</v>
      </c>
      <c r="G2260" s="104">
        <v>0</v>
      </c>
      <c r="H2260" s="252">
        <f t="shared" ref="H2260:H2265" si="214">IF(G2260&gt;0,(G2260*F2260*E2260),(F2260*E2260))</f>
        <v>990</v>
      </c>
    </row>
    <row r="2261" spans="1:9" x14ac:dyDescent="0.2">
      <c r="A2261" s="936"/>
      <c r="B2261" s="241" t="s">
        <v>1428</v>
      </c>
      <c r="C2261" s="3" t="s">
        <v>37</v>
      </c>
      <c r="D2261" s="2" t="s">
        <v>406</v>
      </c>
      <c r="E2261" s="114">
        <v>2.5000000000000001E-2</v>
      </c>
      <c r="F2261" s="23">
        <f>VLOOKUP(B2261,'BASE DE DATOS'!$A$5:$E$997,5,FALSE)</f>
        <v>8598</v>
      </c>
      <c r="G2261" s="104">
        <v>1.03</v>
      </c>
      <c r="H2261" s="252">
        <f>IF(G2261&gt;0,(G2261*F2261*E2261),(F2261*E2261))</f>
        <v>221.39850000000001</v>
      </c>
    </row>
    <row r="2262" spans="1:9" x14ac:dyDescent="0.2">
      <c r="A2262" s="936"/>
      <c r="B2262" s="241" t="s">
        <v>1461</v>
      </c>
      <c r="C2262" s="3" t="s">
        <v>96</v>
      </c>
      <c r="D2262" s="2" t="s">
        <v>405</v>
      </c>
      <c r="E2262" s="114">
        <v>1</v>
      </c>
      <c r="F2262" s="23">
        <f>VLOOKUP(B2262,'BASE DE DATOS'!$A$5:$E$997,5,FALSE)</f>
        <v>30500</v>
      </c>
      <c r="G2262" s="104">
        <v>0</v>
      </c>
      <c r="H2262" s="252">
        <f t="shared" si="214"/>
        <v>30500</v>
      </c>
    </row>
    <row r="2263" spans="1:9" x14ac:dyDescent="0.2">
      <c r="A2263" s="81" t="s">
        <v>2555</v>
      </c>
      <c r="B2263" s="241" t="s">
        <v>644</v>
      </c>
      <c r="C2263" s="3" t="s">
        <v>645</v>
      </c>
      <c r="D2263" s="2" t="s">
        <v>585</v>
      </c>
      <c r="E2263" s="114">
        <v>1</v>
      </c>
      <c r="F2263" s="23">
        <f>VLOOKUP(B2263,'BASE DE DATOS'!$A$5:$E$997,5,FALSE)</f>
        <v>248302</v>
      </c>
      <c r="G2263" s="104">
        <f>1/30</f>
        <v>3.3333333333333333E-2</v>
      </c>
      <c r="H2263" s="252">
        <f t="shared" si="214"/>
        <v>8276.7333333333336</v>
      </c>
    </row>
    <row r="2264" spans="1:9" x14ac:dyDescent="0.2">
      <c r="A2264" s="937" t="s">
        <v>293</v>
      </c>
      <c r="B2264" s="241" t="s">
        <v>598</v>
      </c>
      <c r="C2264" s="218" t="s">
        <v>3362</v>
      </c>
      <c r="D2264" s="2" t="s">
        <v>586</v>
      </c>
      <c r="E2264" s="114">
        <v>0.1</v>
      </c>
      <c r="F2264" s="23">
        <f>H2263</f>
        <v>8276.7333333333336</v>
      </c>
      <c r="G2264" s="104">
        <v>0</v>
      </c>
      <c r="H2264" s="252">
        <f t="shared" si="214"/>
        <v>827.6733333333334</v>
      </c>
    </row>
    <row r="2265" spans="1:9" ht="13.5" thickBot="1" x14ac:dyDescent="0.25">
      <c r="A2265" s="938"/>
      <c r="B2265" s="528" t="s">
        <v>269</v>
      </c>
      <c r="C2265" s="88" t="s">
        <v>284</v>
      </c>
      <c r="D2265" s="109" t="s">
        <v>586</v>
      </c>
      <c r="E2265" s="203">
        <v>7.0000000000000007E-2</v>
      </c>
      <c r="F2265" s="110">
        <f>H2263</f>
        <v>8276.7333333333336</v>
      </c>
      <c r="G2265" s="156">
        <v>0</v>
      </c>
      <c r="H2265" s="479">
        <f t="shared" si="214"/>
        <v>579.37133333333338</v>
      </c>
    </row>
    <row r="2266" spans="1:9" s="42" customFormat="1" ht="17.25" x14ac:dyDescent="0.2">
      <c r="A2266" s="67" t="s">
        <v>2527</v>
      </c>
      <c r="B2266" s="529"/>
      <c r="C2266" s="388" t="s">
        <v>1885</v>
      </c>
      <c r="D2266" s="389" t="s">
        <v>3251</v>
      </c>
      <c r="E2266" s="395"/>
      <c r="F2266" s="391">
        <f>ROUND(SUM(H2266:H2275),0)</f>
        <v>68455</v>
      </c>
      <c r="G2266" s="392"/>
      <c r="H2266" s="393"/>
      <c r="I2266" s="738"/>
    </row>
    <row r="2267" spans="1:9" x14ac:dyDescent="0.2">
      <c r="A2267" s="939" t="s">
        <v>295</v>
      </c>
      <c r="B2267" s="244" t="s">
        <v>1281</v>
      </c>
      <c r="C2267" s="102" t="s">
        <v>2606</v>
      </c>
      <c r="D2267" s="138" t="s">
        <v>406</v>
      </c>
      <c r="E2267" s="114">
        <v>0.02</v>
      </c>
      <c r="F2267" s="23">
        <f>VLOOKUP(B2267,'BASE DE DATOS'!$A$5:$E$997,5,FALSE)</f>
        <v>11400</v>
      </c>
      <c r="G2267" s="104">
        <v>1.03</v>
      </c>
      <c r="H2267" s="252">
        <f>IF(G2267&gt;0,(G2267*F2267*E2267),(F2267*E2267))</f>
        <v>234.84</v>
      </c>
    </row>
    <row r="2268" spans="1:9" ht="14.25" x14ac:dyDescent="0.2">
      <c r="A2268" s="939"/>
      <c r="B2268" s="244" t="s">
        <v>1847</v>
      </c>
      <c r="C2268" s="102" t="s">
        <v>3136</v>
      </c>
      <c r="D2268" s="2" t="s">
        <v>288</v>
      </c>
      <c r="E2268" s="114">
        <v>1</v>
      </c>
      <c r="F2268" s="23">
        <f>VLOOKUP(B2268,'BASE DE DATOS'!$A$5:$E$997,5,FALSE)</f>
        <v>20800</v>
      </c>
      <c r="G2268" s="104">
        <v>1.05</v>
      </c>
      <c r="H2268" s="252">
        <f>IF(G2268&gt;0,(G2268*F2268*E2268),(F2268*E2268))</f>
        <v>21840</v>
      </c>
    </row>
    <row r="2269" spans="1:9" x14ac:dyDescent="0.2">
      <c r="A2269" s="939"/>
      <c r="B2269" s="244" t="s">
        <v>1513</v>
      </c>
      <c r="C2269" s="102" t="s">
        <v>21</v>
      </c>
      <c r="D2269" s="138" t="s">
        <v>411</v>
      </c>
      <c r="E2269" s="114">
        <v>0.22</v>
      </c>
      <c r="F2269" s="23">
        <f>VLOOKUP(B2269,'BASE DE DATOS'!$A$5:$E$997,5,FALSE)</f>
        <v>20594</v>
      </c>
      <c r="G2269" s="104">
        <v>1.03</v>
      </c>
      <c r="H2269" s="252">
        <f>IF(G2269&gt;0,(G2269*F2269*E2269),(F2269*E2269))</f>
        <v>4666.6004000000003</v>
      </c>
    </row>
    <row r="2270" spans="1:9" ht="13.15" customHeight="1" x14ac:dyDescent="0.2">
      <c r="A2270" s="939"/>
      <c r="B2270" s="244" t="s">
        <v>1514</v>
      </c>
      <c r="C2270" s="102" t="s">
        <v>2056</v>
      </c>
      <c r="D2270" s="138" t="s">
        <v>411</v>
      </c>
      <c r="E2270" s="114">
        <v>0.45</v>
      </c>
      <c r="F2270" s="23">
        <f>VLOOKUP(B2270,'BASE DE DATOS'!$A$5:$E$997,5,FALSE)</f>
        <v>21606</v>
      </c>
      <c r="G2270" s="104">
        <v>1.03</v>
      </c>
      <c r="H2270" s="252">
        <f t="shared" ref="H2270:H2275" si="215">IF(G2270&gt;0,(G2270*F2270*E2270),(F2270*E2270))</f>
        <v>10014.381000000001</v>
      </c>
    </row>
    <row r="2271" spans="1:9" x14ac:dyDescent="0.2">
      <c r="A2271" s="939"/>
      <c r="B2271" s="244" t="s">
        <v>1558</v>
      </c>
      <c r="C2271" s="102" t="s">
        <v>2023</v>
      </c>
      <c r="D2271" s="138" t="s">
        <v>590</v>
      </c>
      <c r="E2271" s="114">
        <v>0.08</v>
      </c>
      <c r="F2271" s="23">
        <f>VLOOKUP(B2271,'BASE DE DATOS'!$A$5:$E$997,5,FALSE)</f>
        <v>5650</v>
      </c>
      <c r="G2271" s="104">
        <v>1.1000000000000001</v>
      </c>
      <c r="H2271" s="252">
        <f t="shared" si="215"/>
        <v>497.2000000000001</v>
      </c>
    </row>
    <row r="2272" spans="1:9" x14ac:dyDescent="0.2">
      <c r="A2272" s="939"/>
      <c r="B2272" s="244" t="s">
        <v>1567</v>
      </c>
      <c r="C2272" s="102" t="s">
        <v>20</v>
      </c>
      <c r="D2272" s="138" t="s">
        <v>411</v>
      </c>
      <c r="E2272" s="114">
        <v>8</v>
      </c>
      <c r="F2272" s="23">
        <f>VLOOKUP(B2272,'BASE DE DATOS'!$A$5:$E$997,5,FALSE)</f>
        <v>329</v>
      </c>
      <c r="G2272" s="104">
        <v>1.1000000000000001</v>
      </c>
      <c r="H2272" s="252">
        <f t="shared" si="215"/>
        <v>2895.2000000000003</v>
      </c>
    </row>
    <row r="2273" spans="1:9" x14ac:dyDescent="0.2">
      <c r="A2273" s="81" t="s">
        <v>2555</v>
      </c>
      <c r="B2273" s="244" t="s">
        <v>644</v>
      </c>
      <c r="C2273" s="102" t="s">
        <v>645</v>
      </c>
      <c r="D2273" s="138" t="s">
        <v>585</v>
      </c>
      <c r="E2273" s="114">
        <v>1</v>
      </c>
      <c r="F2273" s="23">
        <f>VLOOKUP(B2273,'BASE DE DATOS'!$A$5:$E$997,5,FALSE)</f>
        <v>248302</v>
      </c>
      <c r="G2273" s="104">
        <f>1/10</f>
        <v>0.1</v>
      </c>
      <c r="H2273" s="252">
        <f t="shared" si="215"/>
        <v>24830.2</v>
      </c>
    </row>
    <row r="2274" spans="1:9" x14ac:dyDescent="0.2">
      <c r="A2274" s="937" t="s">
        <v>293</v>
      </c>
      <c r="B2274" s="241" t="s">
        <v>598</v>
      </c>
      <c r="C2274" s="218" t="s">
        <v>3362</v>
      </c>
      <c r="D2274" s="138" t="s">
        <v>586</v>
      </c>
      <c r="E2274" s="114">
        <v>0.1</v>
      </c>
      <c r="F2274" s="56">
        <f>H2273</f>
        <v>24830.2</v>
      </c>
      <c r="G2274" s="104">
        <v>0</v>
      </c>
      <c r="H2274" s="252">
        <f t="shared" si="215"/>
        <v>2483.0200000000004</v>
      </c>
    </row>
    <row r="2275" spans="1:9" ht="13.5" thickBot="1" x14ac:dyDescent="0.25">
      <c r="A2275" s="938"/>
      <c r="B2275" s="528" t="s">
        <v>269</v>
      </c>
      <c r="C2275" s="88" t="s">
        <v>284</v>
      </c>
      <c r="D2275" s="112" t="s">
        <v>3581</v>
      </c>
      <c r="E2275" s="200">
        <v>0.04</v>
      </c>
      <c r="F2275" s="113">
        <f>H2273</f>
        <v>24830.2</v>
      </c>
      <c r="G2275" s="156">
        <v>0</v>
      </c>
      <c r="H2275" s="479">
        <f t="shared" si="215"/>
        <v>993.20800000000008</v>
      </c>
    </row>
    <row r="2276" spans="1:9" s="42" customFormat="1" ht="17.25" x14ac:dyDescent="0.2">
      <c r="A2276" s="67" t="s">
        <v>2528</v>
      </c>
      <c r="B2276" s="526"/>
      <c r="C2276" s="399" t="s">
        <v>3349</v>
      </c>
      <c r="D2276" s="326" t="s">
        <v>3251</v>
      </c>
      <c r="E2276" s="414"/>
      <c r="F2276" s="391">
        <f>ROUND(SUM(H2276:H2286),0)</f>
        <v>43575</v>
      </c>
      <c r="G2276" s="402"/>
      <c r="H2276" s="330"/>
      <c r="I2276" s="738"/>
    </row>
    <row r="2277" spans="1:9" x14ac:dyDescent="0.2">
      <c r="A2277" s="939" t="s">
        <v>295</v>
      </c>
      <c r="B2277" s="244" t="s">
        <v>1281</v>
      </c>
      <c r="C2277" s="20" t="s">
        <v>2606</v>
      </c>
      <c r="D2277" s="19" t="s">
        <v>406</v>
      </c>
      <c r="E2277" s="194">
        <v>0.02</v>
      </c>
      <c r="F2277" s="23">
        <f>VLOOKUP(B2277,'BASE DE DATOS'!$A$5:$E$997,5,FALSE)</f>
        <v>11400</v>
      </c>
      <c r="G2277" s="58">
        <v>1.03</v>
      </c>
      <c r="H2277" s="252">
        <f>IF(G2277&gt;0,(G2277*F2277*E2277),(F2277*E2277))</f>
        <v>234.84</v>
      </c>
    </row>
    <row r="2278" spans="1:9" ht="14.25" x14ac:dyDescent="0.2">
      <c r="A2278" s="939"/>
      <c r="B2278" s="244" t="s">
        <v>1758</v>
      </c>
      <c r="C2278" s="102" t="s">
        <v>3348</v>
      </c>
      <c r="D2278" s="138" t="s">
        <v>288</v>
      </c>
      <c r="E2278" s="194">
        <v>1</v>
      </c>
      <c r="F2278" s="23">
        <f>VLOOKUP(B2278,'BASE DE DATOS'!$A$5:$E$997,5,FALSE)</f>
        <v>9648</v>
      </c>
      <c r="G2278" s="58">
        <v>0</v>
      </c>
      <c r="H2278" s="252">
        <f>IF(G2278&gt;0,(G2278*F2278*E2278),(F2278*E2278))</f>
        <v>9648</v>
      </c>
    </row>
    <row r="2279" spans="1:9" x14ac:dyDescent="0.2">
      <c r="A2279" s="939"/>
      <c r="B2279" s="244" t="s">
        <v>1515</v>
      </c>
      <c r="C2279" s="102" t="s">
        <v>17</v>
      </c>
      <c r="D2279" s="18" t="s">
        <v>411</v>
      </c>
      <c r="E2279" s="194">
        <v>0.22</v>
      </c>
      <c r="F2279" s="23">
        <f>VLOOKUP(B2279,'BASE DE DATOS'!$A$5:$E$997,5,FALSE)</f>
        <v>15000</v>
      </c>
      <c r="G2279" s="58">
        <v>1.03</v>
      </c>
      <c r="H2279" s="252">
        <f>IF(G2279&gt;0,(G2279*F2279*E2279),(F2279*E2279))</f>
        <v>3399</v>
      </c>
    </row>
    <row r="2280" spans="1:9" ht="13.15" customHeight="1" x14ac:dyDescent="0.2">
      <c r="A2280" s="939"/>
      <c r="B2280" s="244" t="s">
        <v>1516</v>
      </c>
      <c r="C2280" s="102" t="s">
        <v>18</v>
      </c>
      <c r="D2280" s="138" t="s">
        <v>411</v>
      </c>
      <c r="E2280" s="194">
        <v>0.45</v>
      </c>
      <c r="F2280" s="23">
        <f>VLOOKUP(B2280,'BASE DE DATOS'!$A$5:$E$997,5,FALSE)</f>
        <v>14000</v>
      </c>
      <c r="G2280" s="58">
        <v>1.03</v>
      </c>
      <c r="H2280" s="252">
        <f t="shared" ref="H2280:H2286" si="216">IF(G2280&gt;0,(G2280*F2280*E2280),(F2280*E2280))</f>
        <v>6489</v>
      </c>
    </row>
    <row r="2281" spans="1:9" x14ac:dyDescent="0.2">
      <c r="A2281" s="939"/>
      <c r="B2281" s="244" t="s">
        <v>1529</v>
      </c>
      <c r="C2281" s="20" t="s">
        <v>3867</v>
      </c>
      <c r="D2281" s="19" t="s">
        <v>642</v>
      </c>
      <c r="E2281" s="194">
        <v>0.03</v>
      </c>
      <c r="F2281" s="23">
        <f>VLOOKUP(B2281,'BASE DE DATOS'!$A$5:$E$997,5,FALSE)</f>
        <v>91980</v>
      </c>
      <c r="G2281" s="58">
        <v>1.03</v>
      </c>
      <c r="H2281" s="252">
        <f>IF(G2281&gt;0,(G2281*F2281*E2281),(F2281*E2281))</f>
        <v>2842.1820000000002</v>
      </c>
    </row>
    <row r="2282" spans="1:9" x14ac:dyDescent="0.2">
      <c r="A2282" s="939"/>
      <c r="B2282" s="244" t="s">
        <v>1558</v>
      </c>
      <c r="C2282" s="20" t="s">
        <v>2023</v>
      </c>
      <c r="D2282" s="19" t="s">
        <v>590</v>
      </c>
      <c r="E2282" s="194">
        <v>0.08</v>
      </c>
      <c r="F2282" s="23">
        <f>VLOOKUP(B2282,'BASE DE DATOS'!$A$5:$E$997,5,FALSE)</f>
        <v>5650</v>
      </c>
      <c r="G2282" s="58">
        <v>0</v>
      </c>
      <c r="H2282" s="252">
        <f t="shared" si="216"/>
        <v>452</v>
      </c>
    </row>
    <row r="2283" spans="1:9" x14ac:dyDescent="0.2">
      <c r="A2283" s="939"/>
      <c r="B2283" s="244" t="s">
        <v>1567</v>
      </c>
      <c r="C2283" s="20" t="s">
        <v>20</v>
      </c>
      <c r="D2283" s="19" t="s">
        <v>411</v>
      </c>
      <c r="E2283" s="194">
        <v>8</v>
      </c>
      <c r="F2283" s="23">
        <f>VLOOKUP(B2283,'BASE DE DATOS'!$A$5:$E$997,5,FALSE)</f>
        <v>329</v>
      </c>
      <c r="G2283" s="58">
        <v>0</v>
      </c>
      <c r="H2283" s="252">
        <f t="shared" si="216"/>
        <v>2632</v>
      </c>
    </row>
    <row r="2284" spans="1:9" x14ac:dyDescent="0.2">
      <c r="A2284" s="81" t="s">
        <v>2555</v>
      </c>
      <c r="B2284" s="244" t="s">
        <v>644</v>
      </c>
      <c r="C2284" s="20" t="s">
        <v>645</v>
      </c>
      <c r="D2284" s="19" t="s">
        <v>585</v>
      </c>
      <c r="E2284" s="194">
        <v>1</v>
      </c>
      <c r="F2284" s="23">
        <f>VLOOKUP(B2284,'BASE DE DATOS'!$A$5:$E$997,5,FALSE)</f>
        <v>248302</v>
      </c>
      <c r="G2284" s="58">
        <f>1/16.66667</f>
        <v>5.9999988000002398E-2</v>
      </c>
      <c r="H2284" s="252">
        <f t="shared" si="216"/>
        <v>14898.117020376596</v>
      </c>
    </row>
    <row r="2285" spans="1:9" x14ac:dyDescent="0.2">
      <c r="A2285" s="937" t="s">
        <v>293</v>
      </c>
      <c r="B2285" s="241" t="s">
        <v>598</v>
      </c>
      <c r="C2285" s="218" t="s">
        <v>3362</v>
      </c>
      <c r="D2285" s="19" t="s">
        <v>586</v>
      </c>
      <c r="E2285" s="194">
        <v>0.1</v>
      </c>
      <c r="F2285" s="56">
        <f>H2284</f>
        <v>14898.117020376596</v>
      </c>
      <c r="G2285" s="58">
        <v>0</v>
      </c>
      <c r="H2285" s="252">
        <f t="shared" si="216"/>
        <v>1489.8117020376596</v>
      </c>
    </row>
    <row r="2286" spans="1:9" ht="13.5" thickBot="1" x14ac:dyDescent="0.25">
      <c r="A2286" s="938"/>
      <c r="B2286" s="528" t="s">
        <v>269</v>
      </c>
      <c r="C2286" s="88" t="s">
        <v>284</v>
      </c>
      <c r="D2286" s="112" t="s">
        <v>586</v>
      </c>
      <c r="E2286" s="201">
        <v>0.1</v>
      </c>
      <c r="F2286" s="113">
        <f>H2284</f>
        <v>14898.117020376596</v>
      </c>
      <c r="G2286" s="157">
        <v>0</v>
      </c>
      <c r="H2286" s="479">
        <f t="shared" si="216"/>
        <v>1489.8117020376596</v>
      </c>
    </row>
    <row r="2287" spans="1:9" s="42" customFormat="1" ht="17.25" x14ac:dyDescent="0.2">
      <c r="A2287" s="67" t="s">
        <v>2529</v>
      </c>
      <c r="B2287" s="526"/>
      <c r="C2287" s="399" t="s">
        <v>426</v>
      </c>
      <c r="D2287" s="326" t="s">
        <v>3251</v>
      </c>
      <c r="E2287" s="414"/>
      <c r="F2287" s="391">
        <f>ROUND(SUM(H2287:H2297),0)</f>
        <v>43693</v>
      </c>
      <c r="G2287" s="402"/>
      <c r="H2287" s="330"/>
      <c r="I2287" s="738"/>
    </row>
    <row r="2288" spans="1:9" x14ac:dyDescent="0.2">
      <c r="A2288" s="939" t="s">
        <v>295</v>
      </c>
      <c r="B2288" s="241" t="s">
        <v>1281</v>
      </c>
      <c r="C2288" s="3" t="s">
        <v>2606</v>
      </c>
      <c r="D2288" s="2" t="s">
        <v>406</v>
      </c>
      <c r="E2288" s="114">
        <v>0.02</v>
      </c>
      <c r="F2288" s="23">
        <f>VLOOKUP(B2288,'BASE DE DATOS'!$A$5:$E$997,5,FALSE)</f>
        <v>11400</v>
      </c>
      <c r="G2288" s="104">
        <v>1.03</v>
      </c>
      <c r="H2288" s="252">
        <f>IF(G2288&gt;0,(G2288*F2288*E2288),(F2288*E2288))</f>
        <v>234.84</v>
      </c>
    </row>
    <row r="2289" spans="1:9" ht="14.25" x14ac:dyDescent="0.2">
      <c r="A2289" s="939"/>
      <c r="B2289" s="244" t="s">
        <v>1758</v>
      </c>
      <c r="C2289" s="102" t="s">
        <v>3348</v>
      </c>
      <c r="D2289" s="138" t="s">
        <v>288</v>
      </c>
      <c r="E2289" s="194">
        <v>1</v>
      </c>
      <c r="F2289" s="23">
        <f>VLOOKUP(B2289,'BASE DE DATOS'!$A$5:$E$997,5,FALSE)</f>
        <v>9648</v>
      </c>
      <c r="G2289" s="58">
        <v>0</v>
      </c>
      <c r="H2289" s="252">
        <f>IF(G2289&gt;0,(G2289*F2289*E2289),(F2289*E2289))</f>
        <v>9648</v>
      </c>
    </row>
    <row r="2290" spans="1:9" x14ac:dyDescent="0.2">
      <c r="A2290" s="939"/>
      <c r="B2290" s="244" t="s">
        <v>1517</v>
      </c>
      <c r="C2290" s="102" t="s">
        <v>22</v>
      </c>
      <c r="D2290" s="18" t="s">
        <v>411</v>
      </c>
      <c r="E2290" s="194">
        <v>0.22</v>
      </c>
      <c r="F2290" s="23">
        <f>VLOOKUP(B2290,'BASE DE DATOS'!$A$5:$E$997,5,FALSE)</f>
        <v>14500</v>
      </c>
      <c r="G2290" s="58">
        <v>1.03</v>
      </c>
      <c r="H2290" s="252">
        <f>IF(G2290&gt;0,(G2290*F2290*E2290),(F2290*E2290))</f>
        <v>3285.7</v>
      </c>
    </row>
    <row r="2291" spans="1:9" ht="13.15" customHeight="1" x14ac:dyDescent="0.2">
      <c r="A2291" s="939"/>
      <c r="B2291" s="244" t="s">
        <v>1512</v>
      </c>
      <c r="C2291" s="102" t="s">
        <v>19</v>
      </c>
      <c r="D2291" s="138" t="s">
        <v>411</v>
      </c>
      <c r="E2291" s="194">
        <v>0.45</v>
      </c>
      <c r="F2291" s="23">
        <f>VLOOKUP(B2291,'BASE DE DATOS'!$A$5:$E$997,5,FALSE)</f>
        <v>14500</v>
      </c>
      <c r="G2291" s="58">
        <v>1.03</v>
      </c>
      <c r="H2291" s="252">
        <f t="shared" ref="H2291:H2297" si="217">IF(G2291&gt;0,(G2291*F2291*E2291),(F2291*E2291))</f>
        <v>6720.75</v>
      </c>
    </row>
    <row r="2292" spans="1:9" x14ac:dyDescent="0.2">
      <c r="A2292" s="939"/>
      <c r="B2292" s="241" t="s">
        <v>1529</v>
      </c>
      <c r="C2292" s="3" t="s">
        <v>3867</v>
      </c>
      <c r="D2292" s="2" t="s">
        <v>642</v>
      </c>
      <c r="E2292" s="114">
        <v>0.03</v>
      </c>
      <c r="F2292" s="23">
        <f>VLOOKUP(B2292,'BASE DE DATOS'!$A$5:$E$997,5,FALSE)</f>
        <v>91980</v>
      </c>
      <c r="G2292" s="104">
        <v>1.03</v>
      </c>
      <c r="H2292" s="252">
        <f>IF(G2292&gt;0,(G2292*F2292*E2292),(F2292*E2292))</f>
        <v>2842.1820000000002</v>
      </c>
    </row>
    <row r="2293" spans="1:9" x14ac:dyDescent="0.2">
      <c r="A2293" s="939"/>
      <c r="B2293" s="244" t="s">
        <v>1558</v>
      </c>
      <c r="C2293" s="20" t="s">
        <v>2023</v>
      </c>
      <c r="D2293" s="19" t="s">
        <v>590</v>
      </c>
      <c r="E2293" s="194">
        <v>0.08</v>
      </c>
      <c r="F2293" s="23">
        <f>VLOOKUP(B2293,'BASE DE DATOS'!$A$5:$E$997,5,FALSE)</f>
        <v>5650</v>
      </c>
      <c r="G2293" s="58">
        <v>0</v>
      </c>
      <c r="H2293" s="252">
        <f t="shared" si="217"/>
        <v>452</v>
      </c>
    </row>
    <row r="2294" spans="1:9" x14ac:dyDescent="0.2">
      <c r="A2294" s="939"/>
      <c r="B2294" s="241" t="s">
        <v>1567</v>
      </c>
      <c r="C2294" s="3" t="s">
        <v>20</v>
      </c>
      <c r="D2294" s="2" t="s">
        <v>411</v>
      </c>
      <c r="E2294" s="114">
        <v>8</v>
      </c>
      <c r="F2294" s="23">
        <f>VLOOKUP(B2294,'BASE DE DATOS'!$A$5:$E$997,5,FALSE)</f>
        <v>329</v>
      </c>
      <c r="G2294" s="104">
        <v>0</v>
      </c>
      <c r="H2294" s="252">
        <f t="shared" si="217"/>
        <v>2632</v>
      </c>
    </row>
    <row r="2295" spans="1:9" x14ac:dyDescent="0.2">
      <c r="A2295" s="81" t="s">
        <v>2555</v>
      </c>
      <c r="B2295" s="241" t="s">
        <v>644</v>
      </c>
      <c r="C2295" s="3" t="s">
        <v>645</v>
      </c>
      <c r="D2295" s="2" t="s">
        <v>585</v>
      </c>
      <c r="E2295" s="114">
        <v>1</v>
      </c>
      <c r="F2295" s="23">
        <f>VLOOKUP(B2295,'BASE DE DATOS'!$A$5:$E$997,5,FALSE)</f>
        <v>248302</v>
      </c>
      <c r="G2295" s="58">
        <f>1/16.66667</f>
        <v>5.9999988000002398E-2</v>
      </c>
      <c r="H2295" s="252">
        <f t="shared" si="217"/>
        <v>14898.117020376596</v>
      </c>
    </row>
    <row r="2296" spans="1:9" x14ac:dyDescent="0.2">
      <c r="A2296" s="937" t="s">
        <v>293</v>
      </c>
      <c r="B2296" s="241" t="s">
        <v>598</v>
      </c>
      <c r="C2296" s="218" t="s">
        <v>3362</v>
      </c>
      <c r="D2296" s="2" t="s">
        <v>586</v>
      </c>
      <c r="E2296" s="114">
        <v>0.1</v>
      </c>
      <c r="F2296" s="23">
        <f>H2295</f>
        <v>14898.117020376596</v>
      </c>
      <c r="G2296" s="104">
        <v>0</v>
      </c>
      <c r="H2296" s="252">
        <f t="shared" si="217"/>
        <v>1489.8117020376596</v>
      </c>
    </row>
    <row r="2297" spans="1:9" ht="13.5" thickBot="1" x14ac:dyDescent="0.25">
      <c r="A2297" s="938"/>
      <c r="B2297" s="528" t="s">
        <v>269</v>
      </c>
      <c r="C2297" s="88" t="s">
        <v>284</v>
      </c>
      <c r="D2297" s="109" t="s">
        <v>586</v>
      </c>
      <c r="E2297" s="200">
        <v>0.1</v>
      </c>
      <c r="F2297" s="110">
        <f>H2295</f>
        <v>14898.117020376596</v>
      </c>
      <c r="G2297" s="156">
        <v>0</v>
      </c>
      <c r="H2297" s="479">
        <f t="shared" si="217"/>
        <v>1489.8117020376596</v>
      </c>
    </row>
    <row r="2298" spans="1:9" s="42" customFormat="1" ht="17.25" x14ac:dyDescent="0.2">
      <c r="A2298" s="67" t="s">
        <v>2530</v>
      </c>
      <c r="B2298" s="529"/>
      <c r="C2298" s="388" t="s">
        <v>2057</v>
      </c>
      <c r="D2298" s="389" t="s">
        <v>3251</v>
      </c>
      <c r="E2298" s="390"/>
      <c r="F2298" s="391">
        <f>ROUND(SUM(H2298:H2311),0)</f>
        <v>96625</v>
      </c>
      <c r="G2298" s="392"/>
      <c r="H2298" s="393"/>
      <c r="I2298" s="738"/>
    </row>
    <row r="2299" spans="1:9" x14ac:dyDescent="0.2">
      <c r="A2299" s="1013" t="s">
        <v>295</v>
      </c>
      <c r="B2299" s="241" t="s">
        <v>1288</v>
      </c>
      <c r="C2299" s="44" t="s">
        <v>3815</v>
      </c>
      <c r="D2299" s="136" t="s">
        <v>411</v>
      </c>
      <c r="E2299" s="196">
        <v>0.82</v>
      </c>
      <c r="F2299" s="23">
        <f>VLOOKUP(B2299,'BASE DE DATOS'!$A$5:$E$997,5,FALSE)</f>
        <v>2698</v>
      </c>
      <c r="G2299" s="104">
        <v>1.1000000000000001</v>
      </c>
      <c r="H2299" s="252">
        <f>IF(G2299&gt;0,(G2299*F2299*E2299),(F2299*E2299))</f>
        <v>2433.596</v>
      </c>
    </row>
    <row r="2300" spans="1:9" x14ac:dyDescent="0.2">
      <c r="A2300" s="1013"/>
      <c r="B2300" s="241" t="s">
        <v>1345</v>
      </c>
      <c r="C2300" s="44" t="s">
        <v>2855</v>
      </c>
      <c r="D2300" s="136" t="s">
        <v>405</v>
      </c>
      <c r="E2300" s="196">
        <v>4</v>
      </c>
      <c r="F2300" s="23">
        <f>VLOOKUP(B2300,'BASE DE DATOS'!$A$5:$E$997,5,FALSE)</f>
        <v>132</v>
      </c>
      <c r="G2300" s="104">
        <v>0</v>
      </c>
      <c r="H2300" s="252">
        <f>IF(G2300&gt;0,(G2300*F2300*E2300),(F2300*E2300))</f>
        <v>528</v>
      </c>
    </row>
    <row r="2301" spans="1:9" x14ac:dyDescent="0.2">
      <c r="A2301" s="1013"/>
      <c r="B2301" s="241" t="s">
        <v>1385</v>
      </c>
      <c r="C2301" s="3" t="s">
        <v>3936</v>
      </c>
      <c r="D2301" s="2" t="s">
        <v>406</v>
      </c>
      <c r="E2301" s="114">
        <v>1.25</v>
      </c>
      <c r="F2301" s="23">
        <f>VLOOKUP(B2301,'BASE DE DATOS'!$A$5:$E$997,5,FALSE)</f>
        <v>3430</v>
      </c>
      <c r="G2301" s="104">
        <v>1.03</v>
      </c>
      <c r="H2301" s="252">
        <f>IF(G2301&gt;0,(G2301*F2301*E2301),(F2301*E2301))</f>
        <v>4416.125</v>
      </c>
    </row>
    <row r="2302" spans="1:9" ht="14.25" x14ac:dyDescent="0.2">
      <c r="A2302" s="1013"/>
      <c r="B2302" s="241" t="s">
        <v>1785</v>
      </c>
      <c r="C2302" s="44" t="s">
        <v>33</v>
      </c>
      <c r="D2302" s="136" t="s">
        <v>288</v>
      </c>
      <c r="E2302" s="196">
        <v>1</v>
      </c>
      <c r="F2302" s="23">
        <f>VLOOKUP(B2302,'BASE DE DATOS'!$A$5:$E$997,5,FALSE)</f>
        <v>15318</v>
      </c>
      <c r="G2302" s="104">
        <v>1.1000000000000001</v>
      </c>
      <c r="H2302" s="252">
        <f>IF(G2302&gt;0,(G2302*F2302*E2302),(F2302*E2302))</f>
        <v>16849.800000000003</v>
      </c>
    </row>
    <row r="2303" spans="1:9" x14ac:dyDescent="0.2">
      <c r="A2303" s="1013"/>
      <c r="B2303" s="241" t="s">
        <v>1488</v>
      </c>
      <c r="C2303" s="44" t="s">
        <v>105</v>
      </c>
      <c r="D2303" s="136" t="s">
        <v>642</v>
      </c>
      <c r="E2303" s="196">
        <v>0.24</v>
      </c>
      <c r="F2303" s="23">
        <f>VLOOKUP(B2303,'BASE DE DATOS'!$A$5:$E$997,5,FALSE)</f>
        <v>20900</v>
      </c>
      <c r="G2303" s="104">
        <v>1.05</v>
      </c>
      <c r="H2303" s="252">
        <f>IF(G2303&gt;0,(G2303*F2303*E2303),(F2303*E2303))</f>
        <v>5266.8</v>
      </c>
    </row>
    <row r="2304" spans="1:9" ht="13.15" customHeight="1" x14ac:dyDescent="0.2">
      <c r="A2304" s="1013"/>
      <c r="B2304" s="241" t="s">
        <v>1503</v>
      </c>
      <c r="C2304" s="44" t="s">
        <v>103</v>
      </c>
      <c r="D2304" s="136" t="s">
        <v>411</v>
      </c>
      <c r="E2304" s="196">
        <v>0.84</v>
      </c>
      <c r="F2304" s="23">
        <f>VLOOKUP(B2304,'BASE DE DATOS'!$A$5:$E$997,5,FALSE)</f>
        <v>10606</v>
      </c>
      <c r="G2304" s="104">
        <v>1.1000000000000001</v>
      </c>
      <c r="H2304" s="252">
        <f t="shared" ref="H2304:H2311" si="218">IF(G2304&gt;0,(G2304*F2304*E2304),(F2304*E2304))</f>
        <v>9799.9439999999995</v>
      </c>
    </row>
    <row r="2305" spans="1:9" x14ac:dyDescent="0.2">
      <c r="A2305" s="1013"/>
      <c r="B2305" s="244" t="s">
        <v>1530</v>
      </c>
      <c r="C2305" s="20" t="s">
        <v>686</v>
      </c>
      <c r="D2305" s="19" t="s">
        <v>642</v>
      </c>
      <c r="E2305" s="205">
        <v>0.1</v>
      </c>
      <c r="F2305" s="23">
        <f>VLOOKUP(B2305,'BASE DE DATOS'!$A$5:$E$997,5,FALSE)</f>
        <v>69900</v>
      </c>
      <c r="G2305" s="58">
        <v>1.03</v>
      </c>
      <c r="H2305" s="252">
        <f>IF(G2305&gt;0,(G2305*F2305*E2305),(F2305*E2305))</f>
        <v>7199.7000000000007</v>
      </c>
    </row>
    <row r="2306" spans="1:9" x14ac:dyDescent="0.2">
      <c r="A2306" s="1013"/>
      <c r="B2306" s="241" t="s">
        <v>1607</v>
      </c>
      <c r="C2306" s="44" t="s">
        <v>100</v>
      </c>
      <c r="D2306" s="136" t="s">
        <v>411</v>
      </c>
      <c r="E2306" s="196">
        <v>15</v>
      </c>
      <c r="F2306" s="23">
        <f>VLOOKUP(B2306,'BASE DE DATOS'!$A$5:$E$997,5,FALSE)</f>
        <v>38</v>
      </c>
      <c r="G2306" s="104">
        <v>0</v>
      </c>
      <c r="H2306" s="252">
        <f t="shared" si="218"/>
        <v>570</v>
      </c>
    </row>
    <row r="2307" spans="1:9" x14ac:dyDescent="0.2">
      <c r="A2307" s="1013"/>
      <c r="B2307" s="241" t="s">
        <v>1608</v>
      </c>
      <c r="C2307" s="44" t="s">
        <v>101</v>
      </c>
      <c r="D2307" s="136" t="s">
        <v>411</v>
      </c>
      <c r="E2307" s="196">
        <v>15</v>
      </c>
      <c r="F2307" s="23">
        <f>VLOOKUP(B2307,'BASE DE DATOS'!$A$5:$E$997,5,FALSE)</f>
        <v>86</v>
      </c>
      <c r="G2307" s="104">
        <v>0</v>
      </c>
      <c r="H2307" s="252">
        <f t="shared" si="218"/>
        <v>1290</v>
      </c>
    </row>
    <row r="2308" spans="1:9" x14ac:dyDescent="0.2">
      <c r="A2308" s="1013"/>
      <c r="B2308" s="241" t="s">
        <v>1697</v>
      </c>
      <c r="C2308" s="44" t="s">
        <v>104</v>
      </c>
      <c r="D2308" s="136" t="s">
        <v>411</v>
      </c>
      <c r="E2308" s="196">
        <v>0.42</v>
      </c>
      <c r="F2308" s="23">
        <f>VLOOKUP(B2308,'BASE DE DATOS'!$A$5:$E$997,5,FALSE)</f>
        <v>5950</v>
      </c>
      <c r="G2308" s="104">
        <v>1.1000000000000001</v>
      </c>
      <c r="H2308" s="252">
        <f>IF(G2308&gt;0,(G2308*F2308*E2308),(F2308*E2308))</f>
        <v>2748.9</v>
      </c>
    </row>
    <row r="2309" spans="1:9" x14ac:dyDescent="0.2">
      <c r="A2309" s="81" t="s">
        <v>2555</v>
      </c>
      <c r="B2309" s="241" t="s">
        <v>644</v>
      </c>
      <c r="C2309" s="3" t="s">
        <v>645</v>
      </c>
      <c r="D2309" s="2" t="s">
        <v>585</v>
      </c>
      <c r="E2309" s="114">
        <v>1</v>
      </c>
      <c r="F2309" s="23">
        <f>VLOOKUP(B2309,'BASE DE DATOS'!$A$5:$E$997,5,FALSE)</f>
        <v>248302</v>
      </c>
      <c r="G2309" s="104">
        <f>1/6</f>
        <v>0.16666666666666666</v>
      </c>
      <c r="H2309" s="252">
        <f t="shared" si="218"/>
        <v>41383.666666666664</v>
      </c>
    </row>
    <row r="2310" spans="1:9" x14ac:dyDescent="0.2">
      <c r="A2310" s="937" t="s">
        <v>293</v>
      </c>
      <c r="B2310" s="241" t="s">
        <v>598</v>
      </c>
      <c r="C2310" s="218" t="s">
        <v>3362</v>
      </c>
      <c r="D2310" s="2" t="s">
        <v>586</v>
      </c>
      <c r="E2310" s="114">
        <v>0.05</v>
      </c>
      <c r="F2310" s="23">
        <f>H2309</f>
        <v>41383.666666666664</v>
      </c>
      <c r="G2310" s="104">
        <v>0</v>
      </c>
      <c r="H2310" s="252">
        <f t="shared" si="218"/>
        <v>2069.1833333333334</v>
      </c>
    </row>
    <row r="2311" spans="1:9" ht="13.5" thickBot="1" x14ac:dyDescent="0.25">
      <c r="A2311" s="938"/>
      <c r="B2311" s="528" t="s">
        <v>269</v>
      </c>
      <c r="C2311" s="88" t="s">
        <v>284</v>
      </c>
      <c r="D2311" s="109" t="s">
        <v>586</v>
      </c>
      <c r="E2311" s="200">
        <v>0.05</v>
      </c>
      <c r="F2311" s="110">
        <f>H2309</f>
        <v>41383.666666666664</v>
      </c>
      <c r="G2311" s="156">
        <v>0</v>
      </c>
      <c r="H2311" s="479">
        <f t="shared" si="218"/>
        <v>2069.1833333333334</v>
      </c>
    </row>
    <row r="2312" spans="1:9" s="42" customFormat="1" ht="17.25" x14ac:dyDescent="0.2">
      <c r="A2312" s="67" t="s">
        <v>2531</v>
      </c>
      <c r="B2312" s="529"/>
      <c r="C2312" s="388" t="s">
        <v>24</v>
      </c>
      <c r="D2312" s="389" t="s">
        <v>3251</v>
      </c>
      <c r="E2312" s="395"/>
      <c r="F2312" s="391">
        <f>ROUND(SUM(H2312:H2321),0)</f>
        <v>94715</v>
      </c>
      <c r="G2312" s="392"/>
      <c r="H2312" s="393"/>
      <c r="I2312" s="738"/>
    </row>
    <row r="2313" spans="1:9" x14ac:dyDescent="0.2">
      <c r="A2313" s="939" t="s">
        <v>295</v>
      </c>
      <c r="B2313" s="244" t="s">
        <v>1281</v>
      </c>
      <c r="C2313" s="20" t="s">
        <v>2606</v>
      </c>
      <c r="D2313" s="19" t="s">
        <v>406</v>
      </c>
      <c r="E2313" s="194">
        <v>0.02</v>
      </c>
      <c r="F2313" s="23">
        <f>VLOOKUP(B2313,'BASE DE DATOS'!$A$5:$E$997,5,FALSE)</f>
        <v>11400</v>
      </c>
      <c r="G2313" s="58">
        <v>1.03</v>
      </c>
      <c r="H2313" s="252">
        <f>IF(G2313&gt;0,(G2313*F2313*E2313),(F2313*E2313))</f>
        <v>234.84</v>
      </c>
    </row>
    <row r="2314" spans="1:9" x14ac:dyDescent="0.2">
      <c r="A2314" s="939"/>
      <c r="B2314" s="244" t="s">
        <v>1767</v>
      </c>
      <c r="C2314" s="102" t="s">
        <v>3881</v>
      </c>
      <c r="D2314" s="138" t="s">
        <v>411</v>
      </c>
      <c r="E2314" s="194">
        <v>0.72</v>
      </c>
      <c r="F2314" s="23">
        <f>VLOOKUP(B2314,'BASE DE DATOS'!$A$5:$E$997,5,FALSE)</f>
        <v>75200</v>
      </c>
      <c r="G2314" s="58">
        <v>1.05</v>
      </c>
      <c r="H2314" s="252">
        <f>IF(G2314&gt;0,(G2314*F2314*E2314),(F2314*E2314))</f>
        <v>56851.199999999997</v>
      </c>
    </row>
    <row r="2315" spans="1:9" x14ac:dyDescent="0.2">
      <c r="A2315" s="939"/>
      <c r="B2315" s="241" t="s">
        <v>1513</v>
      </c>
      <c r="C2315" s="44" t="s">
        <v>21</v>
      </c>
      <c r="D2315" s="13" t="s">
        <v>411</v>
      </c>
      <c r="E2315" s="114">
        <v>0.22</v>
      </c>
      <c r="F2315" s="23">
        <f>VLOOKUP(B2315,'BASE DE DATOS'!$A$5:$E$997,5,FALSE)</f>
        <v>20594</v>
      </c>
      <c r="G2315" s="104">
        <v>1.03</v>
      </c>
      <c r="H2315" s="252">
        <f>IF(G2315&gt;0,(G2315*F2315*E2315),(F2315*E2315))</f>
        <v>4666.6004000000003</v>
      </c>
    </row>
    <row r="2316" spans="1:9" ht="13.15" customHeight="1" x14ac:dyDescent="0.2">
      <c r="A2316" s="939"/>
      <c r="B2316" s="241" t="s">
        <v>1514</v>
      </c>
      <c r="C2316" s="44" t="s">
        <v>23</v>
      </c>
      <c r="D2316" s="136" t="s">
        <v>411</v>
      </c>
      <c r="E2316" s="114">
        <v>0.45</v>
      </c>
      <c r="F2316" s="23">
        <f>VLOOKUP(B2316,'BASE DE DATOS'!$A$5:$E$997,5,FALSE)</f>
        <v>21606</v>
      </c>
      <c r="G2316" s="104">
        <v>1.03</v>
      </c>
      <c r="H2316" s="252">
        <f t="shared" ref="H2316:H2321" si="219">IF(G2316&gt;0,(G2316*F2316*E2316),(F2316*E2316))</f>
        <v>10014.381000000001</v>
      </c>
    </row>
    <row r="2317" spans="1:9" x14ac:dyDescent="0.2">
      <c r="A2317" s="939"/>
      <c r="B2317" s="244" t="s">
        <v>1558</v>
      </c>
      <c r="C2317" s="20" t="s">
        <v>2023</v>
      </c>
      <c r="D2317" s="19" t="s">
        <v>590</v>
      </c>
      <c r="E2317" s="194">
        <v>0.08</v>
      </c>
      <c r="F2317" s="23">
        <f>VLOOKUP(B2317,'BASE DE DATOS'!$A$5:$E$997,5,FALSE)</f>
        <v>5650</v>
      </c>
      <c r="G2317" s="58">
        <v>0</v>
      </c>
      <c r="H2317" s="252">
        <f t="shared" si="219"/>
        <v>452</v>
      </c>
    </row>
    <row r="2318" spans="1:9" x14ac:dyDescent="0.2">
      <c r="A2318" s="939"/>
      <c r="B2318" s="244" t="s">
        <v>1567</v>
      </c>
      <c r="C2318" s="20" t="s">
        <v>20</v>
      </c>
      <c r="D2318" s="19" t="s">
        <v>411</v>
      </c>
      <c r="E2318" s="194">
        <v>8</v>
      </c>
      <c r="F2318" s="23">
        <f>VLOOKUP(B2318,'BASE DE DATOS'!$A$5:$E$997,5,FALSE)</f>
        <v>329</v>
      </c>
      <c r="G2318" s="58">
        <v>0</v>
      </c>
      <c r="H2318" s="252">
        <f t="shared" si="219"/>
        <v>2632</v>
      </c>
    </row>
    <row r="2319" spans="1:9" x14ac:dyDescent="0.2">
      <c r="A2319" s="81" t="s">
        <v>2555</v>
      </c>
      <c r="B2319" s="244" t="s">
        <v>644</v>
      </c>
      <c r="C2319" s="20" t="s">
        <v>645</v>
      </c>
      <c r="D2319" s="19" t="s">
        <v>585</v>
      </c>
      <c r="E2319" s="194">
        <v>1</v>
      </c>
      <c r="F2319" s="23">
        <f>VLOOKUP(B2319,'BASE DE DATOS'!$A$5:$E$997,5,FALSE)</f>
        <v>248302</v>
      </c>
      <c r="G2319" s="58">
        <f>1/15</f>
        <v>6.6666666666666666E-2</v>
      </c>
      <c r="H2319" s="252">
        <f t="shared" si="219"/>
        <v>16553.466666666667</v>
      </c>
    </row>
    <row r="2320" spans="1:9" x14ac:dyDescent="0.2">
      <c r="A2320" s="937" t="s">
        <v>293</v>
      </c>
      <c r="B2320" s="241" t="s">
        <v>598</v>
      </c>
      <c r="C2320" s="218" t="s">
        <v>3362</v>
      </c>
      <c r="D2320" s="19" t="s">
        <v>586</v>
      </c>
      <c r="E2320" s="194">
        <v>0.1</v>
      </c>
      <c r="F2320" s="56">
        <f>H2319</f>
        <v>16553.466666666667</v>
      </c>
      <c r="G2320" s="58">
        <v>0</v>
      </c>
      <c r="H2320" s="252">
        <f t="shared" si="219"/>
        <v>1655.3466666666668</v>
      </c>
    </row>
    <row r="2321" spans="1:9" ht="13.5" thickBot="1" x14ac:dyDescent="0.25">
      <c r="A2321" s="938"/>
      <c r="B2321" s="528" t="s">
        <v>269</v>
      </c>
      <c r="C2321" s="88" t="s">
        <v>284</v>
      </c>
      <c r="D2321" s="112" t="s">
        <v>586</v>
      </c>
      <c r="E2321" s="201">
        <v>0.1</v>
      </c>
      <c r="F2321" s="113">
        <f>H2319</f>
        <v>16553.466666666667</v>
      </c>
      <c r="G2321" s="157">
        <v>0</v>
      </c>
      <c r="H2321" s="479">
        <f t="shared" si="219"/>
        <v>1655.3466666666668</v>
      </c>
    </row>
    <row r="2322" spans="1:9" s="42" customFormat="1" ht="17.25" x14ac:dyDescent="0.2">
      <c r="A2322" s="67" t="s">
        <v>2532</v>
      </c>
      <c r="B2322" s="526"/>
      <c r="C2322" s="399" t="s">
        <v>25</v>
      </c>
      <c r="D2322" s="326" t="s">
        <v>3251</v>
      </c>
      <c r="E2322" s="400"/>
      <c r="F2322" s="401">
        <f>ROUND(SUM(H2322:H2331),0)</f>
        <v>90041</v>
      </c>
      <c r="G2322" s="402"/>
      <c r="H2322" s="330"/>
      <c r="I2322" s="738"/>
    </row>
    <row r="2323" spans="1:9" x14ac:dyDescent="0.2">
      <c r="A2323" s="939" t="s">
        <v>295</v>
      </c>
      <c r="B2323" s="244" t="s">
        <v>1281</v>
      </c>
      <c r="C2323" s="20" t="s">
        <v>2606</v>
      </c>
      <c r="D2323" s="19" t="s">
        <v>406</v>
      </c>
      <c r="E2323" s="194">
        <v>0.02</v>
      </c>
      <c r="F2323" s="23">
        <f>VLOOKUP(B2323,'BASE DE DATOS'!$A$5:$E$997,5,FALSE)</f>
        <v>11400</v>
      </c>
      <c r="G2323" s="58">
        <v>1.03</v>
      </c>
      <c r="H2323" s="252">
        <f>IF(G2323&gt;0,(G2323*F2323*E2323),(F2323*E2323))</f>
        <v>234.84</v>
      </c>
    </row>
    <row r="2324" spans="1:9" x14ac:dyDescent="0.2">
      <c r="A2324" s="939"/>
      <c r="B2324" s="244" t="s">
        <v>1767</v>
      </c>
      <c r="C2324" s="102" t="s">
        <v>3881</v>
      </c>
      <c r="D2324" s="138" t="s">
        <v>411</v>
      </c>
      <c r="E2324" s="194">
        <v>0.72</v>
      </c>
      <c r="F2324" s="23">
        <f>VLOOKUP(B2324,'BASE DE DATOS'!$A$5:$E$997,5,FALSE)</f>
        <v>75200</v>
      </c>
      <c r="G2324" s="58">
        <v>1.05</v>
      </c>
      <c r="H2324" s="252">
        <f>IF(G2324&gt;0,(G2324*F2324*E2324),(F2324*E2324))</f>
        <v>56851.199999999997</v>
      </c>
    </row>
    <row r="2325" spans="1:9" x14ac:dyDescent="0.2">
      <c r="A2325" s="939"/>
      <c r="B2325" s="244" t="s">
        <v>1517</v>
      </c>
      <c r="C2325" s="102" t="s">
        <v>22</v>
      </c>
      <c r="D2325" s="18" t="s">
        <v>411</v>
      </c>
      <c r="E2325" s="194">
        <v>0.22</v>
      </c>
      <c r="F2325" s="23">
        <f>VLOOKUP(B2325,'BASE DE DATOS'!$A$5:$E$997,5,FALSE)</f>
        <v>14500</v>
      </c>
      <c r="G2325" s="58">
        <v>1.03</v>
      </c>
      <c r="H2325" s="252">
        <f>IF(G2325&gt;0,(G2325*F2325*E2325),(F2325*E2325))</f>
        <v>3285.7</v>
      </c>
    </row>
    <row r="2326" spans="1:9" ht="13.15" customHeight="1" x14ac:dyDescent="0.2">
      <c r="A2326" s="939"/>
      <c r="B2326" s="244" t="s">
        <v>1512</v>
      </c>
      <c r="C2326" s="102" t="s">
        <v>19</v>
      </c>
      <c r="D2326" s="138" t="s">
        <v>411</v>
      </c>
      <c r="E2326" s="194">
        <v>0.45</v>
      </c>
      <c r="F2326" s="23">
        <f>VLOOKUP(B2326,'BASE DE DATOS'!$A$5:$E$997,5,FALSE)</f>
        <v>14500</v>
      </c>
      <c r="G2326" s="58">
        <v>1.03</v>
      </c>
      <c r="H2326" s="252">
        <f t="shared" ref="H2326:H2331" si="220">IF(G2326&gt;0,(G2326*F2326*E2326),(F2326*E2326))</f>
        <v>6720.75</v>
      </c>
    </row>
    <row r="2327" spans="1:9" x14ac:dyDescent="0.2">
      <c r="A2327" s="939"/>
      <c r="B2327" s="244" t="s">
        <v>1558</v>
      </c>
      <c r="C2327" s="20" t="s">
        <v>2023</v>
      </c>
      <c r="D2327" s="19" t="s">
        <v>590</v>
      </c>
      <c r="E2327" s="194">
        <v>0.08</v>
      </c>
      <c r="F2327" s="23">
        <f>VLOOKUP(B2327,'BASE DE DATOS'!$A$5:$E$997,5,FALSE)</f>
        <v>5650</v>
      </c>
      <c r="G2327" s="58">
        <v>0</v>
      </c>
      <c r="H2327" s="252">
        <f t="shared" si="220"/>
        <v>452</v>
      </c>
    </row>
    <row r="2328" spans="1:9" x14ac:dyDescent="0.2">
      <c r="A2328" s="939"/>
      <c r="B2328" s="244" t="s">
        <v>1567</v>
      </c>
      <c r="C2328" s="20" t="s">
        <v>20</v>
      </c>
      <c r="D2328" s="19" t="s">
        <v>411</v>
      </c>
      <c r="E2328" s="194">
        <v>8</v>
      </c>
      <c r="F2328" s="23">
        <f>VLOOKUP(B2328,'BASE DE DATOS'!$A$5:$E$997,5,FALSE)</f>
        <v>329</v>
      </c>
      <c r="G2328" s="58">
        <v>0</v>
      </c>
      <c r="H2328" s="252">
        <f t="shared" si="220"/>
        <v>2632</v>
      </c>
    </row>
    <row r="2329" spans="1:9" x14ac:dyDescent="0.2">
      <c r="A2329" s="81" t="s">
        <v>2555</v>
      </c>
      <c r="B2329" s="244" t="s">
        <v>644</v>
      </c>
      <c r="C2329" s="20" t="s">
        <v>645</v>
      </c>
      <c r="D2329" s="19" t="s">
        <v>585</v>
      </c>
      <c r="E2329" s="194">
        <v>1</v>
      </c>
      <c r="F2329" s="23">
        <f>VLOOKUP(B2329,'BASE DE DATOS'!$A$5:$E$997,5,FALSE)</f>
        <v>248302</v>
      </c>
      <c r="G2329" s="58">
        <f>1/15</f>
        <v>6.6666666666666666E-2</v>
      </c>
      <c r="H2329" s="252">
        <f t="shared" si="220"/>
        <v>16553.466666666667</v>
      </c>
    </row>
    <row r="2330" spans="1:9" x14ac:dyDescent="0.2">
      <c r="A2330" s="937" t="s">
        <v>293</v>
      </c>
      <c r="B2330" s="241" t="s">
        <v>598</v>
      </c>
      <c r="C2330" s="218" t="s">
        <v>3362</v>
      </c>
      <c r="D2330" s="2" t="s">
        <v>586</v>
      </c>
      <c r="E2330" s="114">
        <v>0.1</v>
      </c>
      <c r="F2330" s="23">
        <f>H2329</f>
        <v>16553.466666666667</v>
      </c>
      <c r="G2330" s="104">
        <v>0</v>
      </c>
      <c r="H2330" s="252">
        <f t="shared" si="220"/>
        <v>1655.3466666666668</v>
      </c>
    </row>
    <row r="2331" spans="1:9" ht="13.5" thickBot="1" x14ac:dyDescent="0.25">
      <c r="A2331" s="938"/>
      <c r="B2331" s="528" t="s">
        <v>269</v>
      </c>
      <c r="C2331" s="88" t="s">
        <v>284</v>
      </c>
      <c r="D2331" s="109" t="s">
        <v>586</v>
      </c>
      <c r="E2331" s="200">
        <v>0.1</v>
      </c>
      <c r="F2331" s="110">
        <f>H2329</f>
        <v>16553.466666666667</v>
      </c>
      <c r="G2331" s="156">
        <v>0</v>
      </c>
      <c r="H2331" s="479">
        <f t="shared" si="220"/>
        <v>1655.3466666666668</v>
      </c>
    </row>
    <row r="2332" spans="1:9" s="42" customFormat="1" ht="17.25" x14ac:dyDescent="0.2">
      <c r="A2332" s="67" t="s">
        <v>2533</v>
      </c>
      <c r="B2332" s="529"/>
      <c r="C2332" s="388" t="s">
        <v>26</v>
      </c>
      <c r="D2332" s="389" t="s">
        <v>3251</v>
      </c>
      <c r="E2332" s="395"/>
      <c r="F2332" s="391">
        <f>ROUND(SUM(H2332:H2341),0)</f>
        <v>89922</v>
      </c>
      <c r="G2332" s="392"/>
      <c r="H2332" s="393"/>
      <c r="I2332" s="738"/>
    </row>
    <row r="2333" spans="1:9" x14ac:dyDescent="0.2">
      <c r="A2333" s="939" t="s">
        <v>295</v>
      </c>
      <c r="B2333" s="241" t="s">
        <v>1281</v>
      </c>
      <c r="C2333" s="3" t="s">
        <v>2606</v>
      </c>
      <c r="D2333" s="2" t="s">
        <v>406</v>
      </c>
      <c r="E2333" s="114">
        <v>0.02</v>
      </c>
      <c r="F2333" s="23">
        <f>VLOOKUP(B2333,'BASE DE DATOS'!$A$5:$E$997,5,FALSE)</f>
        <v>11400</v>
      </c>
      <c r="G2333" s="104">
        <v>1.03</v>
      </c>
      <c r="H2333" s="252">
        <f>IF(G2333&gt;0,(G2333*F2333*E2333),(F2333*E2333))</f>
        <v>234.84</v>
      </c>
    </row>
    <row r="2334" spans="1:9" x14ac:dyDescent="0.2">
      <c r="A2334" s="939"/>
      <c r="B2334" s="241" t="s">
        <v>1767</v>
      </c>
      <c r="C2334" s="44" t="s">
        <v>3881</v>
      </c>
      <c r="D2334" s="136" t="s">
        <v>411</v>
      </c>
      <c r="E2334" s="114">
        <v>0.72</v>
      </c>
      <c r="F2334" s="23">
        <f>VLOOKUP(B2334,'BASE DE DATOS'!$A$5:$E$997,5,FALSE)</f>
        <v>75200</v>
      </c>
      <c r="G2334" s="104">
        <v>1.05</v>
      </c>
      <c r="H2334" s="252">
        <f>IF(G2334&gt;0,(G2334*F2334*E2334),(F2334*E2334))</f>
        <v>56851.199999999997</v>
      </c>
    </row>
    <row r="2335" spans="1:9" x14ac:dyDescent="0.2">
      <c r="A2335" s="939"/>
      <c r="B2335" s="241" t="s">
        <v>1515</v>
      </c>
      <c r="C2335" s="44" t="s">
        <v>17</v>
      </c>
      <c r="D2335" s="13" t="s">
        <v>411</v>
      </c>
      <c r="E2335" s="114">
        <v>0.22</v>
      </c>
      <c r="F2335" s="23">
        <f>VLOOKUP(B2335,'BASE DE DATOS'!$A$5:$E$997,5,FALSE)</f>
        <v>15000</v>
      </c>
      <c r="G2335" s="104">
        <v>1.03</v>
      </c>
      <c r="H2335" s="252">
        <f>IF(G2335&gt;0,(G2335*F2335*E2335),(F2335*E2335))</f>
        <v>3399</v>
      </c>
    </row>
    <row r="2336" spans="1:9" ht="13.15" customHeight="1" x14ac:dyDescent="0.2">
      <c r="A2336" s="939"/>
      <c r="B2336" s="241" t="s">
        <v>1516</v>
      </c>
      <c r="C2336" s="44" t="s">
        <v>18</v>
      </c>
      <c r="D2336" s="136" t="s">
        <v>411</v>
      </c>
      <c r="E2336" s="114">
        <v>0.45</v>
      </c>
      <c r="F2336" s="23">
        <f>VLOOKUP(B2336,'BASE DE DATOS'!$A$5:$E$997,5,FALSE)</f>
        <v>14000</v>
      </c>
      <c r="G2336" s="104">
        <v>1.03</v>
      </c>
      <c r="H2336" s="252">
        <f t="shared" ref="H2336:H2341" si="221">IF(G2336&gt;0,(G2336*F2336*E2336),(F2336*E2336))</f>
        <v>6489</v>
      </c>
    </row>
    <row r="2337" spans="1:9" x14ac:dyDescent="0.2">
      <c r="A2337" s="939"/>
      <c r="B2337" s="241" t="s">
        <v>1558</v>
      </c>
      <c r="C2337" s="3" t="s">
        <v>2023</v>
      </c>
      <c r="D2337" s="2" t="s">
        <v>590</v>
      </c>
      <c r="E2337" s="114">
        <v>0.08</v>
      </c>
      <c r="F2337" s="23">
        <f>VLOOKUP(B2337,'BASE DE DATOS'!$A$5:$E$997,5,FALSE)</f>
        <v>5650</v>
      </c>
      <c r="G2337" s="104">
        <v>0</v>
      </c>
      <c r="H2337" s="252">
        <f t="shared" si="221"/>
        <v>452</v>
      </c>
    </row>
    <row r="2338" spans="1:9" x14ac:dyDescent="0.2">
      <c r="A2338" s="939"/>
      <c r="B2338" s="241" t="s">
        <v>1567</v>
      </c>
      <c r="C2338" s="3" t="s">
        <v>20</v>
      </c>
      <c r="D2338" s="2" t="s">
        <v>411</v>
      </c>
      <c r="E2338" s="114">
        <v>8</v>
      </c>
      <c r="F2338" s="23">
        <f>VLOOKUP(B2338,'BASE DE DATOS'!$A$5:$E$997,5,FALSE)</f>
        <v>329</v>
      </c>
      <c r="G2338" s="104">
        <v>0</v>
      </c>
      <c r="H2338" s="252">
        <f t="shared" si="221"/>
        <v>2632</v>
      </c>
    </row>
    <row r="2339" spans="1:9" x14ac:dyDescent="0.2">
      <c r="A2339" s="81" t="s">
        <v>2555</v>
      </c>
      <c r="B2339" s="241" t="s">
        <v>644</v>
      </c>
      <c r="C2339" s="3" t="s">
        <v>645</v>
      </c>
      <c r="D2339" s="2" t="s">
        <v>585</v>
      </c>
      <c r="E2339" s="114">
        <v>1</v>
      </c>
      <c r="F2339" s="23">
        <f>VLOOKUP(B2339,'BASE DE DATOS'!$A$5:$E$997,5,FALSE)</f>
        <v>248302</v>
      </c>
      <c r="G2339" s="104">
        <f>1/15</f>
        <v>6.6666666666666666E-2</v>
      </c>
      <c r="H2339" s="252">
        <f t="shared" si="221"/>
        <v>16553.466666666667</v>
      </c>
    </row>
    <row r="2340" spans="1:9" x14ac:dyDescent="0.2">
      <c r="A2340" s="937" t="s">
        <v>293</v>
      </c>
      <c r="B2340" s="241" t="s">
        <v>598</v>
      </c>
      <c r="C2340" s="218" t="s">
        <v>3362</v>
      </c>
      <c r="D2340" s="2" t="s">
        <v>586</v>
      </c>
      <c r="E2340" s="114">
        <v>0.1</v>
      </c>
      <c r="F2340" s="23">
        <f>H2339</f>
        <v>16553.466666666667</v>
      </c>
      <c r="G2340" s="104">
        <v>0</v>
      </c>
      <c r="H2340" s="252">
        <f t="shared" si="221"/>
        <v>1655.3466666666668</v>
      </c>
    </row>
    <row r="2341" spans="1:9" ht="13.5" thickBot="1" x14ac:dyDescent="0.25">
      <c r="A2341" s="938"/>
      <c r="B2341" s="528" t="s">
        <v>269</v>
      </c>
      <c r="C2341" s="88" t="s">
        <v>284</v>
      </c>
      <c r="D2341" s="109" t="s">
        <v>586</v>
      </c>
      <c r="E2341" s="200">
        <v>0.1</v>
      </c>
      <c r="F2341" s="110">
        <f>H2339</f>
        <v>16553.466666666667</v>
      </c>
      <c r="G2341" s="156">
        <v>0</v>
      </c>
      <c r="H2341" s="479">
        <f t="shared" si="221"/>
        <v>1655.3466666666668</v>
      </c>
    </row>
    <row r="2342" spans="1:9" s="42" customFormat="1" ht="45" x14ac:dyDescent="0.2">
      <c r="A2342" s="67" t="s">
        <v>2534</v>
      </c>
      <c r="B2342" s="526"/>
      <c r="C2342" s="399" t="s">
        <v>3350</v>
      </c>
      <c r="D2342" s="326" t="s">
        <v>3251</v>
      </c>
      <c r="E2342" s="414"/>
      <c r="F2342" s="401">
        <f>ROUND(SUM(H2342:H2347),0)</f>
        <v>41828</v>
      </c>
      <c r="G2342" s="402"/>
      <c r="H2342" s="330"/>
      <c r="I2342" s="738"/>
    </row>
    <row r="2343" spans="1:9" x14ac:dyDescent="0.2">
      <c r="A2343" s="936" t="s">
        <v>382</v>
      </c>
      <c r="B2343" s="244" t="s">
        <v>1281</v>
      </c>
      <c r="C2343" s="20" t="s">
        <v>2606</v>
      </c>
      <c r="D2343" s="19" t="s">
        <v>406</v>
      </c>
      <c r="E2343" s="198">
        <v>0.3</v>
      </c>
      <c r="F2343" s="23">
        <f>VLOOKUP(B2343,'BASE DE DATOS'!$A$5:$E$997,5,FALSE)</f>
        <v>11400</v>
      </c>
      <c r="G2343" s="58">
        <v>1.05</v>
      </c>
      <c r="H2343" s="252">
        <f>IF(G2343&gt;0,(G2343*F2343*E2343),(F2343*E2343))</f>
        <v>3591</v>
      </c>
    </row>
    <row r="2344" spans="1:9" x14ac:dyDescent="0.2">
      <c r="A2344" s="936"/>
      <c r="B2344" s="244" t="s">
        <v>1530</v>
      </c>
      <c r="C2344" s="20" t="s">
        <v>686</v>
      </c>
      <c r="D2344" s="19" t="s">
        <v>642</v>
      </c>
      <c r="E2344" s="198">
        <v>0.1</v>
      </c>
      <c r="F2344" s="23">
        <f>VLOOKUP(B2344,'BASE DE DATOS'!$A$5:$E$997,5,FALSE)</f>
        <v>69900</v>
      </c>
      <c r="G2344" s="58">
        <v>1.03</v>
      </c>
      <c r="H2344" s="252">
        <f t="shared" ref="H2344:H2347" si="222">IF(G2344&gt;0,(G2344*F2344*E2344),(F2344*E2344))</f>
        <v>7199.7000000000007</v>
      </c>
    </row>
    <row r="2345" spans="1:9" x14ac:dyDescent="0.2">
      <c r="A2345" s="81" t="s">
        <v>2555</v>
      </c>
      <c r="B2345" s="244" t="s">
        <v>644</v>
      </c>
      <c r="C2345" s="20" t="s">
        <v>645</v>
      </c>
      <c r="D2345" s="19" t="s">
        <v>585</v>
      </c>
      <c r="E2345" s="198">
        <v>1</v>
      </c>
      <c r="F2345" s="23">
        <f>VLOOKUP(B2345,'BASE DE DATOS'!$A$5:$E$997,5,FALSE)</f>
        <v>248302</v>
      </c>
      <c r="G2345" s="58">
        <f>1/10</f>
        <v>0.1</v>
      </c>
      <c r="H2345" s="252">
        <f t="shared" si="222"/>
        <v>24830.2</v>
      </c>
    </row>
    <row r="2346" spans="1:9" x14ac:dyDescent="0.2">
      <c r="A2346" s="937" t="s">
        <v>293</v>
      </c>
      <c r="B2346" s="241" t="s">
        <v>598</v>
      </c>
      <c r="C2346" s="218" t="s">
        <v>3362</v>
      </c>
      <c r="D2346" s="19" t="s">
        <v>586</v>
      </c>
      <c r="E2346" s="198">
        <v>0.1</v>
      </c>
      <c r="F2346" s="56">
        <f>H2345</f>
        <v>24830.2</v>
      </c>
      <c r="G2346" s="58">
        <v>0</v>
      </c>
      <c r="H2346" s="252">
        <f t="shared" si="222"/>
        <v>2483.0200000000004</v>
      </c>
    </row>
    <row r="2347" spans="1:9" ht="13.5" thickBot="1" x14ac:dyDescent="0.25">
      <c r="A2347" s="938"/>
      <c r="B2347" s="528" t="s">
        <v>269</v>
      </c>
      <c r="C2347" s="88" t="s">
        <v>284</v>
      </c>
      <c r="D2347" s="112" t="s">
        <v>586</v>
      </c>
      <c r="E2347" s="206">
        <v>0.15</v>
      </c>
      <c r="F2347" s="113">
        <f>H2345</f>
        <v>24830.2</v>
      </c>
      <c r="G2347" s="157">
        <v>0</v>
      </c>
      <c r="H2347" s="479">
        <f t="shared" si="222"/>
        <v>3724.5299999999997</v>
      </c>
    </row>
    <row r="2348" spans="1:9" s="42" customFormat="1" ht="30" x14ac:dyDescent="0.2">
      <c r="A2348" s="67" t="s">
        <v>2535</v>
      </c>
      <c r="B2348" s="529"/>
      <c r="C2348" s="388" t="s">
        <v>1976</v>
      </c>
      <c r="D2348" s="389" t="s">
        <v>405</v>
      </c>
      <c r="E2348" s="395"/>
      <c r="F2348" s="391">
        <f>ROUND(SUM(H2348:H2355),0)</f>
        <v>117457</v>
      </c>
      <c r="G2348" s="392"/>
      <c r="H2348" s="393"/>
      <c r="I2348" s="738"/>
    </row>
    <row r="2349" spans="1:9" ht="25.5" x14ac:dyDescent="0.2">
      <c r="A2349" s="936" t="s">
        <v>382</v>
      </c>
      <c r="B2349" s="241" t="s">
        <v>1254</v>
      </c>
      <c r="C2349" s="3" t="s">
        <v>2691</v>
      </c>
      <c r="D2349" s="2" t="s">
        <v>411</v>
      </c>
      <c r="E2349" s="114">
        <v>1</v>
      </c>
      <c r="F2349" s="23">
        <f>VLOOKUP(B2349,'BASE DE DATOS'!$A$5:$E$997,5,FALSE)</f>
        <v>5875</v>
      </c>
      <c r="G2349" s="104">
        <v>0</v>
      </c>
      <c r="H2349" s="252">
        <f t="shared" ref="H2349:H2355" si="223">IF(G2349&gt;0,(G2349*F2349*E2349),(F2349*E2349))</f>
        <v>5875</v>
      </c>
    </row>
    <row r="2350" spans="1:9" ht="14.25" x14ac:dyDescent="0.2">
      <c r="A2350" s="936"/>
      <c r="B2350" s="244" t="s">
        <v>1448</v>
      </c>
      <c r="C2350" s="20" t="s">
        <v>3717</v>
      </c>
      <c r="D2350" s="136" t="s">
        <v>288</v>
      </c>
      <c r="E2350" s="194">
        <v>0.7</v>
      </c>
      <c r="F2350" s="23">
        <f>VLOOKUP(B2350,'BASE DE DATOS'!$A$5:$E$997,5,FALSE)</f>
        <v>69168</v>
      </c>
      <c r="G2350" s="58">
        <v>1.1499999999999999</v>
      </c>
      <c r="H2350" s="252">
        <f>IF(G2350&gt;0,(G2350*F2350*E2350),(F2350*E2350))</f>
        <v>55680.24</v>
      </c>
    </row>
    <row r="2351" spans="1:9" x14ac:dyDescent="0.2">
      <c r="A2351" s="936"/>
      <c r="B2351" s="241" t="s">
        <v>1728</v>
      </c>
      <c r="C2351" s="3" t="s">
        <v>107</v>
      </c>
      <c r="D2351" s="2" t="s">
        <v>406</v>
      </c>
      <c r="E2351" s="114">
        <v>0.1</v>
      </c>
      <c r="F2351" s="23">
        <f>VLOOKUP(B2351,'BASE DE DATOS'!$A$5:$E$997,5,FALSE)</f>
        <v>25900</v>
      </c>
      <c r="G2351" s="104">
        <v>1.03</v>
      </c>
      <c r="H2351" s="252">
        <f t="shared" si="223"/>
        <v>2667.7000000000003</v>
      </c>
    </row>
    <row r="2352" spans="1:9" x14ac:dyDescent="0.2">
      <c r="A2352" s="591" t="s">
        <v>2555</v>
      </c>
      <c r="B2352" s="244" t="s">
        <v>644</v>
      </c>
      <c r="C2352" s="20" t="s">
        <v>645</v>
      </c>
      <c r="D2352" s="19" t="s">
        <v>585</v>
      </c>
      <c r="E2352" s="194">
        <v>1</v>
      </c>
      <c r="F2352" s="23">
        <f>VLOOKUP(B2352,'BASE DE DATOS'!$A$5:$E$997,5,FALSE)</f>
        <v>248302</v>
      </c>
      <c r="G2352" s="58">
        <f>1/5.7</f>
        <v>0.17543859649122806</v>
      </c>
      <c r="H2352" s="252">
        <f t="shared" si="223"/>
        <v>43561.754385964909</v>
      </c>
    </row>
    <row r="2353" spans="1:9" x14ac:dyDescent="0.2">
      <c r="A2353" s="937" t="s">
        <v>293</v>
      </c>
      <c r="B2353" s="244" t="s">
        <v>598</v>
      </c>
      <c r="C2353" s="214" t="s">
        <v>3362</v>
      </c>
      <c r="D2353" s="215" t="s">
        <v>586</v>
      </c>
      <c r="E2353" s="194">
        <v>0.1</v>
      </c>
      <c r="F2353" s="598">
        <f>H2352</f>
        <v>43561.754385964909</v>
      </c>
      <c r="G2353" s="216">
        <v>0</v>
      </c>
      <c r="H2353" s="252">
        <f>IF(G2353&gt;0,(G2353*F2353*E2353),(F2353*E2353))</f>
        <v>4356.1754385964914</v>
      </c>
    </row>
    <row r="2354" spans="1:9" x14ac:dyDescent="0.2">
      <c r="A2354" s="937"/>
      <c r="B2354" s="244" t="s">
        <v>254</v>
      </c>
      <c r="C2354" s="214" t="s">
        <v>341</v>
      </c>
      <c r="D2354" s="215" t="s">
        <v>585</v>
      </c>
      <c r="E2354" s="194">
        <v>1</v>
      </c>
      <c r="F2354" s="220">
        <f>VLOOKUP(B2354,'BASE DE DATOS'!$A$5:$E$997,5,FALSE)</f>
        <v>48000</v>
      </c>
      <c r="G2354" s="216">
        <f>1/50</f>
        <v>0.02</v>
      </c>
      <c r="H2354" s="252">
        <f>IF(G2354&gt;0,(G2354*F2354*E2354),(F2354*E2354))</f>
        <v>960</v>
      </c>
    </row>
    <row r="2355" spans="1:9" ht="13.5" thickBot="1" x14ac:dyDescent="0.25">
      <c r="A2355" s="938"/>
      <c r="B2355" s="543" t="s">
        <v>269</v>
      </c>
      <c r="C2355" s="70" t="s">
        <v>284</v>
      </c>
      <c r="D2355" s="49" t="s">
        <v>586</v>
      </c>
      <c r="E2355" s="195">
        <v>0.1</v>
      </c>
      <c r="F2355" s="100">
        <f>H2352</f>
        <v>43561.754385964909</v>
      </c>
      <c r="G2355" s="154">
        <v>0</v>
      </c>
      <c r="H2355" s="255">
        <f t="shared" si="223"/>
        <v>4356.1754385964914</v>
      </c>
    </row>
    <row r="2356" spans="1:9" s="42" customFormat="1" ht="30" x14ac:dyDescent="0.2">
      <c r="A2356" s="67" t="s">
        <v>2536</v>
      </c>
      <c r="B2356" s="526"/>
      <c r="C2356" s="399" t="s">
        <v>2058</v>
      </c>
      <c r="D2356" s="326" t="s">
        <v>405</v>
      </c>
      <c r="E2356" s="400"/>
      <c r="F2356" s="401">
        <f>ROUND(SUM(H2356:H2361),0)</f>
        <v>44678</v>
      </c>
      <c r="G2356" s="402"/>
      <c r="H2356" s="330"/>
      <c r="I2356" s="738"/>
    </row>
    <row r="2357" spans="1:9" ht="14.25" x14ac:dyDescent="0.2">
      <c r="A2357" s="936" t="s">
        <v>382</v>
      </c>
      <c r="B2357" s="244" t="s">
        <v>1769</v>
      </c>
      <c r="C2357" s="20" t="s">
        <v>1768</v>
      </c>
      <c r="D2357" s="19" t="s">
        <v>288</v>
      </c>
      <c r="E2357" s="194">
        <v>0.6</v>
      </c>
      <c r="F2357" s="23">
        <f>VLOOKUP(B2357,'BASE DE DATOS'!$A$5:$E$997,5,FALSE)</f>
        <v>48443</v>
      </c>
      <c r="G2357" s="58">
        <v>1.1000000000000001</v>
      </c>
      <c r="H2357" s="252">
        <f t="shared" ref="H2357:H2361" si="224">IF(G2357&gt;0,(G2357*F2357*E2357),(F2357*E2357))</f>
        <v>31972.38</v>
      </c>
    </row>
    <row r="2358" spans="1:9" x14ac:dyDescent="0.2">
      <c r="A2358" s="936"/>
      <c r="B2358" s="244" t="s">
        <v>1558</v>
      </c>
      <c r="C2358" s="20" t="s">
        <v>2023</v>
      </c>
      <c r="D2358" s="19" t="s">
        <v>590</v>
      </c>
      <c r="E2358" s="194">
        <v>0.01</v>
      </c>
      <c r="F2358" s="23">
        <f>VLOOKUP(B2358,'BASE DE DATOS'!$A$5:$E$997,5,FALSE)</f>
        <v>5650</v>
      </c>
      <c r="G2358" s="58">
        <v>0</v>
      </c>
      <c r="H2358" s="252">
        <f t="shared" si="224"/>
        <v>56.5</v>
      </c>
    </row>
    <row r="2359" spans="1:9" ht="14.25" x14ac:dyDescent="0.2">
      <c r="A2359" s="64" t="s">
        <v>3252</v>
      </c>
      <c r="B2359" s="244" t="s">
        <v>820</v>
      </c>
      <c r="C2359" s="20" t="s">
        <v>2100</v>
      </c>
      <c r="D2359" s="19" t="s">
        <v>285</v>
      </c>
      <c r="E2359" s="194">
        <v>4.0000000000000001E-3</v>
      </c>
      <c r="F2359" s="23">
        <f>F108</f>
        <v>843974</v>
      </c>
      <c r="G2359" s="58">
        <v>1.05</v>
      </c>
      <c r="H2359" s="252">
        <f t="shared" si="224"/>
        <v>3544.6908000000003</v>
      </c>
    </row>
    <row r="2360" spans="1:9" x14ac:dyDescent="0.2">
      <c r="A2360" s="81" t="s">
        <v>2555</v>
      </c>
      <c r="B2360" s="244" t="s">
        <v>644</v>
      </c>
      <c r="C2360" s="20" t="s">
        <v>645</v>
      </c>
      <c r="D2360" s="19" t="s">
        <v>585</v>
      </c>
      <c r="E2360" s="194">
        <v>1</v>
      </c>
      <c r="F2360" s="23">
        <f>VLOOKUP(B2360,'BASE DE DATOS'!$A$5:$E$997,5,FALSE)</f>
        <v>248302</v>
      </c>
      <c r="G2360" s="58">
        <f>1/30</f>
        <v>3.3333333333333333E-2</v>
      </c>
      <c r="H2360" s="252">
        <f t="shared" si="224"/>
        <v>8276.7333333333336</v>
      </c>
    </row>
    <row r="2361" spans="1:9" ht="13.5" thickBot="1" x14ac:dyDescent="0.25">
      <c r="A2361" s="94" t="s">
        <v>293</v>
      </c>
      <c r="B2361" s="543" t="s">
        <v>269</v>
      </c>
      <c r="C2361" s="111" t="s">
        <v>284</v>
      </c>
      <c r="D2361" s="112" t="s">
        <v>586</v>
      </c>
      <c r="E2361" s="201">
        <v>0.1</v>
      </c>
      <c r="F2361" s="113">
        <f>H2360</f>
        <v>8276.7333333333336</v>
      </c>
      <c r="G2361" s="157">
        <v>0</v>
      </c>
      <c r="H2361" s="479">
        <f t="shared" si="224"/>
        <v>827.6733333333334</v>
      </c>
    </row>
    <row r="2362" spans="1:9" s="42" customFormat="1" ht="17.25" x14ac:dyDescent="0.2">
      <c r="A2362" s="67" t="s">
        <v>2537</v>
      </c>
      <c r="B2362" s="526"/>
      <c r="C2362" s="399" t="s">
        <v>1977</v>
      </c>
      <c r="D2362" s="326" t="s">
        <v>3251</v>
      </c>
      <c r="E2362" s="414"/>
      <c r="F2362" s="401">
        <f>ROUND(SUM(H2362:H2366),0)</f>
        <v>24160</v>
      </c>
      <c r="G2362" s="402"/>
      <c r="H2362" s="330"/>
      <c r="I2362" s="738">
        <v>26</v>
      </c>
    </row>
    <row r="2363" spans="1:9" ht="14.25" x14ac:dyDescent="0.2">
      <c r="A2363" s="82" t="s">
        <v>382</v>
      </c>
      <c r="B2363" s="244" t="s">
        <v>1400</v>
      </c>
      <c r="C2363" s="20" t="s">
        <v>191</v>
      </c>
      <c r="D2363" s="19" t="s">
        <v>288</v>
      </c>
      <c r="E2363" s="198">
        <v>1</v>
      </c>
      <c r="F2363" s="23">
        <f>VLOOKUP(B2363,'BASE DE DATOS'!$A$5:$E$997,5,FALSE)</f>
        <v>15056</v>
      </c>
      <c r="G2363" s="58">
        <v>0</v>
      </c>
      <c r="H2363" s="252">
        <f t="shared" ref="H2363:H2366" si="225">IF(G2363&gt;0,(G2363*F2363*E2363),(F2363*E2363))</f>
        <v>15056</v>
      </c>
    </row>
    <row r="2364" spans="1:9" x14ac:dyDescent="0.2">
      <c r="A2364" s="81" t="s">
        <v>2555</v>
      </c>
      <c r="B2364" s="244" t="s">
        <v>644</v>
      </c>
      <c r="C2364" s="20" t="s">
        <v>645</v>
      </c>
      <c r="D2364" s="19" t="s">
        <v>585</v>
      </c>
      <c r="E2364" s="198">
        <v>1</v>
      </c>
      <c r="F2364" s="23">
        <f>VLOOKUP(B2364,'BASE DE DATOS'!$A$5:$E$997,5,FALSE)</f>
        <v>248302</v>
      </c>
      <c r="G2364" s="58">
        <f>1/30</f>
        <v>3.3333333333333333E-2</v>
      </c>
      <c r="H2364" s="252">
        <f t="shared" si="225"/>
        <v>8276.7333333333336</v>
      </c>
    </row>
    <row r="2365" spans="1:9" x14ac:dyDescent="0.2">
      <c r="A2365" s="937" t="s">
        <v>293</v>
      </c>
      <c r="B2365" s="241" t="s">
        <v>598</v>
      </c>
      <c r="C2365" s="218" t="s">
        <v>3362</v>
      </c>
      <c r="D2365" s="19" t="s">
        <v>586</v>
      </c>
      <c r="E2365" s="198">
        <v>0.05</v>
      </c>
      <c r="F2365" s="56">
        <f>H2364</f>
        <v>8276.7333333333336</v>
      </c>
      <c r="G2365" s="58">
        <v>0</v>
      </c>
      <c r="H2365" s="252">
        <f t="shared" si="225"/>
        <v>413.8366666666667</v>
      </c>
    </row>
    <row r="2366" spans="1:9" ht="13.5" thickBot="1" x14ac:dyDescent="0.25">
      <c r="A2366" s="938"/>
      <c r="B2366" s="528" t="s">
        <v>269</v>
      </c>
      <c r="C2366" s="88" t="s">
        <v>284</v>
      </c>
      <c r="D2366" s="112" t="s">
        <v>586</v>
      </c>
      <c r="E2366" s="206">
        <v>0.05</v>
      </c>
      <c r="F2366" s="113">
        <f>H2364</f>
        <v>8276.7333333333336</v>
      </c>
      <c r="G2366" s="157">
        <v>0</v>
      </c>
      <c r="H2366" s="252">
        <f t="shared" si="225"/>
        <v>413.8366666666667</v>
      </c>
    </row>
    <row r="2367" spans="1:9" ht="15.75" thickBot="1" x14ac:dyDescent="0.25">
      <c r="A2367" s="995" t="s">
        <v>2059</v>
      </c>
      <c r="B2367" s="995"/>
      <c r="C2367" s="995"/>
      <c r="D2367" s="995"/>
      <c r="E2367" s="995"/>
      <c r="F2367" s="996"/>
      <c r="G2367" s="995"/>
      <c r="H2367" s="997"/>
    </row>
    <row r="2368" spans="1:9" ht="45.75" thickBot="1" x14ac:dyDescent="0.25">
      <c r="A2368" s="72" t="s">
        <v>2044</v>
      </c>
      <c r="B2368" s="72" t="s">
        <v>265</v>
      </c>
      <c r="C2368" s="72" t="s">
        <v>402</v>
      </c>
      <c r="D2368" s="354" t="s">
        <v>346</v>
      </c>
      <c r="E2368" s="192" t="s">
        <v>2173</v>
      </c>
      <c r="F2368" s="162" t="s">
        <v>3165</v>
      </c>
      <c r="G2368" s="290" t="s">
        <v>281</v>
      </c>
      <c r="H2368" s="74" t="s">
        <v>3164</v>
      </c>
    </row>
    <row r="2369" spans="1:9" s="42" customFormat="1" ht="30" x14ac:dyDescent="0.2">
      <c r="A2369" s="67" t="s">
        <v>912</v>
      </c>
      <c r="B2369" s="529"/>
      <c r="C2369" s="388" t="s">
        <v>84</v>
      </c>
      <c r="D2369" s="389" t="s">
        <v>3251</v>
      </c>
      <c r="E2369" s="395"/>
      <c r="F2369" s="391">
        <f>ROUND(SUM(H2369:H2379),0)</f>
        <v>486859</v>
      </c>
      <c r="G2369" s="392"/>
      <c r="H2369" s="393"/>
      <c r="I2369" s="738"/>
    </row>
    <row r="2370" spans="1:9" ht="13.15" customHeight="1" x14ac:dyDescent="0.2">
      <c r="A2370" s="939" t="s">
        <v>295</v>
      </c>
      <c r="B2370" s="241" t="s">
        <v>1285</v>
      </c>
      <c r="C2370" s="3" t="s">
        <v>178</v>
      </c>
      <c r="D2370" s="2" t="s">
        <v>405</v>
      </c>
      <c r="E2370" s="114">
        <v>4.2</v>
      </c>
      <c r="F2370" s="23">
        <f>VLOOKUP(B2370,'BASE DE DATOS'!$A$5:$E$997,5,FALSE)</f>
        <v>9383</v>
      </c>
      <c r="G2370" s="104">
        <v>1.05</v>
      </c>
      <c r="H2370" s="252">
        <f t="shared" ref="H2370:H2433" si="226">IF(G2370&gt;0,(G2370*F2370*E2370),(F2370*E2370))</f>
        <v>41379.03</v>
      </c>
    </row>
    <row r="2371" spans="1:9" x14ac:dyDescent="0.2">
      <c r="A2371" s="939"/>
      <c r="B2371" s="244" t="s">
        <v>1289</v>
      </c>
      <c r="C2371" s="20" t="s">
        <v>3938</v>
      </c>
      <c r="D2371" s="19" t="s">
        <v>642</v>
      </c>
      <c r="E2371" s="194">
        <v>0.53</v>
      </c>
      <c r="F2371" s="23">
        <f>VLOOKUP(B2371,'BASE DE DATOS'!$A$5:$E$997,5,FALSE)</f>
        <v>69900</v>
      </c>
      <c r="G2371" s="58">
        <v>0</v>
      </c>
      <c r="H2371" s="252">
        <f>IF(G2371&gt;0,(G2371*F2371*E2371),(F2371*E2371))</f>
        <v>37047</v>
      </c>
    </row>
    <row r="2372" spans="1:9" x14ac:dyDescent="0.2">
      <c r="A2372" s="939"/>
      <c r="B2372" s="241" t="s">
        <v>1770</v>
      </c>
      <c r="C2372" s="3" t="s">
        <v>2803</v>
      </c>
      <c r="D2372" s="2" t="s">
        <v>411</v>
      </c>
      <c r="E2372" s="114">
        <v>1.7</v>
      </c>
      <c r="F2372" s="23">
        <f>VLOOKUP(B2372,'BASE DE DATOS'!$A$5:$E$997,5,FALSE)</f>
        <v>6950</v>
      </c>
      <c r="G2372" s="104">
        <v>0</v>
      </c>
      <c r="H2372" s="252">
        <f>IF(G2372&gt;0,(G2372*F2372*E2372),(F2372*E2372))</f>
        <v>11815</v>
      </c>
    </row>
    <row r="2373" spans="1:9" ht="27" x14ac:dyDescent="0.2">
      <c r="A2373" s="939"/>
      <c r="B2373" s="241" t="s">
        <v>1478</v>
      </c>
      <c r="C2373" s="3" t="s">
        <v>3697</v>
      </c>
      <c r="D2373" s="2" t="s">
        <v>288</v>
      </c>
      <c r="E2373" s="114">
        <v>1</v>
      </c>
      <c r="F2373" s="23">
        <f>VLOOKUP(B2373,'BASE DE DATOS'!$A$5:$E$997,5,FALSE)</f>
        <v>17717</v>
      </c>
      <c r="G2373" s="104">
        <v>1.05</v>
      </c>
      <c r="H2373" s="252">
        <f t="shared" si="226"/>
        <v>18602.850000000002</v>
      </c>
    </row>
    <row r="2374" spans="1:9" x14ac:dyDescent="0.2">
      <c r="A2374" s="939"/>
      <c r="B2374" s="241" t="s">
        <v>1715</v>
      </c>
      <c r="C2374" s="3" t="s">
        <v>3148</v>
      </c>
      <c r="D2374" s="2" t="s">
        <v>411</v>
      </c>
      <c r="E2374" s="114">
        <v>0.36</v>
      </c>
      <c r="F2374" s="23">
        <f>VLOOKUP(B2374,'BASE DE DATOS'!$A$5:$E$997,5,FALSE)</f>
        <v>30000</v>
      </c>
      <c r="G2374" s="104">
        <v>0</v>
      </c>
      <c r="H2374" s="252">
        <f t="shared" si="226"/>
        <v>10800</v>
      </c>
    </row>
    <row r="2375" spans="1:9" x14ac:dyDescent="0.2">
      <c r="A2375" s="939"/>
      <c r="B2375" s="244" t="s">
        <v>1523</v>
      </c>
      <c r="C2375" s="20" t="s">
        <v>643</v>
      </c>
      <c r="D2375" s="19" t="s">
        <v>642</v>
      </c>
      <c r="E2375" s="194">
        <v>0.53</v>
      </c>
      <c r="F2375" s="23">
        <f>VLOOKUP(B2375,'BASE DE DATOS'!$A$5:$E$997,5,FALSE)</f>
        <v>108900</v>
      </c>
      <c r="G2375" s="58">
        <v>0</v>
      </c>
      <c r="H2375" s="252">
        <f t="shared" si="226"/>
        <v>57717</v>
      </c>
    </row>
    <row r="2376" spans="1:9" x14ac:dyDescent="0.2">
      <c r="A2376" s="939"/>
      <c r="B2376" s="241" t="s">
        <v>1788</v>
      </c>
      <c r="C2376" s="3" t="s">
        <v>174</v>
      </c>
      <c r="D2376" s="2" t="s">
        <v>406</v>
      </c>
      <c r="E2376" s="114">
        <v>1.4</v>
      </c>
      <c r="F2376" s="23">
        <f>VLOOKUP(B2376,'BASE DE DATOS'!$A$5:$E$997,5,FALSE)</f>
        <v>15580</v>
      </c>
      <c r="G2376" s="104">
        <v>0</v>
      </c>
      <c r="H2376" s="252">
        <f>IF(G2376&gt;0,(G2376*F2376*E2376),(F2376*E2376))</f>
        <v>21812</v>
      </c>
    </row>
    <row r="2377" spans="1:9" x14ac:dyDescent="0.2">
      <c r="A2377" s="81" t="s">
        <v>2555</v>
      </c>
      <c r="B2377" s="241" t="s">
        <v>587</v>
      </c>
      <c r="C2377" s="3" t="s">
        <v>588</v>
      </c>
      <c r="D2377" s="2" t="s">
        <v>585</v>
      </c>
      <c r="E2377" s="114">
        <v>1</v>
      </c>
      <c r="F2377" s="23">
        <f>VLOOKUP(B2377,'BASE DE DATOS'!$A$5:$E$997,5,FALSE)</f>
        <v>514339</v>
      </c>
      <c r="G2377" s="104">
        <f>1/2</f>
        <v>0.5</v>
      </c>
      <c r="H2377" s="252">
        <f t="shared" si="226"/>
        <v>257169.5</v>
      </c>
    </row>
    <row r="2378" spans="1:9" x14ac:dyDescent="0.2">
      <c r="A2378" s="944" t="s">
        <v>293</v>
      </c>
      <c r="B2378" s="241" t="s">
        <v>254</v>
      </c>
      <c r="C2378" s="44" t="s">
        <v>341</v>
      </c>
      <c r="D2378" s="136" t="s">
        <v>585</v>
      </c>
      <c r="E2378" s="114">
        <v>1</v>
      </c>
      <c r="F2378" s="23">
        <f>VLOOKUP(B2378,'BASE DE DATOS'!$A$5:$E$997,5,FALSE)</f>
        <v>48000</v>
      </c>
      <c r="G2378" s="104">
        <f>1/10</f>
        <v>0.1</v>
      </c>
      <c r="H2378" s="252">
        <f t="shared" si="226"/>
        <v>4800</v>
      </c>
    </row>
    <row r="2379" spans="1:9" ht="13.5" thickBot="1" x14ac:dyDescent="0.25">
      <c r="A2379" s="945"/>
      <c r="B2379" s="528" t="s">
        <v>269</v>
      </c>
      <c r="C2379" s="108" t="s">
        <v>284</v>
      </c>
      <c r="D2379" s="109" t="s">
        <v>586</v>
      </c>
      <c r="E2379" s="200">
        <v>0.1</v>
      </c>
      <c r="F2379" s="110">
        <f>H2377</f>
        <v>257169.5</v>
      </c>
      <c r="G2379" s="156">
        <v>0</v>
      </c>
      <c r="H2379" s="479">
        <f t="shared" si="226"/>
        <v>25716.95</v>
      </c>
    </row>
    <row r="2380" spans="1:9" s="42" customFormat="1" ht="30" x14ac:dyDescent="0.2">
      <c r="A2380" s="67" t="s">
        <v>913</v>
      </c>
      <c r="B2380" s="529"/>
      <c r="C2380" s="388" t="s">
        <v>514</v>
      </c>
      <c r="D2380" s="389" t="s">
        <v>411</v>
      </c>
      <c r="E2380" s="390"/>
      <c r="F2380" s="391">
        <f>ROUND(SUM(H2380:H2391),0)</f>
        <v>582302</v>
      </c>
      <c r="G2380" s="392"/>
      <c r="H2380" s="393"/>
      <c r="I2380" s="738"/>
    </row>
    <row r="2381" spans="1:9" x14ac:dyDescent="0.2">
      <c r="A2381" s="939" t="s">
        <v>295</v>
      </c>
      <c r="B2381" s="241" t="s">
        <v>1299</v>
      </c>
      <c r="C2381" s="3" t="s">
        <v>3797</v>
      </c>
      <c r="D2381" s="2" t="s">
        <v>411</v>
      </c>
      <c r="E2381" s="114">
        <v>3</v>
      </c>
      <c r="F2381" s="23">
        <f>VLOOKUP(B2381,'BASE DE DATOS'!$A$5:$E$997,5,FALSE)</f>
        <v>23450</v>
      </c>
      <c r="G2381" s="104">
        <v>0</v>
      </c>
      <c r="H2381" s="252">
        <f>IF(G2381&gt;0,(G2381*F2381*E2381),(F2381*E2381))</f>
        <v>70350</v>
      </c>
    </row>
    <row r="2382" spans="1:9" x14ac:dyDescent="0.2">
      <c r="A2382" s="939"/>
      <c r="B2382" s="241" t="s">
        <v>1324</v>
      </c>
      <c r="C2382" s="44" t="s">
        <v>3834</v>
      </c>
      <c r="D2382" s="136" t="s">
        <v>411</v>
      </c>
      <c r="E2382" s="196">
        <v>1</v>
      </c>
      <c r="F2382" s="23">
        <f>VLOOKUP(B2382,'BASE DE DATOS'!$A$5:$E$997,5,FALSE)</f>
        <v>78900</v>
      </c>
      <c r="G2382" s="104">
        <v>0</v>
      </c>
      <c r="H2382" s="252">
        <f>IF(G2382&gt;0,(G2382*F2382*E2382),(F2382*E2382))</f>
        <v>78900</v>
      </c>
    </row>
    <row r="2383" spans="1:9" x14ac:dyDescent="0.2">
      <c r="A2383" s="939"/>
      <c r="B2383" s="241" t="s">
        <v>1480</v>
      </c>
      <c r="C2383" s="3" t="s">
        <v>3857</v>
      </c>
      <c r="D2383" s="2" t="s">
        <v>411</v>
      </c>
      <c r="E2383" s="114">
        <v>1</v>
      </c>
      <c r="F2383" s="23">
        <f>VLOOKUP(B2383,'BASE DE DATOS'!$A$5:$E$997,5,FALSE)</f>
        <v>17900</v>
      </c>
      <c r="G2383" s="104">
        <v>0</v>
      </c>
      <c r="H2383" s="252">
        <f>IF(G2383&gt;0,(G2383*F2383*E2383),(F2383*E2383))</f>
        <v>17900</v>
      </c>
    </row>
    <row r="2384" spans="1:9" ht="13.15" customHeight="1" x14ac:dyDescent="0.2">
      <c r="A2384" s="939"/>
      <c r="B2384" s="241" t="s">
        <v>1482</v>
      </c>
      <c r="C2384" s="44" t="s">
        <v>366</v>
      </c>
      <c r="D2384" s="136" t="s">
        <v>411</v>
      </c>
      <c r="E2384" s="196">
        <v>1</v>
      </c>
      <c r="F2384" s="23">
        <f>VLOOKUP(B2384,'BASE DE DATOS'!$A$5:$E$997,5,FALSE)</f>
        <v>81503.760000000009</v>
      </c>
      <c r="G2384" s="104">
        <v>0</v>
      </c>
      <c r="H2384" s="252">
        <f t="shared" si="226"/>
        <v>81503.760000000009</v>
      </c>
    </row>
    <row r="2385" spans="1:9" x14ac:dyDescent="0.2">
      <c r="A2385" s="939"/>
      <c r="B2385" s="241" t="s">
        <v>1723</v>
      </c>
      <c r="C2385" s="3" t="s">
        <v>193</v>
      </c>
      <c r="D2385" s="2" t="s">
        <v>411</v>
      </c>
      <c r="E2385" s="114">
        <v>1</v>
      </c>
      <c r="F2385" s="23">
        <f>VLOOKUP(B2385,'BASE DE DATOS'!$A$5:$E$997,5,FALSE)</f>
        <v>122900</v>
      </c>
      <c r="G2385" s="104">
        <v>0</v>
      </c>
      <c r="H2385" s="252">
        <f t="shared" si="226"/>
        <v>122900</v>
      </c>
    </row>
    <row r="2386" spans="1:9" x14ac:dyDescent="0.2">
      <c r="A2386" s="939"/>
      <c r="B2386" s="241" t="s">
        <v>1715</v>
      </c>
      <c r="C2386" s="3" t="s">
        <v>3148</v>
      </c>
      <c r="D2386" s="2" t="s">
        <v>411</v>
      </c>
      <c r="E2386" s="114">
        <v>1</v>
      </c>
      <c r="F2386" s="23">
        <f>VLOOKUP(B2386,'BASE DE DATOS'!$A$5:$E$997,5,FALSE)</f>
        <v>30000</v>
      </c>
      <c r="G2386" s="104">
        <v>0</v>
      </c>
      <c r="H2386" s="252">
        <f t="shared" si="226"/>
        <v>30000</v>
      </c>
    </row>
    <row r="2387" spans="1:9" x14ac:dyDescent="0.2">
      <c r="A2387" s="939"/>
      <c r="B2387" s="241" t="s">
        <v>1523</v>
      </c>
      <c r="C2387" s="3" t="s">
        <v>643</v>
      </c>
      <c r="D2387" s="2" t="s">
        <v>642</v>
      </c>
      <c r="E2387" s="114">
        <v>0.2</v>
      </c>
      <c r="F2387" s="23">
        <f>VLOOKUP(B2387,'BASE DE DATOS'!$A$5:$E$997,5,FALSE)</f>
        <v>108900</v>
      </c>
      <c r="G2387" s="104">
        <v>1.03</v>
      </c>
      <c r="H2387" s="252">
        <f>IF(G2387&gt;0,(G2387*F2387*E2387),(F2387*E2387))</f>
        <v>22433.4</v>
      </c>
    </row>
    <row r="2388" spans="1:9" x14ac:dyDescent="0.2">
      <c r="A2388" s="939"/>
      <c r="B2388" s="241" t="s">
        <v>1753</v>
      </c>
      <c r="C2388" s="3" t="s">
        <v>192</v>
      </c>
      <c r="D2388" s="2" t="s">
        <v>411</v>
      </c>
      <c r="E2388" s="114">
        <v>1</v>
      </c>
      <c r="F2388" s="23">
        <f>VLOOKUP(B2388,'BASE DE DATOS'!$A$5:$E$997,5,FALSE)</f>
        <v>6900</v>
      </c>
      <c r="G2388" s="104">
        <v>0</v>
      </c>
      <c r="H2388" s="252">
        <f t="shared" si="226"/>
        <v>6900</v>
      </c>
    </row>
    <row r="2389" spans="1:9" ht="14.25" x14ac:dyDescent="0.2">
      <c r="A2389" s="64" t="s">
        <v>3252</v>
      </c>
      <c r="B2389" s="241" t="s">
        <v>811</v>
      </c>
      <c r="C2389" s="3" t="s">
        <v>2098</v>
      </c>
      <c r="D2389" s="2" t="s">
        <v>285</v>
      </c>
      <c r="E2389" s="114">
        <v>0.03</v>
      </c>
      <c r="F2389" s="23">
        <f>+$F$96</f>
        <v>471394</v>
      </c>
      <c r="G2389" s="104">
        <v>1.05</v>
      </c>
      <c r="H2389" s="252">
        <f t="shared" si="226"/>
        <v>14848.911</v>
      </c>
    </row>
    <row r="2390" spans="1:9" x14ac:dyDescent="0.2">
      <c r="A2390" s="81" t="s">
        <v>2555</v>
      </c>
      <c r="B2390" s="241" t="s">
        <v>644</v>
      </c>
      <c r="C2390" s="3" t="s">
        <v>645</v>
      </c>
      <c r="D2390" s="2" t="s">
        <v>585</v>
      </c>
      <c r="E2390" s="114">
        <v>1</v>
      </c>
      <c r="F2390" s="23">
        <f>VLOOKUP(B2390,'BASE DE DATOS'!$A$5:$E$997,5,FALSE)</f>
        <v>248302</v>
      </c>
      <c r="G2390" s="104">
        <f>1/2</f>
        <v>0.5</v>
      </c>
      <c r="H2390" s="252">
        <f t="shared" si="226"/>
        <v>124151</v>
      </c>
    </row>
    <row r="2391" spans="1:9" ht="13.5" thickBot="1" x14ac:dyDescent="0.25">
      <c r="A2391" s="94" t="s">
        <v>293</v>
      </c>
      <c r="B2391" s="528" t="s">
        <v>269</v>
      </c>
      <c r="C2391" s="108" t="s">
        <v>284</v>
      </c>
      <c r="D2391" s="109" t="s">
        <v>586</v>
      </c>
      <c r="E2391" s="200">
        <v>0.1</v>
      </c>
      <c r="F2391" s="110">
        <f>H2390</f>
        <v>124151</v>
      </c>
      <c r="G2391" s="156">
        <v>0</v>
      </c>
      <c r="H2391" s="479">
        <f t="shared" si="226"/>
        <v>12415.1</v>
      </c>
    </row>
    <row r="2392" spans="1:9" s="42" customFormat="1" ht="30" x14ac:dyDescent="0.2">
      <c r="A2392" s="67" t="s">
        <v>914</v>
      </c>
      <c r="B2392" s="529"/>
      <c r="C2392" s="388" t="s">
        <v>2671</v>
      </c>
      <c r="D2392" s="389" t="s">
        <v>411</v>
      </c>
      <c r="E2392" s="390"/>
      <c r="F2392" s="391">
        <f>ROUND(SUM(H2392:H2403),0)</f>
        <v>654732</v>
      </c>
      <c r="G2392" s="392"/>
      <c r="H2392" s="393"/>
      <c r="I2392" s="738"/>
    </row>
    <row r="2393" spans="1:9" x14ac:dyDescent="0.2">
      <c r="A2393" s="939" t="s">
        <v>295</v>
      </c>
      <c r="B2393" s="241" t="s">
        <v>1299</v>
      </c>
      <c r="C2393" s="3" t="s">
        <v>158</v>
      </c>
      <c r="D2393" s="2" t="s">
        <v>411</v>
      </c>
      <c r="E2393" s="114">
        <v>3</v>
      </c>
      <c r="F2393" s="23">
        <f>VLOOKUP(B2393,'BASE DE DATOS'!$A$5:$E$997,5,FALSE)</f>
        <v>23450</v>
      </c>
      <c r="G2393" s="104">
        <v>0</v>
      </c>
      <c r="H2393" s="252">
        <f>IF(G2393&gt;0,(G2393*F2393*E2393),(F2393*E2393))</f>
        <v>70350</v>
      </c>
    </row>
    <row r="2394" spans="1:9" x14ac:dyDescent="0.2">
      <c r="A2394" s="939"/>
      <c r="B2394" s="241" t="s">
        <v>1324</v>
      </c>
      <c r="C2394" s="44" t="s">
        <v>3834</v>
      </c>
      <c r="D2394" s="2" t="s">
        <v>411</v>
      </c>
      <c r="E2394" s="114">
        <v>1</v>
      </c>
      <c r="F2394" s="23">
        <f>VLOOKUP(B2394,'BASE DE DATOS'!$A$5:$E$997,5,FALSE)</f>
        <v>78900</v>
      </c>
      <c r="G2394" s="104">
        <v>0</v>
      </c>
      <c r="H2394" s="252">
        <f>IF(G2394&gt;0,(G2394*F2394*E2394),(F2394*E2394))</f>
        <v>78900</v>
      </c>
    </row>
    <row r="2395" spans="1:9" ht="13.15" customHeight="1" x14ac:dyDescent="0.2">
      <c r="A2395" s="939"/>
      <c r="B2395" s="241" t="s">
        <v>1480</v>
      </c>
      <c r="C2395" s="3" t="s">
        <v>3857</v>
      </c>
      <c r="D2395" s="2" t="s">
        <v>411</v>
      </c>
      <c r="E2395" s="114">
        <v>1</v>
      </c>
      <c r="F2395" s="23">
        <f>VLOOKUP(B2395,'BASE DE DATOS'!$A$5:$E$997,5,FALSE)</f>
        <v>17900</v>
      </c>
      <c r="G2395" s="104">
        <v>0</v>
      </c>
      <c r="H2395" s="252">
        <f t="shared" si="226"/>
        <v>17900</v>
      </c>
    </row>
    <row r="2396" spans="1:9" x14ac:dyDescent="0.2">
      <c r="A2396" s="939"/>
      <c r="B2396" s="241" t="s">
        <v>1483</v>
      </c>
      <c r="C2396" s="3" t="s">
        <v>363</v>
      </c>
      <c r="D2396" s="136" t="s">
        <v>411</v>
      </c>
      <c r="E2396" s="196">
        <v>1</v>
      </c>
      <c r="F2396" s="23">
        <f>VLOOKUP(B2396,'BASE DE DATOS'!$A$5:$E$997,5,FALSE)</f>
        <v>91457.142000000007</v>
      </c>
      <c r="G2396" s="104">
        <v>0</v>
      </c>
      <c r="H2396" s="252">
        <f t="shared" si="226"/>
        <v>91457.142000000007</v>
      </c>
    </row>
    <row r="2397" spans="1:9" x14ac:dyDescent="0.2">
      <c r="A2397" s="939"/>
      <c r="B2397" s="241" t="s">
        <v>1710</v>
      </c>
      <c r="C2397" s="3" t="s">
        <v>367</v>
      </c>
      <c r="D2397" s="136" t="s">
        <v>411</v>
      </c>
      <c r="E2397" s="196">
        <v>1</v>
      </c>
      <c r="F2397" s="23">
        <f>VLOOKUP(B2397,'BASE DE DATOS'!$A$5:$E$997,5,FALSE)</f>
        <v>171685.2</v>
      </c>
      <c r="G2397" s="104">
        <v>0</v>
      </c>
      <c r="H2397" s="252">
        <f t="shared" si="226"/>
        <v>171685.2</v>
      </c>
    </row>
    <row r="2398" spans="1:9" x14ac:dyDescent="0.2">
      <c r="A2398" s="939"/>
      <c r="B2398" s="241" t="s">
        <v>1715</v>
      </c>
      <c r="C2398" s="3" t="s">
        <v>3148</v>
      </c>
      <c r="D2398" s="2" t="s">
        <v>411</v>
      </c>
      <c r="E2398" s="114">
        <v>1</v>
      </c>
      <c r="F2398" s="23">
        <f>VLOOKUP(B2398,'BASE DE DATOS'!$A$5:$E$997,5,FALSE)</f>
        <v>30000</v>
      </c>
      <c r="G2398" s="104">
        <v>0</v>
      </c>
      <c r="H2398" s="252">
        <f>IF(G2398&gt;0,(G2398*F2398*E2398),(F2398*E2398))</f>
        <v>30000</v>
      </c>
    </row>
    <row r="2399" spans="1:9" x14ac:dyDescent="0.2">
      <c r="A2399" s="939"/>
      <c r="B2399" s="241" t="s">
        <v>1523</v>
      </c>
      <c r="C2399" s="3" t="s">
        <v>643</v>
      </c>
      <c r="D2399" s="2" t="s">
        <v>642</v>
      </c>
      <c r="E2399" s="114">
        <v>0.3</v>
      </c>
      <c r="F2399" s="23">
        <f>VLOOKUP(B2399,'BASE DE DATOS'!$A$5:$E$997,5,FALSE)</f>
        <v>108900</v>
      </c>
      <c r="G2399" s="104">
        <v>1.03</v>
      </c>
      <c r="H2399" s="252">
        <f t="shared" si="226"/>
        <v>33650.1</v>
      </c>
    </row>
    <row r="2400" spans="1:9" x14ac:dyDescent="0.2">
      <c r="A2400" s="939"/>
      <c r="B2400" s="241" t="s">
        <v>1753</v>
      </c>
      <c r="C2400" s="3" t="s">
        <v>192</v>
      </c>
      <c r="D2400" s="2" t="s">
        <v>411</v>
      </c>
      <c r="E2400" s="114">
        <v>1</v>
      </c>
      <c r="F2400" s="23">
        <f>VLOOKUP(B2400,'BASE DE DATOS'!$A$5:$E$997,5,FALSE)</f>
        <v>6900</v>
      </c>
      <c r="G2400" s="104">
        <v>0</v>
      </c>
      <c r="H2400" s="252">
        <f t="shared" si="226"/>
        <v>6900</v>
      </c>
    </row>
    <row r="2401" spans="1:9" ht="14.25" x14ac:dyDescent="0.2">
      <c r="A2401" s="64" t="s">
        <v>3252</v>
      </c>
      <c r="B2401" s="241" t="s">
        <v>811</v>
      </c>
      <c r="C2401" s="3" t="s">
        <v>2098</v>
      </c>
      <c r="D2401" s="2" t="s">
        <v>285</v>
      </c>
      <c r="E2401" s="114">
        <v>3.5000000000000003E-2</v>
      </c>
      <c r="F2401" s="23">
        <f>F96</f>
        <v>471394</v>
      </c>
      <c r="G2401" s="104">
        <v>1.05</v>
      </c>
      <c r="H2401" s="252">
        <f t="shared" si="226"/>
        <v>17323.729500000001</v>
      </c>
    </row>
    <row r="2402" spans="1:9" x14ac:dyDescent="0.2">
      <c r="A2402" s="81" t="s">
        <v>2555</v>
      </c>
      <c r="B2402" s="241" t="s">
        <v>644</v>
      </c>
      <c r="C2402" s="3" t="s">
        <v>645</v>
      </c>
      <c r="D2402" s="2" t="s">
        <v>585</v>
      </c>
      <c r="E2402" s="114">
        <v>1</v>
      </c>
      <c r="F2402" s="23">
        <f>VLOOKUP(B2402,'BASE DE DATOS'!$A$5:$E$997,5,FALSE)</f>
        <v>248302</v>
      </c>
      <c r="G2402" s="104">
        <f>1/2</f>
        <v>0.5</v>
      </c>
      <c r="H2402" s="252">
        <f t="shared" si="226"/>
        <v>124151</v>
      </c>
    </row>
    <row r="2403" spans="1:9" ht="13.5" thickBot="1" x14ac:dyDescent="0.25">
      <c r="A2403" s="94" t="s">
        <v>293</v>
      </c>
      <c r="B2403" s="528" t="s">
        <v>269</v>
      </c>
      <c r="C2403" s="108" t="s">
        <v>284</v>
      </c>
      <c r="D2403" s="109" t="s">
        <v>586</v>
      </c>
      <c r="E2403" s="200">
        <v>0.1</v>
      </c>
      <c r="F2403" s="110">
        <f>H2402</f>
        <v>124151</v>
      </c>
      <c r="G2403" s="156">
        <v>0</v>
      </c>
      <c r="H2403" s="479">
        <f t="shared" si="226"/>
        <v>12415.1</v>
      </c>
    </row>
    <row r="2404" spans="1:9" s="42" customFormat="1" ht="30" x14ac:dyDescent="0.2">
      <c r="A2404" s="67" t="s">
        <v>915</v>
      </c>
      <c r="B2404" s="529"/>
      <c r="C2404" s="388" t="s">
        <v>2672</v>
      </c>
      <c r="D2404" s="389" t="s">
        <v>411</v>
      </c>
      <c r="E2404" s="395"/>
      <c r="F2404" s="391">
        <f>ROUND(SUM(H2404:H2415),0)</f>
        <v>693260</v>
      </c>
      <c r="G2404" s="392"/>
      <c r="H2404" s="393"/>
      <c r="I2404" s="738"/>
    </row>
    <row r="2405" spans="1:9" x14ac:dyDescent="0.2">
      <c r="A2405" s="939" t="s">
        <v>295</v>
      </c>
      <c r="B2405" s="241" t="s">
        <v>1299</v>
      </c>
      <c r="C2405" s="3" t="s">
        <v>158</v>
      </c>
      <c r="D2405" s="2" t="s">
        <v>411</v>
      </c>
      <c r="E2405" s="114">
        <v>3</v>
      </c>
      <c r="F2405" s="23">
        <f>VLOOKUP(B2405,'BASE DE DATOS'!$A$5:$E$997,5,FALSE)</f>
        <v>23450</v>
      </c>
      <c r="G2405" s="104">
        <v>0</v>
      </c>
      <c r="H2405" s="252">
        <f>IF(G2405&gt;0,(G2405*F2405*E2405),(F2405*E2405))</f>
        <v>70350</v>
      </c>
    </row>
    <row r="2406" spans="1:9" x14ac:dyDescent="0.2">
      <c r="A2406" s="939"/>
      <c r="B2406" s="241" t="s">
        <v>1324</v>
      </c>
      <c r="C2406" s="44" t="s">
        <v>3834</v>
      </c>
      <c r="D2406" s="2" t="s">
        <v>411</v>
      </c>
      <c r="E2406" s="114">
        <v>1</v>
      </c>
      <c r="F2406" s="23">
        <f>VLOOKUP(B2406,'BASE DE DATOS'!$A$5:$E$997,5,FALSE)</f>
        <v>78900</v>
      </c>
      <c r="G2406" s="104">
        <v>0</v>
      </c>
      <c r="H2406" s="252">
        <f>IF(G2406&gt;0,(G2406*F2406*E2406),(F2406*E2406))</f>
        <v>78900</v>
      </c>
    </row>
    <row r="2407" spans="1:9" ht="13.15" customHeight="1" x14ac:dyDescent="0.2">
      <c r="A2407" s="939"/>
      <c r="B2407" s="241" t="s">
        <v>1480</v>
      </c>
      <c r="C2407" s="3" t="s">
        <v>3857</v>
      </c>
      <c r="D2407" s="2" t="s">
        <v>411</v>
      </c>
      <c r="E2407" s="114">
        <v>1</v>
      </c>
      <c r="F2407" s="23">
        <f>VLOOKUP(B2407,'BASE DE DATOS'!$A$5:$E$997,5,FALSE)</f>
        <v>17900</v>
      </c>
      <c r="G2407" s="104">
        <v>0</v>
      </c>
      <c r="H2407" s="252">
        <f t="shared" si="226"/>
        <v>17900</v>
      </c>
    </row>
    <row r="2408" spans="1:9" x14ac:dyDescent="0.2">
      <c r="A2408" s="939"/>
      <c r="B2408" s="241" t="s">
        <v>1484</v>
      </c>
      <c r="C2408" s="3" t="s">
        <v>365</v>
      </c>
      <c r="D2408" s="136" t="s">
        <v>411</v>
      </c>
      <c r="E2408" s="196">
        <v>1</v>
      </c>
      <c r="F2408" s="23">
        <f>VLOOKUP(B2408,'BASE DE DATOS'!$A$5:$E$997,5,FALSE)</f>
        <v>105189.882</v>
      </c>
      <c r="G2408" s="104">
        <v>0</v>
      </c>
      <c r="H2408" s="252">
        <f t="shared" si="226"/>
        <v>105189.882</v>
      </c>
    </row>
    <row r="2409" spans="1:9" x14ac:dyDescent="0.2">
      <c r="A2409" s="939"/>
      <c r="B2409" s="241" t="s">
        <v>1714</v>
      </c>
      <c r="C2409" s="3" t="s">
        <v>194</v>
      </c>
      <c r="D2409" s="2" t="s">
        <v>411</v>
      </c>
      <c r="E2409" s="114">
        <v>1</v>
      </c>
      <c r="F2409" s="23">
        <f>VLOOKUP(B2409,'BASE DE DATOS'!$A$5:$E$997,5,FALSE)</f>
        <v>188397</v>
      </c>
      <c r="G2409" s="104">
        <v>0</v>
      </c>
      <c r="H2409" s="252">
        <f t="shared" si="226"/>
        <v>188397</v>
      </c>
    </row>
    <row r="2410" spans="1:9" x14ac:dyDescent="0.2">
      <c r="A2410" s="939"/>
      <c r="B2410" s="241" t="s">
        <v>1715</v>
      </c>
      <c r="C2410" s="3" t="s">
        <v>3148</v>
      </c>
      <c r="D2410" s="2" t="s">
        <v>411</v>
      </c>
      <c r="E2410" s="114">
        <v>1</v>
      </c>
      <c r="F2410" s="23">
        <f>VLOOKUP(B2410,'BASE DE DATOS'!$A$5:$E$997,5,FALSE)</f>
        <v>30000</v>
      </c>
      <c r="G2410" s="104">
        <v>0</v>
      </c>
      <c r="H2410" s="252">
        <f>IF(G2410&gt;0,(G2410*F2410*E2410),(F2410*E2410))</f>
        <v>30000</v>
      </c>
    </row>
    <row r="2411" spans="1:9" x14ac:dyDescent="0.2">
      <c r="A2411" s="939"/>
      <c r="B2411" s="241" t="s">
        <v>1523</v>
      </c>
      <c r="C2411" s="3" t="s">
        <v>643</v>
      </c>
      <c r="D2411" s="2" t="s">
        <v>642</v>
      </c>
      <c r="E2411" s="114">
        <v>0.35</v>
      </c>
      <c r="F2411" s="23">
        <f>VLOOKUP(B2411,'BASE DE DATOS'!$A$5:$E$997,5,FALSE)</f>
        <v>108900</v>
      </c>
      <c r="G2411" s="104">
        <v>1.03</v>
      </c>
      <c r="H2411" s="252">
        <f t="shared" si="226"/>
        <v>39258.449999999997</v>
      </c>
    </row>
    <row r="2412" spans="1:9" x14ac:dyDescent="0.2">
      <c r="A2412" s="939"/>
      <c r="B2412" s="241" t="s">
        <v>1753</v>
      </c>
      <c r="C2412" s="3" t="s">
        <v>192</v>
      </c>
      <c r="D2412" s="2" t="s">
        <v>411</v>
      </c>
      <c r="E2412" s="114">
        <v>1</v>
      </c>
      <c r="F2412" s="23">
        <f>VLOOKUP(B2412,'BASE DE DATOS'!$A$5:$E$997,5,FALSE)</f>
        <v>6900</v>
      </c>
      <c r="G2412" s="104">
        <v>0</v>
      </c>
      <c r="H2412" s="252">
        <f t="shared" si="226"/>
        <v>6900</v>
      </c>
    </row>
    <row r="2413" spans="1:9" ht="14.25" x14ac:dyDescent="0.2">
      <c r="A2413" s="64" t="s">
        <v>3252</v>
      </c>
      <c r="B2413" s="241" t="s">
        <v>811</v>
      </c>
      <c r="C2413" s="3" t="s">
        <v>2098</v>
      </c>
      <c r="D2413" s="2" t="s">
        <v>285</v>
      </c>
      <c r="E2413" s="114">
        <v>0.04</v>
      </c>
      <c r="F2413" s="23">
        <f>F96</f>
        <v>471394</v>
      </c>
      <c r="G2413" s="104">
        <v>1.05</v>
      </c>
      <c r="H2413" s="252">
        <f t="shared" si="226"/>
        <v>19798.548000000003</v>
      </c>
    </row>
    <row r="2414" spans="1:9" x14ac:dyDescent="0.2">
      <c r="A2414" s="81" t="s">
        <v>2555</v>
      </c>
      <c r="B2414" s="241" t="s">
        <v>644</v>
      </c>
      <c r="C2414" s="3" t="s">
        <v>645</v>
      </c>
      <c r="D2414" s="2" t="s">
        <v>585</v>
      </c>
      <c r="E2414" s="114">
        <v>1</v>
      </c>
      <c r="F2414" s="23">
        <f>VLOOKUP(B2414,'BASE DE DATOS'!$A$5:$E$997,5,FALSE)</f>
        <v>248302</v>
      </c>
      <c r="G2414" s="104">
        <f>1/2</f>
        <v>0.5</v>
      </c>
      <c r="H2414" s="252">
        <f t="shared" si="226"/>
        <v>124151</v>
      </c>
    </row>
    <row r="2415" spans="1:9" ht="13.5" thickBot="1" x14ac:dyDescent="0.25">
      <c r="A2415" s="94" t="s">
        <v>293</v>
      </c>
      <c r="B2415" s="528" t="s">
        <v>269</v>
      </c>
      <c r="C2415" s="108" t="s">
        <v>284</v>
      </c>
      <c r="D2415" s="109" t="s">
        <v>586</v>
      </c>
      <c r="E2415" s="200">
        <v>0.1</v>
      </c>
      <c r="F2415" s="110">
        <f>H2414</f>
        <v>124151</v>
      </c>
      <c r="G2415" s="156">
        <v>0</v>
      </c>
      <c r="H2415" s="479">
        <f t="shared" si="226"/>
        <v>12415.1</v>
      </c>
    </row>
    <row r="2416" spans="1:9" s="42" customFormat="1" ht="30" x14ac:dyDescent="0.2">
      <c r="A2416" s="67" t="s">
        <v>916</v>
      </c>
      <c r="B2416" s="529"/>
      <c r="C2416" s="388" t="s">
        <v>515</v>
      </c>
      <c r="D2416" s="389" t="s">
        <v>411</v>
      </c>
      <c r="E2416" s="390"/>
      <c r="F2416" s="391">
        <f>ROUND(SUM(H2416:H2427),0)</f>
        <v>886035</v>
      </c>
      <c r="G2416" s="392"/>
      <c r="H2416" s="393"/>
      <c r="I2416" s="738"/>
    </row>
    <row r="2417" spans="1:9" x14ac:dyDescent="0.2">
      <c r="A2417" s="939" t="s">
        <v>295</v>
      </c>
      <c r="B2417" s="241" t="s">
        <v>1299</v>
      </c>
      <c r="C2417" s="3" t="s">
        <v>158</v>
      </c>
      <c r="D2417" s="2" t="s">
        <v>411</v>
      </c>
      <c r="E2417" s="114">
        <v>4</v>
      </c>
      <c r="F2417" s="23">
        <f>VLOOKUP(B2417,'BASE DE DATOS'!$A$5:$E$997,5,FALSE)</f>
        <v>23450</v>
      </c>
      <c r="G2417" s="104">
        <v>0</v>
      </c>
      <c r="H2417" s="252">
        <f>IF(G2417&gt;0,(G2417*F2417*E2417),(F2417*E2417))</f>
        <v>93800</v>
      </c>
    </row>
    <row r="2418" spans="1:9" x14ac:dyDescent="0.2">
      <c r="A2418" s="939"/>
      <c r="B2418" s="241" t="s">
        <v>1333</v>
      </c>
      <c r="C2418" s="3" t="s">
        <v>3835</v>
      </c>
      <c r="D2418" s="2" t="s">
        <v>411</v>
      </c>
      <c r="E2418" s="114">
        <v>1</v>
      </c>
      <c r="F2418" s="23">
        <f>VLOOKUP(B2418,'BASE DE DATOS'!$A$5:$E$997,5,FALSE)</f>
        <v>199900</v>
      </c>
      <c r="G2418" s="104">
        <v>0</v>
      </c>
      <c r="H2418" s="252">
        <f>IF(G2418&gt;0,(G2418*F2418*E2418),(F2418*E2418))</f>
        <v>199900</v>
      </c>
    </row>
    <row r="2419" spans="1:9" ht="13.15" customHeight="1" x14ac:dyDescent="0.2">
      <c r="A2419" s="939"/>
      <c r="B2419" s="241" t="s">
        <v>1480</v>
      </c>
      <c r="C2419" s="3" t="s">
        <v>3857</v>
      </c>
      <c r="D2419" s="2" t="s">
        <v>411</v>
      </c>
      <c r="E2419" s="114">
        <v>1</v>
      </c>
      <c r="F2419" s="23">
        <f>VLOOKUP(B2419,'BASE DE DATOS'!$A$5:$E$997,5,FALSE)</f>
        <v>17900</v>
      </c>
      <c r="G2419" s="104">
        <v>0</v>
      </c>
      <c r="H2419" s="252">
        <f t="shared" si="226"/>
        <v>17900</v>
      </c>
    </row>
    <row r="2420" spans="1:9" x14ac:dyDescent="0.2">
      <c r="A2420" s="939"/>
      <c r="B2420" s="241" t="s">
        <v>1485</v>
      </c>
      <c r="C2420" s="44" t="s">
        <v>4034</v>
      </c>
      <c r="D2420" s="136" t="s">
        <v>411</v>
      </c>
      <c r="E2420" s="196">
        <v>1</v>
      </c>
      <c r="F2420" s="23">
        <f>VLOOKUP(B2420,'BASE DE DATOS'!$A$5:$E$997,5,FALSE)</f>
        <v>121122.144</v>
      </c>
      <c r="G2420" s="104">
        <v>0</v>
      </c>
      <c r="H2420" s="252">
        <f t="shared" si="226"/>
        <v>121122.144</v>
      </c>
    </row>
    <row r="2421" spans="1:9" x14ac:dyDescent="0.2">
      <c r="A2421" s="939"/>
      <c r="B2421" s="241" t="s">
        <v>1709</v>
      </c>
      <c r="C2421" s="44" t="s">
        <v>4035</v>
      </c>
      <c r="D2421" s="136" t="s">
        <v>411</v>
      </c>
      <c r="E2421" s="196">
        <v>1</v>
      </c>
      <c r="F2421" s="23">
        <f>VLOOKUP(B2421,'BASE DE DATOS'!$A$5:$E$997,5,FALSE)</f>
        <v>213828</v>
      </c>
      <c r="G2421" s="104">
        <v>0</v>
      </c>
      <c r="H2421" s="252">
        <f t="shared" si="226"/>
        <v>213828</v>
      </c>
    </row>
    <row r="2422" spans="1:9" x14ac:dyDescent="0.2">
      <c r="A2422" s="939"/>
      <c r="B2422" s="241" t="s">
        <v>1715</v>
      </c>
      <c r="C2422" s="3" t="s">
        <v>3148</v>
      </c>
      <c r="D2422" s="2" t="s">
        <v>411</v>
      </c>
      <c r="E2422" s="114">
        <v>1</v>
      </c>
      <c r="F2422" s="23">
        <f>VLOOKUP(B2422,'BASE DE DATOS'!$A$5:$E$997,5,FALSE)</f>
        <v>30000</v>
      </c>
      <c r="G2422" s="104">
        <v>0</v>
      </c>
      <c r="H2422" s="252">
        <f t="shared" si="226"/>
        <v>30000</v>
      </c>
    </row>
    <row r="2423" spans="1:9" x14ac:dyDescent="0.2">
      <c r="A2423" s="939"/>
      <c r="B2423" s="241" t="s">
        <v>1523</v>
      </c>
      <c r="C2423" s="3" t="s">
        <v>643</v>
      </c>
      <c r="D2423" s="2" t="s">
        <v>642</v>
      </c>
      <c r="E2423" s="114">
        <v>0.39</v>
      </c>
      <c r="F2423" s="23">
        <f>VLOOKUP(B2423,'BASE DE DATOS'!$A$5:$E$997,5,FALSE)</f>
        <v>108900</v>
      </c>
      <c r="G2423" s="104">
        <v>1.03</v>
      </c>
      <c r="H2423" s="252">
        <f t="shared" si="226"/>
        <v>43745.130000000005</v>
      </c>
    </row>
    <row r="2424" spans="1:9" x14ac:dyDescent="0.2">
      <c r="A2424" s="939"/>
      <c r="B2424" s="241" t="s">
        <v>1753</v>
      </c>
      <c r="C2424" s="3" t="s">
        <v>192</v>
      </c>
      <c r="D2424" s="2" t="s">
        <v>411</v>
      </c>
      <c r="E2424" s="114">
        <v>1</v>
      </c>
      <c r="F2424" s="23">
        <f>VLOOKUP(B2424,'BASE DE DATOS'!$A$5:$E$997,5,FALSE)</f>
        <v>6900</v>
      </c>
      <c r="G2424" s="104">
        <v>0</v>
      </c>
      <c r="H2424" s="252">
        <f t="shared" si="226"/>
        <v>6900</v>
      </c>
    </row>
    <row r="2425" spans="1:9" ht="14.25" x14ac:dyDescent="0.2">
      <c r="A2425" s="64" t="s">
        <v>3252</v>
      </c>
      <c r="B2425" s="241" t="s">
        <v>811</v>
      </c>
      <c r="C2425" s="3" t="s">
        <v>2098</v>
      </c>
      <c r="D2425" s="2" t="s">
        <v>285</v>
      </c>
      <c r="E2425" s="114">
        <v>4.4999999999999998E-2</v>
      </c>
      <c r="F2425" s="23">
        <f>F96</f>
        <v>471394</v>
      </c>
      <c r="G2425" s="104">
        <v>1.05</v>
      </c>
      <c r="H2425" s="252">
        <f t="shared" si="226"/>
        <v>22273.3665</v>
      </c>
    </row>
    <row r="2426" spans="1:9" x14ac:dyDescent="0.2">
      <c r="A2426" s="81" t="s">
        <v>2555</v>
      </c>
      <c r="B2426" s="241" t="s">
        <v>644</v>
      </c>
      <c r="C2426" s="3" t="s">
        <v>645</v>
      </c>
      <c r="D2426" s="2" t="s">
        <v>585</v>
      </c>
      <c r="E2426" s="114">
        <v>1</v>
      </c>
      <c r="F2426" s="23">
        <f>VLOOKUP(B2426,'BASE DE DATOS'!$A$5:$E$997,5,FALSE)</f>
        <v>248302</v>
      </c>
      <c r="G2426" s="104">
        <f>1/2</f>
        <v>0.5</v>
      </c>
      <c r="H2426" s="252">
        <f t="shared" si="226"/>
        <v>124151</v>
      </c>
    </row>
    <row r="2427" spans="1:9" ht="13.5" thickBot="1" x14ac:dyDescent="0.25">
      <c r="A2427" s="94" t="s">
        <v>293</v>
      </c>
      <c r="B2427" s="528" t="s">
        <v>269</v>
      </c>
      <c r="C2427" s="108" t="s">
        <v>284</v>
      </c>
      <c r="D2427" s="109" t="s">
        <v>586</v>
      </c>
      <c r="E2427" s="200">
        <v>0.1</v>
      </c>
      <c r="F2427" s="110">
        <f>H2426</f>
        <v>124151</v>
      </c>
      <c r="G2427" s="156">
        <v>0</v>
      </c>
      <c r="H2427" s="479">
        <f t="shared" si="226"/>
        <v>12415.1</v>
      </c>
    </row>
    <row r="2428" spans="1:9" s="42" customFormat="1" ht="30" x14ac:dyDescent="0.2">
      <c r="A2428" s="67" t="s">
        <v>917</v>
      </c>
      <c r="B2428" s="529"/>
      <c r="C2428" s="388" t="s">
        <v>516</v>
      </c>
      <c r="D2428" s="389" t="s">
        <v>411</v>
      </c>
      <c r="E2428" s="390"/>
      <c r="F2428" s="391">
        <f>ROUND(SUM(H2428:H2439),0)</f>
        <v>1240040</v>
      </c>
      <c r="G2428" s="392"/>
      <c r="H2428" s="393"/>
      <c r="I2428" s="738"/>
    </row>
    <row r="2429" spans="1:9" x14ac:dyDescent="0.2">
      <c r="A2429" s="939" t="s">
        <v>295</v>
      </c>
      <c r="B2429" s="241" t="s">
        <v>1299</v>
      </c>
      <c r="C2429" s="3" t="s">
        <v>158</v>
      </c>
      <c r="D2429" s="2" t="s">
        <v>411</v>
      </c>
      <c r="E2429" s="114">
        <v>6</v>
      </c>
      <c r="F2429" s="23">
        <f>VLOOKUP(B2429,'BASE DE DATOS'!$A$5:$E$997,5,FALSE)</f>
        <v>23450</v>
      </c>
      <c r="G2429" s="104">
        <v>0</v>
      </c>
      <c r="H2429" s="252">
        <f>IF(G2429&gt;0,(G2429*F2429*E2429),(F2429*E2429))</f>
        <v>140700</v>
      </c>
    </row>
    <row r="2430" spans="1:9" x14ac:dyDescent="0.2">
      <c r="A2430" s="939"/>
      <c r="B2430" s="241" t="s">
        <v>1333</v>
      </c>
      <c r="C2430" s="3" t="s">
        <v>3835</v>
      </c>
      <c r="D2430" s="2" t="s">
        <v>411</v>
      </c>
      <c r="E2430" s="114">
        <v>1</v>
      </c>
      <c r="F2430" s="23">
        <f>VLOOKUP(B2430,'BASE DE DATOS'!$A$5:$E$997,5,FALSE)</f>
        <v>199900</v>
      </c>
      <c r="G2430" s="104">
        <v>0</v>
      </c>
      <c r="H2430" s="252">
        <f>IF(G2430&gt;0,(G2430*F2430*E2430),(F2430*E2430))</f>
        <v>199900</v>
      </c>
    </row>
    <row r="2431" spans="1:9" ht="13.15" customHeight="1" x14ac:dyDescent="0.2">
      <c r="A2431" s="939"/>
      <c r="B2431" s="241" t="s">
        <v>1480</v>
      </c>
      <c r="C2431" s="3" t="s">
        <v>3857</v>
      </c>
      <c r="D2431" s="2" t="s">
        <v>411</v>
      </c>
      <c r="E2431" s="114">
        <v>1</v>
      </c>
      <c r="F2431" s="23">
        <f>VLOOKUP(B2431,'BASE DE DATOS'!$A$5:$E$997,5,FALSE)</f>
        <v>17900</v>
      </c>
      <c r="G2431" s="104">
        <v>0</v>
      </c>
      <c r="H2431" s="252">
        <f t="shared" si="226"/>
        <v>17900</v>
      </c>
    </row>
    <row r="2432" spans="1:9" x14ac:dyDescent="0.2">
      <c r="A2432" s="939"/>
      <c r="B2432" s="241" t="s">
        <v>1486</v>
      </c>
      <c r="C2432" s="44" t="s">
        <v>364</v>
      </c>
      <c r="D2432" s="2" t="s">
        <v>411</v>
      </c>
      <c r="E2432" s="114">
        <v>1</v>
      </c>
      <c r="F2432" s="23">
        <f>VLOOKUP(B2432,'BASE DE DATOS'!$A$5:$E$997,5,FALSE)</f>
        <v>242000</v>
      </c>
      <c r="G2432" s="104">
        <v>0</v>
      </c>
      <c r="H2432" s="252">
        <f t="shared" si="226"/>
        <v>242000</v>
      </c>
    </row>
    <row r="2433" spans="1:9" x14ac:dyDescent="0.2">
      <c r="A2433" s="939"/>
      <c r="B2433" s="241" t="s">
        <v>1723</v>
      </c>
      <c r="C2433" s="3" t="s">
        <v>193</v>
      </c>
      <c r="D2433" s="2" t="s">
        <v>411</v>
      </c>
      <c r="E2433" s="114">
        <v>2</v>
      </c>
      <c r="F2433" s="23">
        <f>VLOOKUP(B2433,'BASE DE DATOS'!$A$5:$E$997,5,FALSE)</f>
        <v>122900</v>
      </c>
      <c r="G2433" s="104">
        <v>0</v>
      </c>
      <c r="H2433" s="252">
        <f t="shared" si="226"/>
        <v>245800</v>
      </c>
    </row>
    <row r="2434" spans="1:9" x14ac:dyDescent="0.2">
      <c r="A2434" s="939"/>
      <c r="B2434" s="241" t="s">
        <v>1523</v>
      </c>
      <c r="C2434" s="3" t="s">
        <v>643</v>
      </c>
      <c r="D2434" s="2" t="s">
        <v>642</v>
      </c>
      <c r="E2434" s="114">
        <v>0.42</v>
      </c>
      <c r="F2434" s="23">
        <f>VLOOKUP(B2434,'BASE DE DATOS'!$A$5:$E$997,5,FALSE)</f>
        <v>108900</v>
      </c>
      <c r="G2434" s="104">
        <v>1.03</v>
      </c>
      <c r="H2434" s="252">
        <f t="shared" ref="H2434:H2497" si="227">IF(G2434&gt;0,(G2434*F2434*E2434),(F2434*E2434))</f>
        <v>47110.14</v>
      </c>
    </row>
    <row r="2435" spans="1:9" x14ac:dyDescent="0.2">
      <c r="A2435" s="939"/>
      <c r="B2435" s="241" t="s">
        <v>1715</v>
      </c>
      <c r="C2435" s="3" t="s">
        <v>3148</v>
      </c>
      <c r="D2435" s="2" t="s">
        <v>411</v>
      </c>
      <c r="E2435" s="114">
        <v>1</v>
      </c>
      <c r="F2435" s="23">
        <f>VLOOKUP(B2435,'BASE DE DATOS'!$A$5:$E$997,5,FALSE)</f>
        <v>30000</v>
      </c>
      <c r="G2435" s="104">
        <v>0</v>
      </c>
      <c r="H2435" s="252">
        <f t="shared" si="227"/>
        <v>30000</v>
      </c>
    </row>
    <row r="2436" spans="1:9" x14ac:dyDescent="0.2">
      <c r="A2436" s="939"/>
      <c r="B2436" s="241" t="s">
        <v>1753</v>
      </c>
      <c r="C2436" s="3" t="s">
        <v>192</v>
      </c>
      <c r="D2436" s="2" t="s">
        <v>411</v>
      </c>
      <c r="E2436" s="114">
        <v>2</v>
      </c>
      <c r="F2436" s="23">
        <f>VLOOKUP(B2436,'BASE DE DATOS'!$A$5:$E$997,5,FALSE)</f>
        <v>6900</v>
      </c>
      <c r="G2436" s="104">
        <v>0</v>
      </c>
      <c r="H2436" s="252">
        <f t="shared" si="227"/>
        <v>13800</v>
      </c>
    </row>
    <row r="2437" spans="1:9" ht="14.25" x14ac:dyDescent="0.2">
      <c r="A2437" s="64" t="s">
        <v>3252</v>
      </c>
      <c r="B2437" s="241" t="s">
        <v>811</v>
      </c>
      <c r="C2437" s="3" t="s">
        <v>2098</v>
      </c>
      <c r="D2437" s="2" t="s">
        <v>285</v>
      </c>
      <c r="E2437" s="114">
        <v>0.06</v>
      </c>
      <c r="F2437" s="23">
        <f>F96</f>
        <v>471394</v>
      </c>
      <c r="G2437" s="104">
        <v>1.05</v>
      </c>
      <c r="H2437" s="252">
        <f t="shared" si="227"/>
        <v>29697.822</v>
      </c>
    </row>
    <row r="2438" spans="1:9" x14ac:dyDescent="0.2">
      <c r="A2438" s="81" t="s">
        <v>2555</v>
      </c>
      <c r="B2438" s="241" t="s">
        <v>644</v>
      </c>
      <c r="C2438" s="3" t="s">
        <v>645</v>
      </c>
      <c r="D2438" s="2" t="s">
        <v>585</v>
      </c>
      <c r="E2438" s="114">
        <v>1</v>
      </c>
      <c r="F2438" s="23">
        <f>VLOOKUP(B2438,'BASE DE DATOS'!$A$5:$E$997,5,FALSE)</f>
        <v>248302</v>
      </c>
      <c r="G2438" s="104">
        <f>1</f>
        <v>1</v>
      </c>
      <c r="H2438" s="252">
        <f t="shared" si="227"/>
        <v>248302</v>
      </c>
    </row>
    <row r="2439" spans="1:9" ht="13.5" thickBot="1" x14ac:dyDescent="0.25">
      <c r="A2439" s="94" t="s">
        <v>293</v>
      </c>
      <c r="B2439" s="528" t="s">
        <v>269</v>
      </c>
      <c r="C2439" s="108" t="s">
        <v>284</v>
      </c>
      <c r="D2439" s="109" t="s">
        <v>586</v>
      </c>
      <c r="E2439" s="200">
        <v>0.1</v>
      </c>
      <c r="F2439" s="110">
        <f>H2438</f>
        <v>248302</v>
      </c>
      <c r="G2439" s="156">
        <v>0</v>
      </c>
      <c r="H2439" s="479">
        <f t="shared" si="227"/>
        <v>24830.2</v>
      </c>
    </row>
    <row r="2440" spans="1:9" s="42" customFormat="1" ht="30" x14ac:dyDescent="0.2">
      <c r="A2440" s="67" t="s">
        <v>918</v>
      </c>
      <c r="B2440" s="529"/>
      <c r="C2440" s="388" t="s">
        <v>3153</v>
      </c>
      <c r="D2440" s="389" t="s">
        <v>411</v>
      </c>
      <c r="E2440" s="390"/>
      <c r="F2440" s="391">
        <f>ROUND(SUM(H2440:H2447),0)</f>
        <v>796095</v>
      </c>
      <c r="G2440" s="392"/>
      <c r="H2440" s="393"/>
      <c r="I2440" s="738"/>
    </row>
    <row r="2441" spans="1:9" x14ac:dyDescent="0.2">
      <c r="A2441" s="939" t="s">
        <v>295</v>
      </c>
      <c r="B2441" s="241" t="s">
        <v>1770</v>
      </c>
      <c r="C2441" s="140" t="s">
        <v>2803</v>
      </c>
      <c r="D2441" s="136" t="s">
        <v>411</v>
      </c>
      <c r="E2441" s="114">
        <v>3</v>
      </c>
      <c r="F2441" s="23">
        <f>VLOOKUP(B2441,'BASE DE DATOS'!$A$5:$E$997,5,FALSE)</f>
        <v>6950</v>
      </c>
      <c r="G2441" s="104">
        <v>0</v>
      </c>
      <c r="H2441" s="252">
        <f>IF(G2441&gt;0,(G2441*F2441*E2441),(F2441*E2441))</f>
        <v>20850</v>
      </c>
    </row>
    <row r="2442" spans="1:9" x14ac:dyDescent="0.2">
      <c r="A2442" s="939"/>
      <c r="B2442" s="241" t="s">
        <v>1480</v>
      </c>
      <c r="C2442" s="3" t="s">
        <v>3857</v>
      </c>
      <c r="D2442" s="2" t="s">
        <v>411</v>
      </c>
      <c r="E2442" s="114">
        <v>1</v>
      </c>
      <c r="F2442" s="23">
        <f>VLOOKUP(B2442,'BASE DE DATOS'!$A$5:$E$997,5,FALSE)</f>
        <v>17900</v>
      </c>
      <c r="G2442" s="104">
        <v>0</v>
      </c>
      <c r="H2442" s="252">
        <f>IF(G2442&gt;0,(G2442*F2442*E2442),(F2442*E2442))</f>
        <v>17900</v>
      </c>
    </row>
    <row r="2443" spans="1:9" x14ac:dyDescent="0.2">
      <c r="A2443" s="939"/>
      <c r="B2443" s="241" t="s">
        <v>1523</v>
      </c>
      <c r="C2443" s="3" t="s">
        <v>643</v>
      </c>
      <c r="D2443" s="2" t="s">
        <v>642</v>
      </c>
      <c r="E2443" s="114">
        <v>0.1</v>
      </c>
      <c r="F2443" s="23">
        <f>VLOOKUP(B2443,'BASE DE DATOS'!$A$5:$E$997,5,FALSE)</f>
        <v>108900</v>
      </c>
      <c r="G2443" s="104">
        <f>1/20</f>
        <v>0.05</v>
      </c>
      <c r="H2443" s="252">
        <f>IF(G2443&gt;0,(G2443*F2443*E2443),(F2443*E2443))</f>
        <v>544.5</v>
      </c>
    </row>
    <row r="2444" spans="1:9" ht="26.45" customHeight="1" x14ac:dyDescent="0.2">
      <c r="A2444" s="939"/>
      <c r="B2444" s="244" t="s">
        <v>2655</v>
      </c>
      <c r="C2444" s="182" t="s">
        <v>2061</v>
      </c>
      <c r="D2444" s="19" t="s">
        <v>288</v>
      </c>
      <c r="E2444" s="194">
        <v>1.6</v>
      </c>
      <c r="F2444" s="23">
        <f>VLOOKUP(B2444,'BASE DE DATOS'!$A$5:$E$997,5,FALSE)</f>
        <v>399630.00000000006</v>
      </c>
      <c r="G2444" s="58">
        <v>1.05</v>
      </c>
      <c r="H2444" s="252">
        <f t="shared" si="227"/>
        <v>671378.40000000014</v>
      </c>
    </row>
    <row r="2445" spans="1:9" x14ac:dyDescent="0.2">
      <c r="A2445" s="939"/>
      <c r="B2445" s="241" t="s">
        <v>1707</v>
      </c>
      <c r="C2445" s="44" t="s">
        <v>89</v>
      </c>
      <c r="D2445" s="2" t="s">
        <v>411</v>
      </c>
      <c r="E2445" s="114">
        <v>1</v>
      </c>
      <c r="F2445" s="23">
        <f>VLOOKUP(B2445,'BASE DE DATOS'!$A$5:$E$997,5,FALSE)</f>
        <v>39900</v>
      </c>
      <c r="G2445" s="104">
        <v>0</v>
      </c>
      <c r="H2445" s="252">
        <f t="shared" si="227"/>
        <v>39900</v>
      </c>
    </row>
    <row r="2446" spans="1:9" x14ac:dyDescent="0.2">
      <c r="A2446" s="81" t="s">
        <v>2555</v>
      </c>
      <c r="B2446" s="241" t="s">
        <v>644</v>
      </c>
      <c r="C2446" s="3" t="s">
        <v>645</v>
      </c>
      <c r="D2446" s="2" t="s">
        <v>585</v>
      </c>
      <c r="E2446" s="114">
        <v>1</v>
      </c>
      <c r="F2446" s="23">
        <f>VLOOKUP(B2446,'BASE DE DATOS'!$A$5:$E$997,5,FALSE)</f>
        <v>248302</v>
      </c>
      <c r="G2446" s="104">
        <f>1/6</f>
        <v>0.16666666666666666</v>
      </c>
      <c r="H2446" s="252">
        <f t="shared" si="227"/>
        <v>41383.666666666664</v>
      </c>
    </row>
    <row r="2447" spans="1:9" ht="13.5" thickBot="1" x14ac:dyDescent="0.25">
      <c r="A2447" s="94" t="s">
        <v>293</v>
      </c>
      <c r="B2447" s="528" t="s">
        <v>269</v>
      </c>
      <c r="C2447" s="108" t="s">
        <v>284</v>
      </c>
      <c r="D2447" s="109" t="s">
        <v>586</v>
      </c>
      <c r="E2447" s="200">
        <v>0.1</v>
      </c>
      <c r="F2447" s="110">
        <f>H2446</f>
        <v>41383.666666666664</v>
      </c>
      <c r="G2447" s="156">
        <v>0</v>
      </c>
      <c r="H2447" s="479">
        <f t="shared" si="227"/>
        <v>4138.3666666666668</v>
      </c>
    </row>
    <row r="2448" spans="1:9" s="42" customFormat="1" ht="30" x14ac:dyDescent="0.2">
      <c r="A2448" s="67" t="s">
        <v>919</v>
      </c>
      <c r="B2448" s="529"/>
      <c r="C2448" s="388" t="s">
        <v>374</v>
      </c>
      <c r="D2448" s="389" t="s">
        <v>411</v>
      </c>
      <c r="E2448" s="390"/>
      <c r="F2448" s="391">
        <f>ROUND(SUM(H2448:H2453),0)</f>
        <v>284845</v>
      </c>
      <c r="G2448" s="392"/>
      <c r="H2448" s="393"/>
      <c r="I2448" s="738"/>
    </row>
    <row r="2449" spans="1:9" x14ac:dyDescent="0.2">
      <c r="A2449" s="936" t="s">
        <v>382</v>
      </c>
      <c r="B2449" s="241" t="s">
        <v>1484</v>
      </c>
      <c r="C2449" s="182" t="s">
        <v>365</v>
      </c>
      <c r="D2449" s="2" t="s">
        <v>411</v>
      </c>
      <c r="E2449" s="114">
        <v>1</v>
      </c>
      <c r="F2449" s="23">
        <f>VLOOKUP(B2449,'BASE DE DATOS'!$A$5:$E$997,5,FALSE)</f>
        <v>105189.882</v>
      </c>
      <c r="G2449" s="104">
        <v>0</v>
      </c>
      <c r="H2449" s="252">
        <f t="shared" si="227"/>
        <v>105189.882</v>
      </c>
    </row>
    <row r="2450" spans="1:9" x14ac:dyDescent="0.2">
      <c r="A2450" s="936"/>
      <c r="B2450" s="241" t="s">
        <v>1523</v>
      </c>
      <c r="C2450" s="3" t="s">
        <v>643</v>
      </c>
      <c r="D2450" s="2" t="s">
        <v>642</v>
      </c>
      <c r="E2450" s="114">
        <v>0.26600000000000001</v>
      </c>
      <c r="F2450" s="23">
        <f>VLOOKUP(B2450,'BASE DE DATOS'!$A$5:$E$997,5,FALSE)</f>
        <v>108900</v>
      </c>
      <c r="G2450" s="104">
        <v>1.03</v>
      </c>
      <c r="H2450" s="252">
        <f t="shared" si="227"/>
        <v>29836.422000000002</v>
      </c>
    </row>
    <row r="2451" spans="1:9" ht="14.25" x14ac:dyDescent="0.2">
      <c r="A2451" s="64" t="s">
        <v>3252</v>
      </c>
      <c r="B2451" s="241" t="s">
        <v>810</v>
      </c>
      <c r="C2451" s="3" t="s">
        <v>2097</v>
      </c>
      <c r="D2451" s="2" t="s">
        <v>285</v>
      </c>
      <c r="E2451" s="114">
        <v>2.4E-2</v>
      </c>
      <c r="F2451" s="23">
        <f>F90</f>
        <v>525897</v>
      </c>
      <c r="G2451" s="104">
        <v>1.05</v>
      </c>
      <c r="H2451" s="252">
        <f t="shared" si="227"/>
        <v>13252.6044</v>
      </c>
    </row>
    <row r="2452" spans="1:9" x14ac:dyDescent="0.2">
      <c r="A2452" s="81" t="s">
        <v>2555</v>
      </c>
      <c r="B2452" s="241" t="s">
        <v>644</v>
      </c>
      <c r="C2452" s="3" t="s">
        <v>645</v>
      </c>
      <c r="D2452" s="2" t="s">
        <v>585</v>
      </c>
      <c r="E2452" s="114">
        <v>1</v>
      </c>
      <c r="F2452" s="23">
        <f>VLOOKUP(B2452,'BASE DE DATOS'!$A$5:$E$997,5,FALSE)</f>
        <v>248302</v>
      </c>
      <c r="G2452" s="104">
        <f>1/2</f>
        <v>0.5</v>
      </c>
      <c r="H2452" s="252">
        <f t="shared" si="227"/>
        <v>124151</v>
      </c>
    </row>
    <row r="2453" spans="1:9" ht="13.5" thickBot="1" x14ac:dyDescent="0.25">
      <c r="A2453" s="94" t="s">
        <v>293</v>
      </c>
      <c r="B2453" s="528" t="s">
        <v>269</v>
      </c>
      <c r="C2453" s="108" t="s">
        <v>284</v>
      </c>
      <c r="D2453" s="109" t="s">
        <v>586</v>
      </c>
      <c r="E2453" s="200">
        <v>0.1</v>
      </c>
      <c r="F2453" s="110">
        <f>H2452</f>
        <v>124151</v>
      </c>
      <c r="G2453" s="156">
        <v>0</v>
      </c>
      <c r="H2453" s="479">
        <f t="shared" si="227"/>
        <v>12415.1</v>
      </c>
    </row>
    <row r="2454" spans="1:9" s="42" customFormat="1" ht="30" x14ac:dyDescent="0.2">
      <c r="A2454" s="67" t="s">
        <v>920</v>
      </c>
      <c r="B2454" s="529"/>
      <c r="C2454" s="388" t="s">
        <v>3364</v>
      </c>
      <c r="D2454" s="389" t="s">
        <v>411</v>
      </c>
      <c r="E2454" s="390"/>
      <c r="F2454" s="391">
        <f>ROUND(SUM(H2454:H2459),0)</f>
        <v>434408</v>
      </c>
      <c r="G2454" s="392"/>
      <c r="H2454" s="393"/>
      <c r="I2454" s="738"/>
    </row>
    <row r="2455" spans="1:9" x14ac:dyDescent="0.2">
      <c r="A2455" s="936" t="s">
        <v>382</v>
      </c>
      <c r="B2455" s="241" t="s">
        <v>1486</v>
      </c>
      <c r="C2455" s="3" t="s">
        <v>195</v>
      </c>
      <c r="D2455" s="2" t="s">
        <v>411</v>
      </c>
      <c r="E2455" s="114">
        <v>1</v>
      </c>
      <c r="F2455" s="23">
        <f>VLOOKUP(B2455,'BASE DE DATOS'!$A$5:$E$997,5,FALSE)</f>
        <v>242000</v>
      </c>
      <c r="G2455" s="104">
        <v>0</v>
      </c>
      <c r="H2455" s="252">
        <f t="shared" si="227"/>
        <v>242000</v>
      </c>
    </row>
    <row r="2456" spans="1:9" x14ac:dyDescent="0.2">
      <c r="A2456" s="936"/>
      <c r="B2456" s="241" t="s">
        <v>1523</v>
      </c>
      <c r="C2456" s="3" t="s">
        <v>643</v>
      </c>
      <c r="D2456" s="2" t="s">
        <v>642</v>
      </c>
      <c r="E2456" s="114">
        <v>0.36</v>
      </c>
      <c r="F2456" s="23">
        <f>VLOOKUP(B2456,'BASE DE DATOS'!$A$5:$E$997,5,FALSE)</f>
        <v>108900</v>
      </c>
      <c r="G2456" s="104">
        <v>1.03</v>
      </c>
      <c r="H2456" s="252">
        <f t="shared" si="227"/>
        <v>40380.119999999995</v>
      </c>
    </row>
    <row r="2457" spans="1:9" ht="14.25" x14ac:dyDescent="0.2">
      <c r="A2457" s="64" t="s">
        <v>3252</v>
      </c>
      <c r="B2457" s="241" t="s">
        <v>810</v>
      </c>
      <c r="C2457" s="3" t="s">
        <v>2097</v>
      </c>
      <c r="D2457" s="2" t="s">
        <v>285</v>
      </c>
      <c r="E2457" s="114">
        <v>2.8000000000000001E-2</v>
      </c>
      <c r="F2457" s="23">
        <f>F90</f>
        <v>525897</v>
      </c>
      <c r="G2457" s="104">
        <v>1.05</v>
      </c>
      <c r="H2457" s="252">
        <f t="shared" si="227"/>
        <v>15461.371799999999</v>
      </c>
    </row>
    <row r="2458" spans="1:9" x14ac:dyDescent="0.2">
      <c r="A2458" s="81" t="s">
        <v>2555</v>
      </c>
      <c r="B2458" s="241" t="s">
        <v>644</v>
      </c>
      <c r="C2458" s="3" t="s">
        <v>645</v>
      </c>
      <c r="D2458" s="2" t="s">
        <v>585</v>
      </c>
      <c r="E2458" s="114">
        <v>1</v>
      </c>
      <c r="F2458" s="23">
        <f>VLOOKUP(B2458,'BASE DE DATOS'!$A$5:$E$997,5,FALSE)</f>
        <v>248302</v>
      </c>
      <c r="G2458" s="104">
        <f>1/2</f>
        <v>0.5</v>
      </c>
      <c r="H2458" s="252">
        <f t="shared" si="227"/>
        <v>124151</v>
      </c>
    </row>
    <row r="2459" spans="1:9" ht="13.5" thickBot="1" x14ac:dyDescent="0.25">
      <c r="A2459" s="94" t="s">
        <v>293</v>
      </c>
      <c r="B2459" s="528" t="s">
        <v>269</v>
      </c>
      <c r="C2459" s="108" t="s">
        <v>284</v>
      </c>
      <c r="D2459" s="109" t="s">
        <v>586</v>
      </c>
      <c r="E2459" s="200">
        <v>0.1</v>
      </c>
      <c r="F2459" s="110">
        <f>H2458</f>
        <v>124151</v>
      </c>
      <c r="G2459" s="156">
        <v>0</v>
      </c>
      <c r="H2459" s="479">
        <f t="shared" si="227"/>
        <v>12415.1</v>
      </c>
    </row>
    <row r="2460" spans="1:9" s="42" customFormat="1" ht="30" x14ac:dyDescent="0.2">
      <c r="A2460" s="67" t="s">
        <v>921</v>
      </c>
      <c r="B2460" s="529"/>
      <c r="C2460" s="388" t="s">
        <v>2063</v>
      </c>
      <c r="D2460" s="389" t="s">
        <v>411</v>
      </c>
      <c r="E2460" s="390"/>
      <c r="F2460" s="391">
        <f>ROUND(SUM(H2460:H2464),0)</f>
        <v>180207</v>
      </c>
      <c r="G2460" s="392"/>
      <c r="H2460" s="393"/>
      <c r="I2460" s="738"/>
    </row>
    <row r="2461" spans="1:9" x14ac:dyDescent="0.2">
      <c r="A2461" s="82" t="s">
        <v>382</v>
      </c>
      <c r="B2461" s="241" t="s">
        <v>1523</v>
      </c>
      <c r="C2461" s="3" t="s">
        <v>643</v>
      </c>
      <c r="D2461" s="2" t="s">
        <v>642</v>
      </c>
      <c r="E2461" s="114">
        <v>0.26600000000000001</v>
      </c>
      <c r="F2461" s="23">
        <f>VLOOKUP(B2461,'BASE DE DATOS'!$A$5:$E$997,5,FALSE)</f>
        <v>108900</v>
      </c>
      <c r="G2461" s="104">
        <v>1.03</v>
      </c>
      <c r="H2461" s="252">
        <f t="shared" si="227"/>
        <v>29836.422000000002</v>
      </c>
    </row>
    <row r="2462" spans="1:9" ht="14.25" x14ac:dyDescent="0.2">
      <c r="A2462" s="64" t="s">
        <v>3252</v>
      </c>
      <c r="B2462" s="241" t="s">
        <v>810</v>
      </c>
      <c r="C2462" s="3" t="s">
        <v>2097</v>
      </c>
      <c r="D2462" s="2" t="s">
        <v>285</v>
      </c>
      <c r="E2462" s="114">
        <v>2.5000000000000001E-2</v>
      </c>
      <c r="F2462" s="23">
        <f>F90</f>
        <v>525897</v>
      </c>
      <c r="G2462" s="104">
        <v>1.05</v>
      </c>
      <c r="H2462" s="252">
        <f t="shared" si="227"/>
        <v>13804.796249999999</v>
      </c>
    </row>
    <row r="2463" spans="1:9" x14ac:dyDescent="0.2">
      <c r="A2463" s="81" t="s">
        <v>2555</v>
      </c>
      <c r="B2463" s="241" t="s">
        <v>644</v>
      </c>
      <c r="C2463" s="3" t="s">
        <v>645</v>
      </c>
      <c r="D2463" s="2" t="s">
        <v>585</v>
      </c>
      <c r="E2463" s="114">
        <v>1</v>
      </c>
      <c r="F2463" s="23">
        <f>VLOOKUP(B2463,'BASE DE DATOS'!$A$5:$E$997,5,FALSE)</f>
        <v>248302</v>
      </c>
      <c r="G2463" s="104">
        <f>1/2</f>
        <v>0.5</v>
      </c>
      <c r="H2463" s="252">
        <f t="shared" si="227"/>
        <v>124151</v>
      </c>
    </row>
    <row r="2464" spans="1:9" ht="13.5" thickBot="1" x14ac:dyDescent="0.25">
      <c r="A2464" s="94" t="s">
        <v>293</v>
      </c>
      <c r="B2464" s="528" t="s">
        <v>269</v>
      </c>
      <c r="C2464" s="108" t="s">
        <v>284</v>
      </c>
      <c r="D2464" s="109" t="s">
        <v>586</v>
      </c>
      <c r="E2464" s="200">
        <v>0.1</v>
      </c>
      <c r="F2464" s="110">
        <f>H2463</f>
        <v>124151</v>
      </c>
      <c r="G2464" s="156">
        <v>0</v>
      </c>
      <c r="H2464" s="479">
        <f t="shared" si="227"/>
        <v>12415.1</v>
      </c>
    </row>
    <row r="2465" spans="1:9" s="42" customFormat="1" ht="30" x14ac:dyDescent="0.2">
      <c r="A2465" s="67" t="s">
        <v>922</v>
      </c>
      <c r="B2465" s="529"/>
      <c r="C2465" s="388" t="s">
        <v>371</v>
      </c>
      <c r="D2465" s="389" t="s">
        <v>411</v>
      </c>
      <c r="E2465" s="390"/>
      <c r="F2465" s="391">
        <f>ROUND(SUM(H2466:H2469),0)</f>
        <v>207582</v>
      </c>
      <c r="G2465" s="392"/>
      <c r="H2465" s="393"/>
      <c r="I2465" s="738"/>
    </row>
    <row r="2466" spans="1:9" x14ac:dyDescent="0.2">
      <c r="A2466" s="82" t="s">
        <v>382</v>
      </c>
      <c r="B2466" s="241" t="s">
        <v>1523</v>
      </c>
      <c r="C2466" s="3" t="s">
        <v>643</v>
      </c>
      <c r="D2466" s="2" t="s">
        <v>642</v>
      </c>
      <c r="E2466" s="114">
        <v>0.36</v>
      </c>
      <c r="F2466" s="23">
        <f>VLOOKUP(B2466,'BASE DE DATOS'!$A$5:$E$997,5,FALSE)</f>
        <v>108900</v>
      </c>
      <c r="G2466" s="104">
        <v>1.03</v>
      </c>
      <c r="H2466" s="252">
        <f t="shared" si="227"/>
        <v>40380.119999999995</v>
      </c>
    </row>
    <row r="2467" spans="1:9" ht="14.25" x14ac:dyDescent="0.2">
      <c r="A2467" s="64" t="s">
        <v>3252</v>
      </c>
      <c r="B2467" s="241" t="s">
        <v>810</v>
      </c>
      <c r="C2467" s="3" t="s">
        <v>2097</v>
      </c>
      <c r="D2467" s="2" t="s">
        <v>285</v>
      </c>
      <c r="E2467" s="114">
        <v>2.8000000000000001E-2</v>
      </c>
      <c r="F2467" s="23">
        <f>F90</f>
        <v>525897</v>
      </c>
      <c r="G2467" s="104">
        <v>1.05</v>
      </c>
      <c r="H2467" s="252">
        <f t="shared" si="227"/>
        <v>15461.371799999999</v>
      </c>
    </row>
    <row r="2468" spans="1:9" x14ac:dyDescent="0.2">
      <c r="A2468" s="81" t="s">
        <v>2555</v>
      </c>
      <c r="B2468" s="241" t="s">
        <v>644</v>
      </c>
      <c r="C2468" s="3" t="s">
        <v>645</v>
      </c>
      <c r="D2468" s="2" t="s">
        <v>585</v>
      </c>
      <c r="E2468" s="114">
        <v>1</v>
      </c>
      <c r="F2468" s="23">
        <f>VLOOKUP(B2468,'BASE DE DATOS'!$A$5:$E$997,5,FALSE)</f>
        <v>248302</v>
      </c>
      <c r="G2468" s="104">
        <f>1/1.8</f>
        <v>0.55555555555555558</v>
      </c>
      <c r="H2468" s="252">
        <f t="shared" si="227"/>
        <v>137945.55555555556</v>
      </c>
    </row>
    <row r="2469" spans="1:9" ht="13.5" thickBot="1" x14ac:dyDescent="0.25">
      <c r="A2469" s="94" t="s">
        <v>293</v>
      </c>
      <c r="B2469" s="528" t="s">
        <v>269</v>
      </c>
      <c r="C2469" s="108" t="s">
        <v>284</v>
      </c>
      <c r="D2469" s="109" t="s">
        <v>586</v>
      </c>
      <c r="E2469" s="200">
        <v>0.1</v>
      </c>
      <c r="F2469" s="110">
        <f>H2468</f>
        <v>137945.55555555556</v>
      </c>
      <c r="G2469" s="156">
        <v>0</v>
      </c>
      <c r="H2469" s="479">
        <f t="shared" si="227"/>
        <v>13794.555555555557</v>
      </c>
    </row>
    <row r="2470" spans="1:9" s="42" customFormat="1" ht="30" x14ac:dyDescent="0.2">
      <c r="A2470" s="67" t="s">
        <v>923</v>
      </c>
      <c r="B2470" s="529"/>
      <c r="C2470" s="388" t="s">
        <v>124</v>
      </c>
      <c r="D2470" s="389" t="s">
        <v>3251</v>
      </c>
      <c r="E2470" s="395"/>
      <c r="F2470" s="391">
        <f>ROUND(SUM(H2470:H2471),0)</f>
        <v>160000</v>
      </c>
      <c r="G2470" s="392"/>
      <c r="H2470" s="393"/>
      <c r="I2470" s="738"/>
    </row>
    <row r="2471" spans="1:9" ht="15" thickBot="1" x14ac:dyDescent="0.25">
      <c r="A2471" s="124" t="s">
        <v>382</v>
      </c>
      <c r="B2471" s="528" t="s">
        <v>1377</v>
      </c>
      <c r="C2471" s="108" t="s">
        <v>463</v>
      </c>
      <c r="D2471" s="109" t="s">
        <v>288</v>
      </c>
      <c r="E2471" s="200">
        <v>1</v>
      </c>
      <c r="F2471" s="110">
        <f>VLOOKUP(B2471,'BASE DE DATOS'!$A$5:$E$997,5,FALSE)</f>
        <v>160000</v>
      </c>
      <c r="G2471" s="156">
        <v>0</v>
      </c>
      <c r="H2471" s="479">
        <f t="shared" si="227"/>
        <v>160000</v>
      </c>
    </row>
    <row r="2472" spans="1:9" s="42" customFormat="1" ht="30" x14ac:dyDescent="0.2">
      <c r="A2472" s="67" t="s">
        <v>924</v>
      </c>
      <c r="B2472" s="529"/>
      <c r="C2472" s="388" t="s">
        <v>3351</v>
      </c>
      <c r="D2472" s="389" t="s">
        <v>3251</v>
      </c>
      <c r="E2472" s="395"/>
      <c r="F2472" s="391">
        <f>ROUND(SUM(H2472:H2479),0)</f>
        <v>388636</v>
      </c>
      <c r="G2472" s="392"/>
      <c r="H2472" s="393"/>
      <c r="I2472" s="738"/>
    </row>
    <row r="2473" spans="1:9" x14ac:dyDescent="0.2">
      <c r="A2473" s="936" t="s">
        <v>382</v>
      </c>
      <c r="B2473" s="241" t="s">
        <v>1523</v>
      </c>
      <c r="C2473" s="3" t="s">
        <v>643</v>
      </c>
      <c r="D2473" s="2" t="s">
        <v>642</v>
      </c>
      <c r="E2473" s="114">
        <v>0.1</v>
      </c>
      <c r="F2473" s="23">
        <f>VLOOKUP(B2473,'BASE DE DATOS'!$A$5:$E$997,5,FALSE)</f>
        <v>108900</v>
      </c>
      <c r="G2473" s="104">
        <v>1.03</v>
      </c>
      <c r="H2473" s="252">
        <f>IF(G2473&gt;0,(G2473*F2473*E2473),(F2473*E2473))</f>
        <v>11216.7</v>
      </c>
    </row>
    <row r="2474" spans="1:9" x14ac:dyDescent="0.2">
      <c r="A2474" s="936"/>
      <c r="B2474" s="241" t="s">
        <v>1487</v>
      </c>
      <c r="C2474" s="3" t="s">
        <v>2745</v>
      </c>
      <c r="D2474" s="2" t="s">
        <v>97</v>
      </c>
      <c r="E2474" s="114">
        <v>3.36</v>
      </c>
      <c r="F2474" s="23">
        <f>VLOOKUP(B2474,'BASE DE DATOS'!$A$5:$E$997,5,FALSE)</f>
        <v>88.928571428571431</v>
      </c>
      <c r="G2474" s="104">
        <v>1.03</v>
      </c>
      <c r="H2474" s="252">
        <f>IF(G2474&gt;0,(G2474*F2474*E2474),(F2474*E2474))</f>
        <v>307.76400000000001</v>
      </c>
    </row>
    <row r="2475" spans="1:9" ht="14.25" x14ac:dyDescent="0.2">
      <c r="A2475" s="936"/>
      <c r="B2475" s="241" t="s">
        <v>1694</v>
      </c>
      <c r="C2475" s="3" t="s">
        <v>196</v>
      </c>
      <c r="D2475" s="2" t="s">
        <v>288</v>
      </c>
      <c r="E2475" s="114">
        <v>1</v>
      </c>
      <c r="F2475" s="23">
        <f>VLOOKUP(B2475,'BASE DE DATOS'!$A$5:$E$997,5,FALSE)</f>
        <v>185000</v>
      </c>
      <c r="G2475" s="104">
        <v>0</v>
      </c>
      <c r="H2475" s="252">
        <f t="shared" si="227"/>
        <v>185000</v>
      </c>
    </row>
    <row r="2476" spans="1:9" ht="14.25" x14ac:dyDescent="0.2">
      <c r="A2476" s="936"/>
      <c r="B2476" s="241" t="s">
        <v>1696</v>
      </c>
      <c r="C2476" s="3" t="s">
        <v>2750</v>
      </c>
      <c r="D2476" s="2" t="s">
        <v>288</v>
      </c>
      <c r="E2476" s="114">
        <v>1</v>
      </c>
      <c r="F2476" s="23">
        <f>VLOOKUP(B2476,'BASE DE DATOS'!$A$5:$E$997,5,FALSE)</f>
        <v>101000</v>
      </c>
      <c r="G2476" s="104">
        <v>1.03</v>
      </c>
      <c r="H2476" s="252">
        <f t="shared" si="227"/>
        <v>104030</v>
      </c>
    </row>
    <row r="2477" spans="1:9" ht="14.25" x14ac:dyDescent="0.2">
      <c r="A2477" s="64" t="s">
        <v>3252</v>
      </c>
      <c r="B2477" s="241" t="s">
        <v>811</v>
      </c>
      <c r="C2477" s="3" t="s">
        <v>2098</v>
      </c>
      <c r="D2477" s="2" t="s">
        <v>285</v>
      </c>
      <c r="E2477" s="114">
        <v>0.04</v>
      </c>
      <c r="F2477" s="23">
        <f>F96</f>
        <v>471394</v>
      </c>
      <c r="G2477" s="104">
        <v>1.05</v>
      </c>
      <c r="H2477" s="252">
        <f t="shared" si="227"/>
        <v>19798.548000000003</v>
      </c>
    </row>
    <row r="2478" spans="1:9" x14ac:dyDescent="0.2">
      <c r="A2478" s="81" t="s">
        <v>2555</v>
      </c>
      <c r="B2478" s="241" t="s">
        <v>644</v>
      </c>
      <c r="C2478" s="3" t="s">
        <v>645</v>
      </c>
      <c r="D2478" s="2" t="s">
        <v>585</v>
      </c>
      <c r="E2478" s="114">
        <v>1</v>
      </c>
      <c r="F2478" s="23">
        <f>VLOOKUP(B2478,'BASE DE DATOS'!$A$5:$E$997,5,FALSE)</f>
        <v>248302</v>
      </c>
      <c r="G2478" s="104">
        <f>1/4</f>
        <v>0.25</v>
      </c>
      <c r="H2478" s="252">
        <f t="shared" si="227"/>
        <v>62075.5</v>
      </c>
    </row>
    <row r="2479" spans="1:9" ht="13.5" thickBot="1" x14ac:dyDescent="0.25">
      <c r="A2479" s="94" t="s">
        <v>293</v>
      </c>
      <c r="B2479" s="528" t="s">
        <v>269</v>
      </c>
      <c r="C2479" s="108" t="s">
        <v>284</v>
      </c>
      <c r="D2479" s="109" t="s">
        <v>586</v>
      </c>
      <c r="E2479" s="200">
        <v>0.1</v>
      </c>
      <c r="F2479" s="110">
        <f>H2478</f>
        <v>62075.5</v>
      </c>
      <c r="G2479" s="156">
        <v>0</v>
      </c>
      <c r="H2479" s="479">
        <f t="shared" si="227"/>
        <v>6207.55</v>
      </c>
    </row>
    <row r="2480" spans="1:9" s="42" customFormat="1" ht="30" x14ac:dyDescent="0.2">
      <c r="A2480" s="67" t="s">
        <v>925</v>
      </c>
      <c r="B2480" s="529"/>
      <c r="C2480" s="388" t="s">
        <v>3355</v>
      </c>
      <c r="D2480" s="389" t="s">
        <v>3251</v>
      </c>
      <c r="E2480" s="395"/>
      <c r="F2480" s="391">
        <f>ROUND(SUM(H2480:H2487),0)</f>
        <v>334220</v>
      </c>
      <c r="G2480" s="392"/>
      <c r="H2480" s="393"/>
      <c r="I2480" s="738"/>
    </row>
    <row r="2481" spans="1:9" x14ac:dyDescent="0.2">
      <c r="A2481" s="936" t="s">
        <v>382</v>
      </c>
      <c r="B2481" s="241" t="s">
        <v>1523</v>
      </c>
      <c r="C2481" s="3" t="s">
        <v>643</v>
      </c>
      <c r="D2481" s="2" t="s">
        <v>642</v>
      </c>
      <c r="E2481" s="114">
        <v>0.12</v>
      </c>
      <c r="F2481" s="23">
        <f>VLOOKUP(B2481,'BASE DE DATOS'!$A$5:$E$997,5,FALSE)</f>
        <v>108900</v>
      </c>
      <c r="G2481" s="104">
        <v>1.03</v>
      </c>
      <c r="H2481" s="252">
        <f>IF(G2481&gt;0,(G2481*F2481*E2481),(F2481*E2481))</f>
        <v>13460.039999999999</v>
      </c>
    </row>
    <row r="2482" spans="1:9" x14ac:dyDescent="0.2">
      <c r="A2482" s="936"/>
      <c r="B2482" s="241" t="s">
        <v>1487</v>
      </c>
      <c r="C2482" s="3" t="s">
        <v>2745</v>
      </c>
      <c r="D2482" s="2" t="s">
        <v>97</v>
      </c>
      <c r="E2482" s="114">
        <v>3.84</v>
      </c>
      <c r="F2482" s="23">
        <f>VLOOKUP(B2482,'BASE DE DATOS'!$A$5:$E$997,5,FALSE)</f>
        <v>88.928571428571431</v>
      </c>
      <c r="G2482" s="104">
        <v>1.03</v>
      </c>
      <c r="H2482" s="252">
        <f>IF(G2482&gt;0,(G2482*F2482*E2482),(F2482*E2482))</f>
        <v>351.73028571428574</v>
      </c>
    </row>
    <row r="2483" spans="1:9" ht="14.25" x14ac:dyDescent="0.2">
      <c r="A2483" s="936"/>
      <c r="B2483" s="241" t="s">
        <v>1693</v>
      </c>
      <c r="C2483" s="3" t="s">
        <v>198</v>
      </c>
      <c r="D2483" s="2" t="s">
        <v>288</v>
      </c>
      <c r="E2483" s="114">
        <v>1</v>
      </c>
      <c r="F2483" s="23">
        <f>VLOOKUP(B2483,'BASE DE DATOS'!$A$5:$E$997,5,FALSE)</f>
        <v>128296.8</v>
      </c>
      <c r="G2483" s="104">
        <v>0</v>
      </c>
      <c r="H2483" s="252">
        <f t="shared" si="227"/>
        <v>128296.8</v>
      </c>
    </row>
    <row r="2484" spans="1:9" ht="14.25" x14ac:dyDescent="0.2">
      <c r="A2484" s="936"/>
      <c r="B2484" s="241" t="s">
        <v>1696</v>
      </c>
      <c r="C2484" s="3" t="s">
        <v>2750</v>
      </c>
      <c r="D2484" s="2" t="s">
        <v>288</v>
      </c>
      <c r="E2484" s="114">
        <v>1</v>
      </c>
      <c r="F2484" s="23">
        <f>VLOOKUP(B2484,'BASE DE DATOS'!$A$5:$E$997,5,FALSE)</f>
        <v>101000</v>
      </c>
      <c r="G2484" s="104">
        <v>1.03</v>
      </c>
      <c r="H2484" s="252">
        <f t="shared" si="227"/>
        <v>104030</v>
      </c>
    </row>
    <row r="2485" spans="1:9" ht="14.25" x14ac:dyDescent="0.2">
      <c r="A2485" s="64" t="s">
        <v>3252</v>
      </c>
      <c r="B2485" s="241" t="s">
        <v>811</v>
      </c>
      <c r="C2485" s="3" t="s">
        <v>2098</v>
      </c>
      <c r="D2485" s="2" t="s">
        <v>285</v>
      </c>
      <c r="E2485" s="114">
        <v>0.04</v>
      </c>
      <c r="F2485" s="23">
        <f>F96</f>
        <v>471394</v>
      </c>
      <c r="G2485" s="104">
        <v>1.05</v>
      </c>
      <c r="H2485" s="252">
        <f t="shared" si="227"/>
        <v>19798.548000000003</v>
      </c>
    </row>
    <row r="2486" spans="1:9" x14ac:dyDescent="0.2">
      <c r="A2486" s="81" t="s">
        <v>2555</v>
      </c>
      <c r="B2486" s="241" t="s">
        <v>644</v>
      </c>
      <c r="C2486" s="3" t="s">
        <v>645</v>
      </c>
      <c r="D2486" s="2" t="s">
        <v>585</v>
      </c>
      <c r="E2486" s="114">
        <v>1</v>
      </c>
      <c r="F2486" s="23">
        <f>VLOOKUP(B2486,'BASE DE DATOS'!$A$5:$E$997,5,FALSE)</f>
        <v>248302</v>
      </c>
      <c r="G2486" s="104">
        <f>1/4</f>
        <v>0.25</v>
      </c>
      <c r="H2486" s="252">
        <f t="shared" si="227"/>
        <v>62075.5</v>
      </c>
    </row>
    <row r="2487" spans="1:9" ht="13.5" thickBot="1" x14ac:dyDescent="0.25">
      <c r="A2487" s="94" t="s">
        <v>293</v>
      </c>
      <c r="B2487" s="528" t="s">
        <v>269</v>
      </c>
      <c r="C2487" s="108" t="s">
        <v>284</v>
      </c>
      <c r="D2487" s="109" t="s">
        <v>586</v>
      </c>
      <c r="E2487" s="200">
        <v>0.1</v>
      </c>
      <c r="F2487" s="110">
        <f>H2486</f>
        <v>62075.5</v>
      </c>
      <c r="G2487" s="156">
        <v>0</v>
      </c>
      <c r="H2487" s="479">
        <f t="shared" si="227"/>
        <v>6207.55</v>
      </c>
    </row>
    <row r="2488" spans="1:9" s="42" customFormat="1" ht="30" x14ac:dyDescent="0.2">
      <c r="A2488" s="67" t="s">
        <v>926</v>
      </c>
      <c r="B2488" s="529"/>
      <c r="C2488" s="388" t="s">
        <v>3356</v>
      </c>
      <c r="D2488" s="389" t="s">
        <v>3251</v>
      </c>
      <c r="E2488" s="395"/>
      <c r="F2488" s="391">
        <f>ROUND(SUM(H2488:H2495),0)</f>
        <v>255919</v>
      </c>
      <c r="G2488" s="392"/>
      <c r="H2488" s="393"/>
      <c r="I2488" s="738"/>
    </row>
    <row r="2489" spans="1:9" x14ac:dyDescent="0.2">
      <c r="A2489" s="936" t="s">
        <v>382</v>
      </c>
      <c r="B2489" s="241" t="s">
        <v>1523</v>
      </c>
      <c r="C2489" s="3" t="s">
        <v>643</v>
      </c>
      <c r="D2489" s="2" t="s">
        <v>642</v>
      </c>
      <c r="E2489" s="114">
        <v>7.0000000000000007E-2</v>
      </c>
      <c r="F2489" s="23">
        <f>VLOOKUP(B2489,'BASE DE DATOS'!$A$5:$E$997,5,FALSE)</f>
        <v>108900</v>
      </c>
      <c r="G2489" s="104">
        <v>1.03</v>
      </c>
      <c r="H2489" s="252">
        <f>IF(G2489&gt;0,(G2489*F2489*E2489),(F2489*E2489))</f>
        <v>7851.6900000000005</v>
      </c>
    </row>
    <row r="2490" spans="1:9" x14ac:dyDescent="0.2">
      <c r="A2490" s="936"/>
      <c r="B2490" s="241" t="s">
        <v>1487</v>
      </c>
      <c r="C2490" s="3" t="s">
        <v>2745</v>
      </c>
      <c r="D2490" s="2" t="s">
        <v>97</v>
      </c>
      <c r="E2490" s="114">
        <v>3.36</v>
      </c>
      <c r="F2490" s="23">
        <f>VLOOKUP(B2490,'BASE DE DATOS'!$A$5:$E$997,5,FALSE)</f>
        <v>88.928571428571431</v>
      </c>
      <c r="G2490" s="104">
        <v>1.03</v>
      </c>
      <c r="H2490" s="252">
        <f>IF(G2490&gt;0,(G2490*F2490*E2490),(F2490*E2490))</f>
        <v>307.76400000000001</v>
      </c>
    </row>
    <row r="2491" spans="1:9" ht="14.25" x14ac:dyDescent="0.2">
      <c r="A2491" s="936"/>
      <c r="B2491" s="241" t="s">
        <v>1692</v>
      </c>
      <c r="C2491" s="3" t="s">
        <v>199</v>
      </c>
      <c r="D2491" s="2" t="s">
        <v>288</v>
      </c>
      <c r="E2491" s="114">
        <v>1</v>
      </c>
      <c r="F2491" s="23">
        <f>VLOOKUP(B2491,'BASE DE DATOS'!$A$5:$E$997,5,FALSE)</f>
        <v>55648.333333333336</v>
      </c>
      <c r="G2491" s="104">
        <v>0</v>
      </c>
      <c r="H2491" s="252">
        <f t="shared" si="227"/>
        <v>55648.333333333336</v>
      </c>
    </row>
    <row r="2492" spans="1:9" ht="14.25" x14ac:dyDescent="0.2">
      <c r="A2492" s="936"/>
      <c r="B2492" s="241" t="s">
        <v>1696</v>
      </c>
      <c r="C2492" s="3" t="s">
        <v>2750</v>
      </c>
      <c r="D2492" s="2" t="s">
        <v>288</v>
      </c>
      <c r="E2492" s="114">
        <v>1</v>
      </c>
      <c r="F2492" s="23">
        <f>VLOOKUP(B2492,'BASE DE DATOS'!$A$5:$E$997,5,FALSE)</f>
        <v>101000</v>
      </c>
      <c r="G2492" s="104">
        <v>1.03</v>
      </c>
      <c r="H2492" s="252">
        <f t="shared" si="227"/>
        <v>104030</v>
      </c>
    </row>
    <row r="2493" spans="1:9" ht="14.25" x14ac:dyDescent="0.2">
      <c r="A2493" s="64" t="s">
        <v>3252</v>
      </c>
      <c r="B2493" s="241" t="s">
        <v>811</v>
      </c>
      <c r="C2493" s="3" t="s">
        <v>2098</v>
      </c>
      <c r="D2493" s="2" t="s">
        <v>285</v>
      </c>
      <c r="E2493" s="114">
        <v>0.04</v>
      </c>
      <c r="F2493" s="23">
        <f>F96</f>
        <v>471394</v>
      </c>
      <c r="G2493" s="104">
        <v>1.05</v>
      </c>
      <c r="H2493" s="252">
        <f t="shared" si="227"/>
        <v>19798.548000000003</v>
      </c>
    </row>
    <row r="2494" spans="1:9" x14ac:dyDescent="0.2">
      <c r="A2494" s="81" t="s">
        <v>2555</v>
      </c>
      <c r="B2494" s="241" t="s">
        <v>644</v>
      </c>
      <c r="C2494" s="3" t="s">
        <v>645</v>
      </c>
      <c r="D2494" s="2" t="s">
        <v>585</v>
      </c>
      <c r="E2494" s="114">
        <v>1</v>
      </c>
      <c r="F2494" s="23">
        <f>VLOOKUP(B2494,'BASE DE DATOS'!$A$5:$E$997,5,FALSE)</f>
        <v>248302</v>
      </c>
      <c r="G2494" s="104">
        <f>1/4</f>
        <v>0.25</v>
      </c>
      <c r="H2494" s="252">
        <f t="shared" si="227"/>
        <v>62075.5</v>
      </c>
    </row>
    <row r="2495" spans="1:9" ht="13.5" thickBot="1" x14ac:dyDescent="0.25">
      <c r="A2495" s="94" t="s">
        <v>293</v>
      </c>
      <c r="B2495" s="528" t="s">
        <v>269</v>
      </c>
      <c r="C2495" s="108" t="s">
        <v>284</v>
      </c>
      <c r="D2495" s="109" t="s">
        <v>586</v>
      </c>
      <c r="E2495" s="200">
        <v>0.1</v>
      </c>
      <c r="F2495" s="110">
        <f>H2494</f>
        <v>62075.5</v>
      </c>
      <c r="G2495" s="156">
        <v>0</v>
      </c>
      <c r="H2495" s="479">
        <f t="shared" si="227"/>
        <v>6207.55</v>
      </c>
    </row>
    <row r="2496" spans="1:9" s="42" customFormat="1" ht="30" x14ac:dyDescent="0.2">
      <c r="A2496" s="67" t="s">
        <v>927</v>
      </c>
      <c r="B2496" s="529"/>
      <c r="C2496" s="388" t="s">
        <v>3357</v>
      </c>
      <c r="D2496" s="389" t="s">
        <v>3251</v>
      </c>
      <c r="E2496" s="390"/>
      <c r="F2496" s="391">
        <f>ROUND(SUM(H2496:H2499),0)</f>
        <v>132975</v>
      </c>
      <c r="G2496" s="392"/>
      <c r="H2496" s="393"/>
      <c r="I2496" s="738"/>
    </row>
    <row r="2497" spans="1:9" ht="25.5" x14ac:dyDescent="0.2">
      <c r="A2497" s="82" t="s">
        <v>382</v>
      </c>
      <c r="B2497" s="241" t="s">
        <v>2550</v>
      </c>
      <c r="C2497" s="26" t="s">
        <v>3899</v>
      </c>
      <c r="D2497" s="2" t="s">
        <v>288</v>
      </c>
      <c r="E2497" s="114">
        <v>1</v>
      </c>
      <c r="F2497" s="23">
        <f>VLOOKUP(B2497,'BASE DE DATOS'!$A$5:$E$997,5,FALSE)</f>
        <v>98833.333333333343</v>
      </c>
      <c r="G2497" s="104">
        <v>0</v>
      </c>
      <c r="H2497" s="252">
        <f t="shared" si="227"/>
        <v>98833.333333333343</v>
      </c>
    </row>
    <row r="2498" spans="1:9" x14ac:dyDescent="0.2">
      <c r="A2498" s="81" t="s">
        <v>2555</v>
      </c>
      <c r="B2498" s="241" t="s">
        <v>644</v>
      </c>
      <c r="C2498" s="3" t="s">
        <v>645</v>
      </c>
      <c r="D2498" s="2" t="s">
        <v>585</v>
      </c>
      <c r="E2498" s="114">
        <v>1</v>
      </c>
      <c r="F2498" s="23">
        <f>VLOOKUP(B2498,'BASE DE DATOS'!$A$5:$E$997,5,FALSE)</f>
        <v>248302</v>
      </c>
      <c r="G2498" s="104">
        <f>1/8</f>
        <v>0.125</v>
      </c>
      <c r="H2498" s="252">
        <f t="shared" ref="H2498:H2499" si="228">IF(G2498&gt;0,(G2498*F2498*E2498),(F2498*E2498))</f>
        <v>31037.75</v>
      </c>
    </row>
    <row r="2499" spans="1:9" ht="13.5" thickBot="1" x14ac:dyDescent="0.25">
      <c r="A2499" s="94" t="s">
        <v>293</v>
      </c>
      <c r="B2499" s="528" t="s">
        <v>269</v>
      </c>
      <c r="C2499" s="108" t="s">
        <v>284</v>
      </c>
      <c r="D2499" s="109" t="s">
        <v>586</v>
      </c>
      <c r="E2499" s="200">
        <v>0.1</v>
      </c>
      <c r="F2499" s="110">
        <f>H2498</f>
        <v>31037.75</v>
      </c>
      <c r="G2499" s="156">
        <v>0</v>
      </c>
      <c r="H2499" s="479">
        <f t="shared" si="228"/>
        <v>3103.7750000000001</v>
      </c>
    </row>
    <row r="2500" spans="1:9" s="42" customFormat="1" ht="17.25" x14ac:dyDescent="0.2">
      <c r="A2500" s="67" t="s">
        <v>928</v>
      </c>
      <c r="B2500" s="529"/>
      <c r="C2500" s="388" t="s">
        <v>521</v>
      </c>
      <c r="D2500" s="389" t="s">
        <v>3251</v>
      </c>
      <c r="E2500" s="395"/>
      <c r="F2500" s="391">
        <f>ROUND(SUM(H2500:H2505),0)</f>
        <v>78804</v>
      </c>
      <c r="G2500" s="392"/>
      <c r="H2500" s="393"/>
      <c r="I2500" s="738"/>
    </row>
    <row r="2501" spans="1:9" x14ac:dyDescent="0.2">
      <c r="A2501" s="936" t="s">
        <v>382</v>
      </c>
      <c r="B2501" s="241" t="s">
        <v>1523</v>
      </c>
      <c r="C2501" s="3" t="s">
        <v>643</v>
      </c>
      <c r="D2501" s="2" t="s">
        <v>642</v>
      </c>
      <c r="E2501" s="114">
        <v>0.05</v>
      </c>
      <c r="F2501" s="23">
        <f>VLOOKUP(B2501,'BASE DE DATOS'!$A$5:$E$997,5,FALSE)</f>
        <v>108900</v>
      </c>
      <c r="G2501" s="104">
        <v>1.03</v>
      </c>
      <c r="H2501" s="252">
        <f>IF(G2501&gt;0,(G2501*F2501*E2501),(F2501*E2501))</f>
        <v>5608.35</v>
      </c>
    </row>
    <row r="2502" spans="1:9" x14ac:dyDescent="0.2">
      <c r="A2502" s="936"/>
      <c r="B2502" s="241" t="s">
        <v>1750</v>
      </c>
      <c r="C2502" s="3" t="s">
        <v>197</v>
      </c>
      <c r="D2502" s="2" t="s">
        <v>405</v>
      </c>
      <c r="E2502" s="114">
        <v>0.8</v>
      </c>
      <c r="F2502" s="23">
        <f>VLOOKUP(B2502,'BASE DE DATOS'!$A$5:$E$997,5,FALSE)</f>
        <v>79.666666666666671</v>
      </c>
      <c r="G2502" s="104">
        <v>0</v>
      </c>
      <c r="H2502" s="252">
        <f t="shared" ref="H2502:H2569" si="229">IF(G2502&gt;0,(G2502*F2502*E2502),(F2502*E2502))</f>
        <v>63.733333333333341</v>
      </c>
    </row>
    <row r="2503" spans="1:9" ht="14.25" x14ac:dyDescent="0.2">
      <c r="A2503" s="64" t="s">
        <v>3252</v>
      </c>
      <c r="B2503" s="241" t="s">
        <v>810</v>
      </c>
      <c r="C2503" s="3" t="s">
        <v>2097</v>
      </c>
      <c r="D2503" s="2" t="s">
        <v>285</v>
      </c>
      <c r="E2503" s="114">
        <v>0.05</v>
      </c>
      <c r="F2503" s="23">
        <f>F90</f>
        <v>525897</v>
      </c>
      <c r="G2503" s="104">
        <v>1.05</v>
      </c>
      <c r="H2503" s="252">
        <f t="shared" si="229"/>
        <v>27609.592499999999</v>
      </c>
    </row>
    <row r="2504" spans="1:9" x14ac:dyDescent="0.2">
      <c r="A2504" s="81" t="s">
        <v>2555</v>
      </c>
      <c r="B2504" s="241" t="s">
        <v>644</v>
      </c>
      <c r="C2504" s="3" t="s">
        <v>645</v>
      </c>
      <c r="D2504" s="2" t="s">
        <v>585</v>
      </c>
      <c r="E2504" s="114">
        <v>1</v>
      </c>
      <c r="F2504" s="23">
        <f>VLOOKUP(B2504,'BASE DE DATOS'!$A$5:$E$997,5,FALSE)</f>
        <v>248302</v>
      </c>
      <c r="G2504" s="104">
        <f>1/6</f>
        <v>0.16666666666666666</v>
      </c>
      <c r="H2504" s="252">
        <f t="shared" si="229"/>
        <v>41383.666666666664</v>
      </c>
    </row>
    <row r="2505" spans="1:9" ht="13.5" thickBot="1" x14ac:dyDescent="0.25">
      <c r="A2505" s="94" t="s">
        <v>293</v>
      </c>
      <c r="B2505" s="528" t="s">
        <v>269</v>
      </c>
      <c r="C2505" s="108" t="s">
        <v>284</v>
      </c>
      <c r="D2505" s="109" t="s">
        <v>586</v>
      </c>
      <c r="E2505" s="200">
        <v>0.1</v>
      </c>
      <c r="F2505" s="110">
        <f>H2504</f>
        <v>41383.666666666664</v>
      </c>
      <c r="G2505" s="156">
        <v>0</v>
      </c>
      <c r="H2505" s="479">
        <f t="shared" si="229"/>
        <v>4138.3666666666668</v>
      </c>
    </row>
    <row r="2506" spans="1:9" s="42" customFormat="1" ht="17.25" x14ac:dyDescent="0.2">
      <c r="A2506" s="67" t="s">
        <v>929</v>
      </c>
      <c r="B2506" s="529"/>
      <c r="C2506" s="388" t="s">
        <v>520</v>
      </c>
      <c r="D2506" s="389" t="s">
        <v>3251</v>
      </c>
      <c r="E2506" s="395"/>
      <c r="F2506" s="391">
        <f>ROUND(SUM(H2506:H2507),0)</f>
        <v>41384</v>
      </c>
      <c r="G2506" s="392"/>
      <c r="H2506" s="393"/>
      <c r="I2506" s="738"/>
    </row>
    <row r="2507" spans="1:9" ht="13.5" thickBot="1" x14ac:dyDescent="0.25">
      <c r="A2507" s="122" t="s">
        <v>2555</v>
      </c>
      <c r="B2507" s="543" t="s">
        <v>644</v>
      </c>
      <c r="C2507" s="111" t="s">
        <v>645</v>
      </c>
      <c r="D2507" s="112" t="s">
        <v>585</v>
      </c>
      <c r="E2507" s="201">
        <v>1</v>
      </c>
      <c r="F2507" s="110">
        <f>VLOOKUP(B2507,'BASE DE DATOS'!$A$5:$E$997,5,FALSE)</f>
        <v>248302</v>
      </c>
      <c r="G2507" s="157">
        <f>1/6</f>
        <v>0.16666666666666666</v>
      </c>
      <c r="H2507" s="479">
        <f t="shared" si="229"/>
        <v>41383.666666666664</v>
      </c>
    </row>
    <row r="2508" spans="1:9" s="42" customFormat="1" ht="30" x14ac:dyDescent="0.2">
      <c r="A2508" s="67" t="s">
        <v>930</v>
      </c>
      <c r="B2508" s="529"/>
      <c r="C2508" s="388" t="s">
        <v>3754</v>
      </c>
      <c r="D2508" s="389" t="s">
        <v>3251</v>
      </c>
      <c r="E2508" s="390"/>
      <c r="F2508" s="391">
        <f>ROUND(SUM(H2508:H2513),0)</f>
        <v>471960</v>
      </c>
      <c r="G2508" s="392"/>
      <c r="H2508" s="393"/>
      <c r="I2508" s="738"/>
    </row>
    <row r="2509" spans="1:9" ht="14.25" x14ac:dyDescent="0.2">
      <c r="A2509" s="936" t="s">
        <v>382</v>
      </c>
      <c r="B2509" s="244" t="s">
        <v>1817</v>
      </c>
      <c r="C2509" s="20" t="s">
        <v>1923</v>
      </c>
      <c r="D2509" s="19" t="s">
        <v>288</v>
      </c>
      <c r="E2509" s="194">
        <v>1</v>
      </c>
      <c r="F2509" s="23">
        <f>VLOOKUP(B2509,'BASE DE DATOS'!$A$5:$E$997,5,FALSE)</f>
        <v>365300</v>
      </c>
      <c r="G2509" s="58">
        <v>0</v>
      </c>
      <c r="H2509" s="252">
        <f t="shared" si="229"/>
        <v>365300</v>
      </c>
    </row>
    <row r="2510" spans="1:9" x14ac:dyDescent="0.2">
      <c r="A2510" s="936"/>
      <c r="B2510" s="244" t="s">
        <v>1523</v>
      </c>
      <c r="C2510" s="20" t="s">
        <v>643</v>
      </c>
      <c r="D2510" s="19" t="s">
        <v>642</v>
      </c>
      <c r="E2510" s="194">
        <v>0.25</v>
      </c>
      <c r="F2510" s="23">
        <f>VLOOKUP(B2510,'BASE DE DATOS'!$A$5:$E$997,5,FALSE)</f>
        <v>108900</v>
      </c>
      <c r="G2510" s="58">
        <v>1.03</v>
      </c>
      <c r="H2510" s="252">
        <f t="shared" si="229"/>
        <v>28041.75</v>
      </c>
    </row>
    <row r="2511" spans="1:9" x14ac:dyDescent="0.2">
      <c r="A2511" s="64" t="s">
        <v>3252</v>
      </c>
      <c r="B2511" s="244" t="s">
        <v>3530</v>
      </c>
      <c r="C2511" s="20" t="s">
        <v>118</v>
      </c>
      <c r="D2511" s="19" t="s">
        <v>411</v>
      </c>
      <c r="E2511" s="194">
        <v>2</v>
      </c>
      <c r="F2511" s="667">
        <f>CONSTRUCCION!F1152</f>
        <v>16548</v>
      </c>
      <c r="G2511" s="58">
        <v>0</v>
      </c>
      <c r="H2511" s="252">
        <f t="shared" si="229"/>
        <v>33096</v>
      </c>
    </row>
    <row r="2512" spans="1:9" x14ac:dyDescent="0.2">
      <c r="A2512" s="81" t="s">
        <v>2555</v>
      </c>
      <c r="B2512" s="241" t="s">
        <v>644</v>
      </c>
      <c r="C2512" s="3" t="s">
        <v>645</v>
      </c>
      <c r="D2512" s="2" t="s">
        <v>585</v>
      </c>
      <c r="E2512" s="114">
        <v>1</v>
      </c>
      <c r="F2512" s="23">
        <f>VLOOKUP(B2512,'BASE DE DATOS'!$A$5:$E$997,5,FALSE)</f>
        <v>248302</v>
      </c>
      <c r="G2512" s="104">
        <f>1/6</f>
        <v>0.16666666666666666</v>
      </c>
      <c r="H2512" s="252">
        <f t="shared" si="229"/>
        <v>41383.666666666664</v>
      </c>
    </row>
    <row r="2513" spans="1:9" ht="13.5" thickBot="1" x14ac:dyDescent="0.25">
      <c r="A2513" s="94" t="s">
        <v>293</v>
      </c>
      <c r="B2513" s="528" t="s">
        <v>269</v>
      </c>
      <c r="C2513" s="108" t="s">
        <v>284</v>
      </c>
      <c r="D2513" s="109" t="s">
        <v>586</v>
      </c>
      <c r="E2513" s="200">
        <v>0.1</v>
      </c>
      <c r="F2513" s="110">
        <f>H2512</f>
        <v>41383.666666666664</v>
      </c>
      <c r="G2513" s="156">
        <v>0</v>
      </c>
      <c r="H2513" s="479">
        <f t="shared" si="229"/>
        <v>4138.3666666666668</v>
      </c>
    </row>
    <row r="2514" spans="1:9" s="42" customFormat="1" ht="45" x14ac:dyDescent="0.2">
      <c r="A2514" s="67" t="s">
        <v>931</v>
      </c>
      <c r="B2514" s="569"/>
      <c r="C2514" s="445" t="s">
        <v>3516</v>
      </c>
      <c r="D2514" s="369" t="s">
        <v>406</v>
      </c>
      <c r="E2514" s="446"/>
      <c r="F2514" s="401">
        <f>ROUND(SUM(H2514:H2524),0)</f>
        <v>11269</v>
      </c>
      <c r="G2514" s="443"/>
      <c r="H2514" s="454"/>
      <c r="I2514" s="738"/>
    </row>
    <row r="2515" spans="1:9" ht="51" x14ac:dyDescent="0.2">
      <c r="A2515" s="939" t="s">
        <v>295</v>
      </c>
      <c r="B2515" s="244" t="s">
        <v>1881</v>
      </c>
      <c r="C2515" s="20" t="s">
        <v>3359</v>
      </c>
      <c r="D2515" s="19" t="s">
        <v>406</v>
      </c>
      <c r="E2515" s="198">
        <v>1</v>
      </c>
      <c r="F2515" s="23">
        <f>VLOOKUP(B2515,'BASE DE DATOS'!$A$5:$E$997,5,FALSE)</f>
        <v>2414</v>
      </c>
      <c r="G2515" s="58">
        <v>1</v>
      </c>
      <c r="H2515" s="252">
        <f t="shared" si="229"/>
        <v>2414</v>
      </c>
    </row>
    <row r="2516" spans="1:9" x14ac:dyDescent="0.2">
      <c r="A2516" s="939"/>
      <c r="B2516" s="244" t="s">
        <v>1289</v>
      </c>
      <c r="C2516" s="20" t="s">
        <v>3938</v>
      </c>
      <c r="D2516" s="19" t="s">
        <v>642</v>
      </c>
      <c r="E2516" s="198">
        <f>1/90</f>
        <v>1.1111111111111112E-2</v>
      </c>
      <c r="F2516" s="23">
        <f>VLOOKUP(B2516,'BASE DE DATOS'!$A$5:$E$997,5,FALSE)</f>
        <v>69900</v>
      </c>
      <c r="G2516" s="58">
        <v>1.03</v>
      </c>
      <c r="H2516" s="252">
        <f t="shared" si="229"/>
        <v>799.9666666666667</v>
      </c>
    </row>
    <row r="2517" spans="1:9" x14ac:dyDescent="0.2">
      <c r="A2517" s="939"/>
      <c r="B2517" s="244" t="s">
        <v>1523</v>
      </c>
      <c r="C2517" s="20" t="s">
        <v>643</v>
      </c>
      <c r="D2517" s="19" t="s">
        <v>642</v>
      </c>
      <c r="E2517" s="198">
        <f>1/90</f>
        <v>1.1111111111111112E-2</v>
      </c>
      <c r="F2517" s="23">
        <f>VLOOKUP(B2517,'BASE DE DATOS'!$A$5:$E$997,5,FALSE)</f>
        <v>108900</v>
      </c>
      <c r="G2517" s="58">
        <v>1.03</v>
      </c>
      <c r="H2517" s="252">
        <f t="shared" si="229"/>
        <v>1246.3</v>
      </c>
    </row>
    <row r="2518" spans="1:9" x14ac:dyDescent="0.2">
      <c r="A2518" s="211" t="s">
        <v>2555</v>
      </c>
      <c r="B2518" s="244" t="s">
        <v>644</v>
      </c>
      <c r="C2518" s="3" t="s">
        <v>645</v>
      </c>
      <c r="D2518" s="19" t="s">
        <v>585</v>
      </c>
      <c r="E2518" s="198">
        <v>1</v>
      </c>
      <c r="F2518" s="23">
        <f>VLOOKUP(B2518,'BASE DE DATOS'!$A$5:$E$997,5,FALSE)</f>
        <v>248302</v>
      </c>
      <c r="G2518" s="58">
        <f>1/45</f>
        <v>2.2222222222222223E-2</v>
      </c>
      <c r="H2518" s="252">
        <f t="shared" si="229"/>
        <v>5517.8222222222221</v>
      </c>
    </row>
    <row r="2519" spans="1:9" ht="38.25" x14ac:dyDescent="0.2">
      <c r="A2519" s="954" t="s">
        <v>293</v>
      </c>
      <c r="B2519" s="241" t="s">
        <v>378</v>
      </c>
      <c r="C2519" s="3" t="s">
        <v>2669</v>
      </c>
      <c r="D2519" s="2" t="s">
        <v>585</v>
      </c>
      <c r="E2519" s="196">
        <v>1</v>
      </c>
      <c r="F2519" s="23">
        <f>VLOOKUP(B2519,'BASE DE DATOS'!$A$5:$E$997,5,FALSE)</f>
        <v>315206</v>
      </c>
      <c r="G2519" s="104">
        <v>5.3399999999999997E-4</v>
      </c>
      <c r="H2519" s="252">
        <f>IF(G2519&gt;0,(G2519*F2519*E2519),(F2519*E2519))</f>
        <v>168.32000399999998</v>
      </c>
    </row>
    <row r="2520" spans="1:9" x14ac:dyDescent="0.2">
      <c r="A2520" s="954"/>
      <c r="B2520" s="241" t="s">
        <v>598</v>
      </c>
      <c r="C2520" s="495" t="s">
        <v>3360</v>
      </c>
      <c r="D2520" s="219" t="s">
        <v>586</v>
      </c>
      <c r="E2520" s="196">
        <v>8.5000000000000006E-2</v>
      </c>
      <c r="F2520" s="220">
        <f>H2518</f>
        <v>5517.8222222222221</v>
      </c>
      <c r="G2520" s="187">
        <v>0</v>
      </c>
      <c r="H2520" s="252">
        <f>IF(G2520&gt;0,(G2520*F2520*E2520),(F2520*E2520))</f>
        <v>469.01488888888889</v>
      </c>
    </row>
    <row r="2521" spans="1:9" x14ac:dyDescent="0.2">
      <c r="A2521" s="954"/>
      <c r="B2521" s="244" t="s">
        <v>258</v>
      </c>
      <c r="C2521" s="217" t="s">
        <v>2756</v>
      </c>
      <c r="D2521" s="215" t="s">
        <v>585</v>
      </c>
      <c r="E2521" s="198">
        <v>1</v>
      </c>
      <c r="F2521" s="23">
        <f>VLOOKUP(B2521,'BASE DE DATOS'!$A$5:$E$997,5,FALSE)</f>
        <v>73880.688000000009</v>
      </c>
      <c r="G2521" s="216">
        <v>1.4550000000000001E-4</v>
      </c>
      <c r="H2521" s="252">
        <f t="shared" si="229"/>
        <v>10.749640104000003</v>
      </c>
    </row>
    <row r="2522" spans="1:9" x14ac:dyDescent="0.2">
      <c r="A2522" s="954"/>
      <c r="B2522" s="244" t="s">
        <v>350</v>
      </c>
      <c r="C2522" s="214" t="s">
        <v>2668</v>
      </c>
      <c r="D2522" s="215" t="s">
        <v>614</v>
      </c>
      <c r="E2522" s="198">
        <v>5.8000000000000003E-2</v>
      </c>
      <c r="F2522" s="23">
        <f>VLOOKUP(B2522,'BASE DE DATOS'!$A$5:$E$997,5,FALSE)</f>
        <v>8714</v>
      </c>
      <c r="G2522" s="216">
        <v>0</v>
      </c>
      <c r="H2522" s="252">
        <f t="shared" si="229"/>
        <v>505.41200000000003</v>
      </c>
    </row>
    <row r="2523" spans="1:9" ht="25.5" x14ac:dyDescent="0.2">
      <c r="A2523" s="954"/>
      <c r="B2523" s="244" t="s">
        <v>379</v>
      </c>
      <c r="C2523" s="217" t="s">
        <v>2670</v>
      </c>
      <c r="D2523" s="215" t="s">
        <v>614</v>
      </c>
      <c r="E2523" s="198">
        <v>5.3330000000000001E-4</v>
      </c>
      <c r="F2523" s="23">
        <f>VLOOKUP(B2523,'BASE DE DATOS'!$A$5:$E$997,5,FALSE)</f>
        <v>134053</v>
      </c>
      <c r="G2523" s="216">
        <v>0</v>
      </c>
      <c r="H2523" s="252">
        <f t="shared" si="229"/>
        <v>71.490464900000006</v>
      </c>
    </row>
    <row r="2524" spans="1:9" ht="13.5" thickBot="1" x14ac:dyDescent="0.25">
      <c r="A2524" s="955"/>
      <c r="B2524" s="530" t="s">
        <v>269</v>
      </c>
      <c r="C2524" s="221" t="s">
        <v>284</v>
      </c>
      <c r="D2524" s="109" t="s">
        <v>586</v>
      </c>
      <c r="E2524" s="203">
        <v>1.2E-2</v>
      </c>
      <c r="F2524" s="110">
        <f>H2518</f>
        <v>5517.8222222222221</v>
      </c>
      <c r="G2524" s="156">
        <v>0</v>
      </c>
      <c r="H2524" s="479">
        <f t="shared" si="229"/>
        <v>66.213866666666661</v>
      </c>
    </row>
    <row r="2525" spans="1:9" s="42" customFormat="1" ht="30" x14ac:dyDescent="0.2">
      <c r="A2525" s="67" t="s">
        <v>932</v>
      </c>
      <c r="B2525" s="529"/>
      <c r="C2525" s="388" t="s">
        <v>522</v>
      </c>
      <c r="D2525" s="389" t="s">
        <v>3251</v>
      </c>
      <c r="E2525" s="395"/>
      <c r="F2525" s="391">
        <f>ROUND(SUM(H2525:H2534),0)</f>
        <v>255935</v>
      </c>
      <c r="G2525" s="392"/>
      <c r="H2525" s="393"/>
      <c r="I2525" s="738"/>
    </row>
    <row r="2526" spans="1:9" x14ac:dyDescent="0.2">
      <c r="A2526" s="936" t="s">
        <v>382</v>
      </c>
      <c r="B2526" s="241" t="s">
        <v>1289</v>
      </c>
      <c r="C2526" s="3" t="s">
        <v>3938</v>
      </c>
      <c r="D2526" s="2" t="s">
        <v>642</v>
      </c>
      <c r="E2526" s="114">
        <v>0.1</v>
      </c>
      <c r="F2526" s="23">
        <f>VLOOKUP(B2526,'BASE DE DATOS'!$A$5:$E$997,5,FALSE)</f>
        <v>69900</v>
      </c>
      <c r="G2526" s="104">
        <v>1.03</v>
      </c>
      <c r="H2526" s="252">
        <f>IF(G2526&gt;0,(G2526*F2526*E2526),(F2526*E2526))</f>
        <v>7199.7000000000007</v>
      </c>
    </row>
    <row r="2527" spans="1:9" x14ac:dyDescent="0.2">
      <c r="A2527" s="936"/>
      <c r="B2527" s="241" t="s">
        <v>1523</v>
      </c>
      <c r="C2527" s="3" t="s">
        <v>643</v>
      </c>
      <c r="D2527" s="2" t="s">
        <v>642</v>
      </c>
      <c r="E2527" s="114">
        <v>0.1</v>
      </c>
      <c r="F2527" s="23">
        <f>VLOOKUP(B2527,'BASE DE DATOS'!$A$5:$E$997,5,FALSE)</f>
        <v>108900</v>
      </c>
      <c r="G2527" s="104">
        <v>1.03</v>
      </c>
      <c r="H2527" s="252">
        <f>IF(G2527&gt;0,(G2527*F2527*E2527),(F2527*E2527))</f>
        <v>11216.7</v>
      </c>
    </row>
    <row r="2528" spans="1:9" x14ac:dyDescent="0.2">
      <c r="A2528" s="936"/>
      <c r="B2528" s="241" t="s">
        <v>1788</v>
      </c>
      <c r="C2528" s="3" t="s">
        <v>174</v>
      </c>
      <c r="D2528" s="2" t="s">
        <v>406</v>
      </c>
      <c r="E2528" s="114">
        <v>1</v>
      </c>
      <c r="F2528" s="23">
        <f>VLOOKUP(B2528,'BASE DE DATOS'!$A$5:$E$997,5,FALSE)</f>
        <v>15580</v>
      </c>
      <c r="G2528" s="104">
        <v>0</v>
      </c>
      <c r="H2528" s="252">
        <f t="shared" si="229"/>
        <v>15580</v>
      </c>
    </row>
    <row r="2529" spans="1:9" x14ac:dyDescent="0.2">
      <c r="A2529" s="936"/>
      <c r="B2529" s="241" t="s">
        <v>1688</v>
      </c>
      <c r="C2529" s="44" t="s">
        <v>85</v>
      </c>
      <c r="D2529" s="2" t="s">
        <v>405</v>
      </c>
      <c r="E2529" s="114">
        <v>12.6</v>
      </c>
      <c r="F2529" s="23">
        <f>VLOOKUP(B2529,'BASE DE DATOS'!$A$5:$E$997,5,FALSE)</f>
        <v>6984</v>
      </c>
      <c r="G2529" s="104">
        <v>1.03</v>
      </c>
      <c r="H2529" s="252">
        <f>IF(G2529&gt;0,(G2529*F2529*E2529),(F2529*E2529))</f>
        <v>90638.351999999999</v>
      </c>
    </row>
    <row r="2530" spans="1:9" ht="14.25" x14ac:dyDescent="0.2">
      <c r="A2530" s="64" t="s">
        <v>3252</v>
      </c>
      <c r="B2530" s="241" t="s">
        <v>810</v>
      </c>
      <c r="C2530" s="3" t="s">
        <v>2097</v>
      </c>
      <c r="D2530" s="2" t="s">
        <v>285</v>
      </c>
      <c r="E2530" s="114">
        <v>0.02</v>
      </c>
      <c r="F2530" s="23">
        <f>F90</f>
        <v>525897</v>
      </c>
      <c r="G2530" s="104">
        <v>1.05</v>
      </c>
      <c r="H2530" s="252">
        <f t="shared" si="229"/>
        <v>11043.837</v>
      </c>
    </row>
    <row r="2531" spans="1:9" s="33" customFormat="1" x14ac:dyDescent="0.2">
      <c r="A2531" s="979" t="s">
        <v>2555</v>
      </c>
      <c r="B2531" s="241" t="s">
        <v>644</v>
      </c>
      <c r="C2531" s="3" t="s">
        <v>645</v>
      </c>
      <c r="D2531" s="2" t="s">
        <v>585</v>
      </c>
      <c r="E2531" s="114">
        <v>1</v>
      </c>
      <c r="F2531" s="23">
        <f>VLOOKUP(B2531,'BASE DE DATOS'!$A$5:$E$997,5,FALSE)</f>
        <v>248302</v>
      </c>
      <c r="G2531" s="104">
        <f>1/3</f>
        <v>0.33333333333333331</v>
      </c>
      <c r="H2531" s="252">
        <f t="shared" si="229"/>
        <v>82767.333333333328</v>
      </c>
    </row>
    <row r="2532" spans="1:9" x14ac:dyDescent="0.2">
      <c r="A2532" s="979"/>
      <c r="B2532" s="241" t="s">
        <v>81</v>
      </c>
      <c r="C2532" s="44" t="s">
        <v>2060</v>
      </c>
      <c r="D2532" s="2" t="s">
        <v>585</v>
      </c>
      <c r="E2532" s="114">
        <v>1</v>
      </c>
      <c r="F2532" s="23">
        <f>VLOOKUP(B2532,'BASE DE DATOS'!$A$5:$E$997,5,FALSE)</f>
        <v>283774</v>
      </c>
      <c r="G2532" s="104">
        <f>1/12</f>
        <v>8.3333333333333329E-2</v>
      </c>
      <c r="H2532" s="252">
        <f t="shared" si="229"/>
        <v>23647.833333333332</v>
      </c>
    </row>
    <row r="2533" spans="1:9" x14ac:dyDescent="0.2">
      <c r="A2533" s="937" t="s">
        <v>293</v>
      </c>
      <c r="B2533" s="241" t="s">
        <v>254</v>
      </c>
      <c r="C2533" s="599" t="s">
        <v>341</v>
      </c>
      <c r="D2533" s="288" t="s">
        <v>585</v>
      </c>
      <c r="E2533" s="114">
        <v>1</v>
      </c>
      <c r="F2533" s="220">
        <f>VLOOKUP(B2533,'BASE DE DATOS'!$A$5:$E$997,5,FALSE)</f>
        <v>48000</v>
      </c>
      <c r="G2533" s="187">
        <f>1/15</f>
        <v>6.6666666666666666E-2</v>
      </c>
      <c r="H2533" s="252">
        <f>IF(G2533&gt;0,(G2533*F2533*E2533),(F2533*E2533))</f>
        <v>3200</v>
      </c>
    </row>
    <row r="2534" spans="1:9" ht="13.5" thickBot="1" x14ac:dyDescent="0.25">
      <c r="A2534" s="938"/>
      <c r="B2534" s="528" t="s">
        <v>269</v>
      </c>
      <c r="C2534" s="88" t="s">
        <v>284</v>
      </c>
      <c r="D2534" s="89" t="s">
        <v>586</v>
      </c>
      <c r="E2534" s="193">
        <v>0.1</v>
      </c>
      <c r="F2534" s="90">
        <f>H2531+H2532</f>
        <v>106415.16666666666</v>
      </c>
      <c r="G2534" s="153">
        <v>0</v>
      </c>
      <c r="H2534" s="255">
        <f t="shared" si="229"/>
        <v>10641.516666666666</v>
      </c>
    </row>
    <row r="2535" spans="1:9" s="42" customFormat="1" ht="30" x14ac:dyDescent="0.2">
      <c r="A2535" s="67" t="s">
        <v>933</v>
      </c>
      <c r="B2535" s="529"/>
      <c r="C2535" s="388" t="s">
        <v>3903</v>
      </c>
      <c r="D2535" s="389" t="s">
        <v>3251</v>
      </c>
      <c r="E2535" s="395"/>
      <c r="F2535" s="391">
        <f>ROUND(SUM(H2535:H2544),0)</f>
        <v>198365</v>
      </c>
      <c r="G2535" s="392"/>
      <c r="H2535" s="393"/>
      <c r="I2535" s="738"/>
    </row>
    <row r="2536" spans="1:9" ht="14.25" x14ac:dyDescent="0.2">
      <c r="A2536" s="936" t="s">
        <v>382</v>
      </c>
      <c r="B2536" s="241" t="s">
        <v>1263</v>
      </c>
      <c r="C2536" s="3" t="s">
        <v>3811</v>
      </c>
      <c r="D2536" s="2" t="s">
        <v>406</v>
      </c>
      <c r="E2536" s="114">
        <v>16</v>
      </c>
      <c r="F2536" s="23">
        <f>VLOOKUP(B2536,'BASE DE DATOS'!$A$5:$E$997,5,FALSE)</f>
        <v>4545</v>
      </c>
      <c r="G2536" s="104">
        <v>1.05</v>
      </c>
      <c r="H2536" s="252">
        <f t="shared" si="229"/>
        <v>76356</v>
      </c>
    </row>
    <row r="2537" spans="1:9" s="33" customFormat="1" x14ac:dyDescent="0.2">
      <c r="A2537" s="936"/>
      <c r="B2537" s="241" t="s">
        <v>1289</v>
      </c>
      <c r="C2537" s="3" t="s">
        <v>3938</v>
      </c>
      <c r="D2537" s="2" t="s">
        <v>642</v>
      </c>
      <c r="E2537" s="114">
        <v>0.05</v>
      </c>
      <c r="F2537" s="23">
        <f>VLOOKUP(B2537,'BASE DE DATOS'!$A$5:$E$997,5,FALSE)</f>
        <v>69900</v>
      </c>
      <c r="G2537" s="104">
        <v>1.05</v>
      </c>
      <c r="H2537" s="252">
        <f>IF(G2537&gt;0,(G2537*F2537*E2537),(F2537*E2537))</f>
        <v>3669.75</v>
      </c>
    </row>
    <row r="2538" spans="1:9" x14ac:dyDescent="0.2">
      <c r="A2538" s="936"/>
      <c r="B2538" s="241" t="s">
        <v>1523</v>
      </c>
      <c r="C2538" s="3" t="s">
        <v>643</v>
      </c>
      <c r="D2538" s="2" t="s">
        <v>642</v>
      </c>
      <c r="E2538" s="114">
        <v>0.05</v>
      </c>
      <c r="F2538" s="23">
        <f>VLOOKUP(B2538,'BASE DE DATOS'!$A$5:$E$997,5,FALSE)</f>
        <v>108900</v>
      </c>
      <c r="G2538" s="104">
        <v>1.05</v>
      </c>
      <c r="H2538" s="252">
        <f>IF(G2538&gt;0,(G2538*F2538*E2538),(F2538*E2538))</f>
        <v>5717.25</v>
      </c>
    </row>
    <row r="2539" spans="1:9" x14ac:dyDescent="0.2">
      <c r="A2539" s="936"/>
      <c r="B2539" s="241" t="s">
        <v>1788</v>
      </c>
      <c r="C2539" s="3" t="s">
        <v>174</v>
      </c>
      <c r="D2539" s="2" t="s">
        <v>406</v>
      </c>
      <c r="E2539" s="114">
        <v>1</v>
      </c>
      <c r="F2539" s="23">
        <f>VLOOKUP(B2539,'BASE DE DATOS'!$A$5:$E$997,5,FALSE)</f>
        <v>15580</v>
      </c>
      <c r="G2539" s="104">
        <v>1.03</v>
      </c>
      <c r="H2539" s="252">
        <f t="shared" si="229"/>
        <v>16047.4</v>
      </c>
    </row>
    <row r="2540" spans="1:9" ht="14.25" x14ac:dyDescent="0.2">
      <c r="A2540" s="64" t="s">
        <v>3252</v>
      </c>
      <c r="B2540" s="241" t="s">
        <v>810</v>
      </c>
      <c r="C2540" s="3" t="s">
        <v>2097</v>
      </c>
      <c r="D2540" s="2" t="s">
        <v>285</v>
      </c>
      <c r="E2540" s="114">
        <v>1.4999999999999999E-2</v>
      </c>
      <c r="F2540" s="23">
        <f>F90</f>
        <v>525897</v>
      </c>
      <c r="G2540" s="104">
        <v>1.05</v>
      </c>
      <c r="H2540" s="252">
        <f t="shared" si="229"/>
        <v>8282.8777499999997</v>
      </c>
    </row>
    <row r="2541" spans="1:9" x14ac:dyDescent="0.2">
      <c r="A2541" s="979" t="s">
        <v>2555</v>
      </c>
      <c r="B2541" s="241" t="s">
        <v>644</v>
      </c>
      <c r="C2541" s="3" t="s">
        <v>645</v>
      </c>
      <c r="D2541" s="2" t="s">
        <v>585</v>
      </c>
      <c r="E2541" s="114">
        <v>1</v>
      </c>
      <c r="F2541" s="23">
        <f>VLOOKUP(B2541,'BASE DE DATOS'!$A$5:$E$997,5,FALSE)</f>
        <v>248302</v>
      </c>
      <c r="G2541" s="104">
        <f>1/4</f>
        <v>0.25</v>
      </c>
      <c r="H2541" s="252">
        <f t="shared" si="229"/>
        <v>62075.5</v>
      </c>
    </row>
    <row r="2542" spans="1:9" x14ac:dyDescent="0.2">
      <c r="A2542" s="979"/>
      <c r="B2542" s="241" t="s">
        <v>81</v>
      </c>
      <c r="C2542" s="44" t="s">
        <v>80</v>
      </c>
      <c r="D2542" s="2" t="s">
        <v>585</v>
      </c>
      <c r="E2542" s="114">
        <v>1</v>
      </c>
      <c r="F2542" s="23">
        <f>VLOOKUP(B2542,'BASE DE DATOS'!$A$5:$E$997,5,FALSE)</f>
        <v>283774</v>
      </c>
      <c r="G2542" s="104">
        <f>1/18</f>
        <v>5.5555555555555552E-2</v>
      </c>
      <c r="H2542" s="252">
        <f t="shared" si="229"/>
        <v>15765.222222222221</v>
      </c>
    </row>
    <row r="2543" spans="1:9" x14ac:dyDescent="0.2">
      <c r="A2543" s="937" t="s">
        <v>293</v>
      </c>
      <c r="B2543" s="241" t="s">
        <v>269</v>
      </c>
      <c r="C2543" s="3" t="s">
        <v>284</v>
      </c>
      <c r="D2543" s="2" t="s">
        <v>586</v>
      </c>
      <c r="E2543" s="114">
        <v>0.1</v>
      </c>
      <c r="F2543" s="23">
        <f>H2541+H2542</f>
        <v>77840.722222222219</v>
      </c>
      <c r="G2543" s="104">
        <v>0</v>
      </c>
      <c r="H2543" s="252">
        <f t="shared" si="229"/>
        <v>7784.0722222222221</v>
      </c>
    </row>
    <row r="2544" spans="1:9" ht="13.5" thickBot="1" x14ac:dyDescent="0.25">
      <c r="A2544" s="938"/>
      <c r="B2544" s="528" t="s">
        <v>254</v>
      </c>
      <c r="C2544" s="143" t="s">
        <v>341</v>
      </c>
      <c r="D2544" s="144" t="s">
        <v>585</v>
      </c>
      <c r="E2544" s="200">
        <v>1</v>
      </c>
      <c r="F2544" s="110">
        <f>VLOOKUP(B2544,'BASE DE DATOS'!$A$5:$E$997,5,FALSE)</f>
        <v>48000</v>
      </c>
      <c r="G2544" s="156">
        <f>1/18</f>
        <v>5.5555555555555552E-2</v>
      </c>
      <c r="H2544" s="479">
        <f t="shared" si="229"/>
        <v>2666.6666666666665</v>
      </c>
    </row>
    <row r="2545" spans="1:9" s="42" customFormat="1" ht="30" x14ac:dyDescent="0.2">
      <c r="A2545" s="67" t="s">
        <v>934</v>
      </c>
      <c r="B2545" s="529"/>
      <c r="C2545" s="388" t="s">
        <v>87</v>
      </c>
      <c r="D2545" s="389" t="s">
        <v>405</v>
      </c>
      <c r="E2545" s="395"/>
      <c r="F2545" s="391">
        <f>ROUND(SUM(H2545:H2555),0)</f>
        <v>186578</v>
      </c>
      <c r="G2545" s="392"/>
      <c r="H2545" s="393"/>
      <c r="I2545" s="738"/>
    </row>
    <row r="2546" spans="1:9" ht="13.15" customHeight="1" x14ac:dyDescent="0.2">
      <c r="A2546" s="1027" t="s">
        <v>295</v>
      </c>
      <c r="B2546" s="241" t="s">
        <v>1286</v>
      </c>
      <c r="C2546" s="3" t="s">
        <v>664</v>
      </c>
      <c r="D2546" s="2" t="s">
        <v>405</v>
      </c>
      <c r="E2546" s="114">
        <v>2.6</v>
      </c>
      <c r="F2546" s="23">
        <f>VLOOKUP(B2546,'BASE DE DATOS'!$A$5:$E$997,5,FALSE)</f>
        <v>6817</v>
      </c>
      <c r="G2546" s="104">
        <v>1.05</v>
      </c>
      <c r="H2546" s="252">
        <f t="shared" si="229"/>
        <v>18610.41</v>
      </c>
    </row>
    <row r="2547" spans="1:9" x14ac:dyDescent="0.2">
      <c r="A2547" s="1027"/>
      <c r="B2547" s="241" t="s">
        <v>1285</v>
      </c>
      <c r="C2547" s="3" t="s">
        <v>178</v>
      </c>
      <c r="D2547" s="2" t="s">
        <v>405</v>
      </c>
      <c r="E2547" s="114">
        <v>2.6</v>
      </c>
      <c r="F2547" s="23">
        <f>VLOOKUP(B2547,'BASE DE DATOS'!$A$5:$E$997,5,FALSE)</f>
        <v>9383</v>
      </c>
      <c r="G2547" s="104">
        <v>1.05</v>
      </c>
      <c r="H2547" s="252">
        <f t="shared" si="229"/>
        <v>25615.59</v>
      </c>
    </row>
    <row r="2548" spans="1:9" x14ac:dyDescent="0.2">
      <c r="A2548" s="1027"/>
      <c r="B2548" s="241" t="s">
        <v>1289</v>
      </c>
      <c r="C2548" s="3" t="s">
        <v>3938</v>
      </c>
      <c r="D2548" s="2" t="s">
        <v>642</v>
      </c>
      <c r="E2548" s="114">
        <v>0.04</v>
      </c>
      <c r="F2548" s="23">
        <f>VLOOKUP(B2548,'BASE DE DATOS'!$A$5:$E$997,5,FALSE)</f>
        <v>69900</v>
      </c>
      <c r="G2548" s="104">
        <v>1.03</v>
      </c>
      <c r="H2548" s="252">
        <f>IF(G2548&gt;0,(G2548*F2548*E2548),(F2548*E2548))</f>
        <v>2879.88</v>
      </c>
    </row>
    <row r="2549" spans="1:9" x14ac:dyDescent="0.2">
      <c r="A2549" s="1027"/>
      <c r="B2549" s="241" t="s">
        <v>1773</v>
      </c>
      <c r="C2549" s="3" t="s">
        <v>2805</v>
      </c>
      <c r="D2549" s="2" t="s">
        <v>411</v>
      </c>
      <c r="E2549" s="114">
        <v>1.5</v>
      </c>
      <c r="F2549" s="23">
        <f>VLOOKUP(B2549,'BASE DE DATOS'!$A$5:$E$997,5,FALSE)</f>
        <v>19900</v>
      </c>
      <c r="G2549" s="104">
        <v>0</v>
      </c>
      <c r="H2549" s="252">
        <f>IF(G2549&gt;0,(G2549*F2549*E2549),(F2549*E2549))</f>
        <v>29850</v>
      </c>
    </row>
    <row r="2550" spans="1:9" x14ac:dyDescent="0.2">
      <c r="A2550" s="1027"/>
      <c r="B2550" s="241" t="s">
        <v>1523</v>
      </c>
      <c r="C2550" s="3" t="s">
        <v>643</v>
      </c>
      <c r="D2550" s="2" t="s">
        <v>642</v>
      </c>
      <c r="E2550" s="114">
        <v>0.04</v>
      </c>
      <c r="F2550" s="23">
        <f>VLOOKUP(B2550,'BASE DE DATOS'!$A$5:$E$997,5,FALSE)</f>
        <v>108900</v>
      </c>
      <c r="G2550" s="104">
        <v>1.03</v>
      </c>
      <c r="H2550" s="252">
        <f>IF(G2550&gt;0,(G2550*F2550*E2550),(F2550*E2550))</f>
        <v>4486.68</v>
      </c>
    </row>
    <row r="2551" spans="1:9" x14ac:dyDescent="0.2">
      <c r="A2551" s="1027"/>
      <c r="B2551" s="241" t="s">
        <v>1788</v>
      </c>
      <c r="C2551" s="3" t="s">
        <v>174</v>
      </c>
      <c r="D2551" s="2" t="s">
        <v>406</v>
      </c>
      <c r="E2551" s="114">
        <v>0.5</v>
      </c>
      <c r="F2551" s="23">
        <f>VLOOKUP(B2551,'BASE DE DATOS'!$A$5:$E$997,5,FALSE)</f>
        <v>15580</v>
      </c>
      <c r="G2551" s="104">
        <v>0</v>
      </c>
      <c r="H2551" s="252">
        <f t="shared" si="229"/>
        <v>7790</v>
      </c>
    </row>
    <row r="2552" spans="1:9" x14ac:dyDescent="0.2">
      <c r="A2552" s="979" t="s">
        <v>2555</v>
      </c>
      <c r="B2552" s="241" t="s">
        <v>607</v>
      </c>
      <c r="C2552" s="3" t="s">
        <v>608</v>
      </c>
      <c r="D2552" s="2" t="s">
        <v>585</v>
      </c>
      <c r="E2552" s="114">
        <v>1</v>
      </c>
      <c r="F2552" s="23">
        <f>VLOOKUP(B2552,'BASE DE DATOS'!$A$5:$E$997,5,FALSE)</f>
        <v>336981</v>
      </c>
      <c r="G2552" s="104">
        <f>1/5</f>
        <v>0.2</v>
      </c>
      <c r="H2552" s="252">
        <f t="shared" si="229"/>
        <v>67396.2</v>
      </c>
    </row>
    <row r="2553" spans="1:9" x14ac:dyDescent="0.2">
      <c r="A2553" s="979"/>
      <c r="B2553" s="241" t="s">
        <v>81</v>
      </c>
      <c r="C2553" s="44" t="s">
        <v>2060</v>
      </c>
      <c r="D2553" s="2" t="s">
        <v>585</v>
      </c>
      <c r="E2553" s="114">
        <v>1</v>
      </c>
      <c r="F2553" s="23">
        <f>VLOOKUP(B2553,'BASE DE DATOS'!$A$5:$E$997,5,FALSE)</f>
        <v>283774</v>
      </c>
      <c r="G2553" s="104">
        <f>1/15</f>
        <v>6.6666666666666666E-2</v>
      </c>
      <c r="H2553" s="252">
        <f t="shared" si="229"/>
        <v>18918.266666666666</v>
      </c>
    </row>
    <row r="2554" spans="1:9" x14ac:dyDescent="0.2">
      <c r="A2554" s="937" t="s">
        <v>293</v>
      </c>
      <c r="B2554" s="241" t="s">
        <v>254</v>
      </c>
      <c r="C2554" s="599" t="s">
        <v>341</v>
      </c>
      <c r="D2554" s="288" t="s">
        <v>585</v>
      </c>
      <c r="E2554" s="114">
        <v>1</v>
      </c>
      <c r="F2554" s="220">
        <f>VLOOKUP(B2554,'BASE DE DATOS'!$A$5:$E$997,5,FALSE)</f>
        <v>48000</v>
      </c>
      <c r="G2554" s="187">
        <f>1/20</f>
        <v>0.05</v>
      </c>
      <c r="H2554" s="252">
        <f>IF(G2554&gt;0,(G2554*F2554*E2554),(F2554*E2554))</f>
        <v>2400</v>
      </c>
    </row>
    <row r="2555" spans="1:9" ht="13.5" thickBot="1" x14ac:dyDescent="0.25">
      <c r="A2555" s="938"/>
      <c r="B2555" s="528" t="s">
        <v>269</v>
      </c>
      <c r="C2555" s="88" t="s">
        <v>284</v>
      </c>
      <c r="D2555" s="89" t="s">
        <v>586</v>
      </c>
      <c r="E2555" s="193">
        <v>0.1</v>
      </c>
      <c r="F2555" s="90">
        <f>H2552+H2553</f>
        <v>86314.46666666666</v>
      </c>
      <c r="G2555" s="153">
        <v>0</v>
      </c>
      <c r="H2555" s="255">
        <f t="shared" si="229"/>
        <v>8631.4466666666667</v>
      </c>
    </row>
    <row r="2556" spans="1:9" s="42" customFormat="1" ht="15" x14ac:dyDescent="0.2">
      <c r="A2556" s="67" t="s">
        <v>935</v>
      </c>
      <c r="B2556" s="529"/>
      <c r="C2556" s="388" t="s">
        <v>162</v>
      </c>
      <c r="D2556" s="389" t="s">
        <v>411</v>
      </c>
      <c r="E2556" s="395"/>
      <c r="F2556" s="391">
        <f>ROUND(SUM(H2556:H2561),0)</f>
        <v>1292138</v>
      </c>
      <c r="G2556" s="392"/>
      <c r="H2556" s="393"/>
      <c r="I2556" s="738"/>
    </row>
    <row r="2557" spans="1:9" ht="38.25" x14ac:dyDescent="0.2">
      <c r="A2557" s="82" t="s">
        <v>382</v>
      </c>
      <c r="B2557" s="241" t="s">
        <v>1357</v>
      </c>
      <c r="C2557" s="26" t="s">
        <v>2709</v>
      </c>
      <c r="D2557" s="2" t="s">
        <v>411</v>
      </c>
      <c r="E2557" s="114">
        <v>1</v>
      </c>
      <c r="F2557" s="23">
        <f>VLOOKUP(B2557,'BASE DE DATOS'!$A$5:$E$997,5,FALSE)</f>
        <v>800000</v>
      </c>
      <c r="G2557" s="104">
        <v>0</v>
      </c>
      <c r="H2557" s="252">
        <f t="shared" si="229"/>
        <v>800000</v>
      </c>
    </row>
    <row r="2558" spans="1:9" ht="14.25" x14ac:dyDescent="0.2">
      <c r="A2558" s="946" t="s">
        <v>3252</v>
      </c>
      <c r="B2558" s="241" t="s">
        <v>766</v>
      </c>
      <c r="C2558" s="3" t="s">
        <v>133</v>
      </c>
      <c r="D2558" s="2" t="s">
        <v>285</v>
      </c>
      <c r="E2558" s="114">
        <v>0.15</v>
      </c>
      <c r="F2558" s="23">
        <f>F472</f>
        <v>43205</v>
      </c>
      <c r="G2558" s="104">
        <v>0</v>
      </c>
      <c r="H2558" s="252">
        <f t="shared" si="229"/>
        <v>6480.75</v>
      </c>
    </row>
    <row r="2559" spans="1:9" ht="14.25" x14ac:dyDescent="0.2">
      <c r="A2559" s="946"/>
      <c r="B2559" s="241" t="s">
        <v>799</v>
      </c>
      <c r="C2559" s="3" t="s">
        <v>2089</v>
      </c>
      <c r="D2559" s="2" t="s">
        <v>285</v>
      </c>
      <c r="E2559" s="114">
        <v>0.15</v>
      </c>
      <c r="F2559" s="23">
        <f>F34</f>
        <v>482282</v>
      </c>
      <c r="G2559" s="104">
        <v>1.05</v>
      </c>
      <c r="H2559" s="252">
        <f t="shared" si="229"/>
        <v>75959.415000000008</v>
      </c>
    </row>
    <row r="2560" spans="1:9" x14ac:dyDescent="0.2">
      <c r="A2560" s="81" t="s">
        <v>2555</v>
      </c>
      <c r="B2560" s="241" t="s">
        <v>644</v>
      </c>
      <c r="C2560" s="3" t="s">
        <v>645</v>
      </c>
      <c r="D2560" s="2" t="s">
        <v>585</v>
      </c>
      <c r="E2560" s="114">
        <v>1</v>
      </c>
      <c r="F2560" s="23">
        <f>VLOOKUP(B2560,'BASE DE DATOS'!$A$5:$E$997,5,FALSE)</f>
        <v>248302</v>
      </c>
      <c r="G2560" s="104">
        <v>1.5</v>
      </c>
      <c r="H2560" s="252">
        <f t="shared" si="229"/>
        <v>372453</v>
      </c>
    </row>
    <row r="2561" spans="1:9" ht="13.5" thickBot="1" x14ac:dyDescent="0.25">
      <c r="A2561" s="94" t="s">
        <v>293</v>
      </c>
      <c r="B2561" s="528" t="s">
        <v>269</v>
      </c>
      <c r="C2561" s="108" t="s">
        <v>284</v>
      </c>
      <c r="D2561" s="109" t="s">
        <v>586</v>
      </c>
      <c r="E2561" s="200">
        <v>0.1</v>
      </c>
      <c r="F2561" s="110">
        <f>H2560</f>
        <v>372453</v>
      </c>
      <c r="G2561" s="156">
        <v>0</v>
      </c>
      <c r="H2561" s="479">
        <f t="shared" si="229"/>
        <v>37245.300000000003</v>
      </c>
    </row>
    <row r="2562" spans="1:9" s="42" customFormat="1" ht="15" x14ac:dyDescent="0.2">
      <c r="A2562" s="67" t="s">
        <v>936</v>
      </c>
      <c r="B2562" s="529"/>
      <c r="C2562" s="388" t="s">
        <v>161</v>
      </c>
      <c r="D2562" s="389" t="s">
        <v>411</v>
      </c>
      <c r="E2562" s="395"/>
      <c r="F2562" s="391">
        <f>ROUND(SUM(H2562:H2567),0)</f>
        <v>1594185</v>
      </c>
      <c r="G2562" s="392"/>
      <c r="H2562" s="393"/>
      <c r="I2562" s="738"/>
    </row>
    <row r="2563" spans="1:9" ht="38.25" x14ac:dyDescent="0.2">
      <c r="A2563" s="82" t="s">
        <v>382</v>
      </c>
      <c r="B2563" s="241" t="s">
        <v>1358</v>
      </c>
      <c r="C2563" s="3" t="s">
        <v>2710</v>
      </c>
      <c r="D2563" s="2" t="s">
        <v>411</v>
      </c>
      <c r="E2563" s="114">
        <v>1</v>
      </c>
      <c r="F2563" s="23">
        <f>VLOOKUP(B2563,'BASE DE DATOS'!$A$5:$E$997,5,FALSE)</f>
        <v>938000</v>
      </c>
      <c r="G2563" s="104">
        <v>0</v>
      </c>
      <c r="H2563" s="252">
        <f t="shared" si="229"/>
        <v>938000</v>
      </c>
    </row>
    <row r="2564" spans="1:9" ht="14.25" x14ac:dyDescent="0.2">
      <c r="A2564" s="946" t="s">
        <v>3252</v>
      </c>
      <c r="B2564" s="241" t="s">
        <v>766</v>
      </c>
      <c r="C2564" s="3" t="s">
        <v>133</v>
      </c>
      <c r="D2564" s="2" t="s">
        <v>285</v>
      </c>
      <c r="E2564" s="114">
        <v>0.2</v>
      </c>
      <c r="F2564" s="23">
        <f>F472</f>
        <v>43205</v>
      </c>
      <c r="G2564" s="104">
        <v>0</v>
      </c>
      <c r="H2564" s="252">
        <f t="shared" si="229"/>
        <v>8641</v>
      </c>
    </row>
    <row r="2565" spans="1:9" ht="14.25" x14ac:dyDescent="0.2">
      <c r="A2565" s="946"/>
      <c r="B2565" s="241" t="s">
        <v>799</v>
      </c>
      <c r="C2565" s="3" t="s">
        <v>2089</v>
      </c>
      <c r="D2565" s="2" t="s">
        <v>285</v>
      </c>
      <c r="E2565" s="114">
        <v>0.2</v>
      </c>
      <c r="F2565" s="23">
        <f>F34</f>
        <v>482282</v>
      </c>
      <c r="G2565" s="104">
        <v>1.05</v>
      </c>
      <c r="H2565" s="252">
        <f t="shared" si="229"/>
        <v>101279.22000000002</v>
      </c>
    </row>
    <row r="2566" spans="1:9" x14ac:dyDescent="0.2">
      <c r="A2566" s="81" t="s">
        <v>2555</v>
      </c>
      <c r="B2566" s="241" t="s">
        <v>644</v>
      </c>
      <c r="C2566" s="3" t="s">
        <v>645</v>
      </c>
      <c r="D2566" s="2" t="s">
        <v>585</v>
      </c>
      <c r="E2566" s="114">
        <v>1</v>
      </c>
      <c r="F2566" s="23">
        <f>VLOOKUP(B2566,'BASE DE DATOS'!$A$5:$E$997,5,FALSE)</f>
        <v>248302</v>
      </c>
      <c r="G2566" s="104">
        <v>2</v>
      </c>
      <c r="H2566" s="252">
        <f t="shared" si="229"/>
        <v>496604</v>
      </c>
    </row>
    <row r="2567" spans="1:9" ht="13.5" thickBot="1" x14ac:dyDescent="0.25">
      <c r="A2567" s="94" t="s">
        <v>293</v>
      </c>
      <c r="B2567" s="528" t="s">
        <v>269</v>
      </c>
      <c r="C2567" s="108" t="s">
        <v>284</v>
      </c>
      <c r="D2567" s="109" t="s">
        <v>586</v>
      </c>
      <c r="E2567" s="200">
        <v>0.1</v>
      </c>
      <c r="F2567" s="110">
        <f>H2566</f>
        <v>496604</v>
      </c>
      <c r="G2567" s="156">
        <v>0</v>
      </c>
      <c r="H2567" s="479">
        <f t="shared" si="229"/>
        <v>49660.4</v>
      </c>
    </row>
    <row r="2568" spans="1:9" s="42" customFormat="1" ht="30" x14ac:dyDescent="0.2">
      <c r="A2568" s="67" t="s">
        <v>937</v>
      </c>
      <c r="B2568" s="529"/>
      <c r="C2568" s="388" t="s">
        <v>4007</v>
      </c>
      <c r="D2568" s="389" t="s">
        <v>411</v>
      </c>
      <c r="E2568" s="395"/>
      <c r="F2568" s="391">
        <f>ROUND(SUM(H2568:H2573),0)</f>
        <v>1789638</v>
      </c>
      <c r="G2568" s="392"/>
      <c r="H2568" s="393"/>
      <c r="I2568" s="738"/>
    </row>
    <row r="2569" spans="1:9" ht="25.5" x14ac:dyDescent="0.2">
      <c r="A2569" s="82" t="s">
        <v>382</v>
      </c>
      <c r="B2569" s="241" t="s">
        <v>1510</v>
      </c>
      <c r="C2569" s="3" t="s">
        <v>215</v>
      </c>
      <c r="D2569" s="2" t="s">
        <v>411</v>
      </c>
      <c r="E2569" s="114">
        <v>1</v>
      </c>
      <c r="F2569" s="23">
        <f>VLOOKUP(B2569,'BASE DE DATOS'!$A$5:$E$997,5,FALSE)</f>
        <v>1297500</v>
      </c>
      <c r="G2569" s="104">
        <v>0</v>
      </c>
      <c r="H2569" s="252">
        <f t="shared" si="229"/>
        <v>1297500</v>
      </c>
    </row>
    <row r="2570" spans="1:9" ht="14.25" x14ac:dyDescent="0.2">
      <c r="A2570" s="946" t="s">
        <v>3252</v>
      </c>
      <c r="B2570" s="241" t="s">
        <v>766</v>
      </c>
      <c r="C2570" s="3" t="s">
        <v>133</v>
      </c>
      <c r="D2570" s="2" t="s">
        <v>285</v>
      </c>
      <c r="E2570" s="114">
        <v>0.15</v>
      </c>
      <c r="F2570" s="23">
        <f>F472</f>
        <v>43205</v>
      </c>
      <c r="G2570" s="104">
        <v>0</v>
      </c>
      <c r="H2570" s="252">
        <f t="shared" ref="H2570:H2642" si="230">IF(G2570&gt;0,(G2570*F2570*E2570),(F2570*E2570))</f>
        <v>6480.75</v>
      </c>
    </row>
    <row r="2571" spans="1:9" ht="14.25" x14ac:dyDescent="0.2">
      <c r="A2571" s="946"/>
      <c r="B2571" s="241" t="s">
        <v>799</v>
      </c>
      <c r="C2571" s="3" t="s">
        <v>2089</v>
      </c>
      <c r="D2571" s="2" t="s">
        <v>285</v>
      </c>
      <c r="E2571" s="114">
        <v>0.15</v>
      </c>
      <c r="F2571" s="23">
        <f>F34</f>
        <v>482282</v>
      </c>
      <c r="G2571" s="104">
        <v>1.05</v>
      </c>
      <c r="H2571" s="252">
        <f t="shared" si="230"/>
        <v>75959.415000000008</v>
      </c>
    </row>
    <row r="2572" spans="1:9" s="33" customFormat="1" x14ac:dyDescent="0.2">
      <c r="A2572" s="81" t="s">
        <v>2555</v>
      </c>
      <c r="B2572" s="241" t="s">
        <v>644</v>
      </c>
      <c r="C2572" s="3" t="s">
        <v>645</v>
      </c>
      <c r="D2572" s="2" t="s">
        <v>585</v>
      </c>
      <c r="E2572" s="114">
        <v>1</v>
      </c>
      <c r="F2572" s="23">
        <f>VLOOKUP(B2572,'BASE DE DATOS'!$A$5:$E$997,5,FALSE)</f>
        <v>248302</v>
      </c>
      <c r="G2572" s="104">
        <v>1.5</v>
      </c>
      <c r="H2572" s="252">
        <f t="shared" si="230"/>
        <v>372453</v>
      </c>
    </row>
    <row r="2573" spans="1:9" ht="13.5" thickBot="1" x14ac:dyDescent="0.25">
      <c r="A2573" s="94" t="s">
        <v>293</v>
      </c>
      <c r="B2573" s="528" t="s">
        <v>269</v>
      </c>
      <c r="C2573" s="108" t="s">
        <v>284</v>
      </c>
      <c r="D2573" s="109" t="s">
        <v>586</v>
      </c>
      <c r="E2573" s="200">
        <v>0.1</v>
      </c>
      <c r="F2573" s="110">
        <f>H2572</f>
        <v>372453</v>
      </c>
      <c r="G2573" s="156">
        <v>0</v>
      </c>
      <c r="H2573" s="479">
        <f t="shared" si="230"/>
        <v>37245.300000000003</v>
      </c>
    </row>
    <row r="2574" spans="1:9" s="42" customFormat="1" ht="30" x14ac:dyDescent="0.2">
      <c r="A2574" s="67" t="s">
        <v>938</v>
      </c>
      <c r="B2574" s="529"/>
      <c r="C2574" s="388" t="s">
        <v>4008</v>
      </c>
      <c r="D2574" s="389" t="s">
        <v>411</v>
      </c>
      <c r="E2574" s="395"/>
      <c r="F2574" s="391">
        <f>ROUND(SUM(H2574:H2579),0)</f>
        <v>7695727</v>
      </c>
      <c r="G2574" s="392"/>
      <c r="H2574" s="393"/>
      <c r="I2574" s="738"/>
    </row>
    <row r="2575" spans="1:9" ht="51" x14ac:dyDescent="0.2">
      <c r="A2575" s="82" t="s">
        <v>382</v>
      </c>
      <c r="B2575" s="241" t="s">
        <v>1511</v>
      </c>
      <c r="C2575" s="26" t="s">
        <v>2062</v>
      </c>
      <c r="D2575" s="2" t="s">
        <v>411</v>
      </c>
      <c r="E2575" s="114">
        <v>1</v>
      </c>
      <c r="F2575" s="23">
        <f>VLOOKUP(B2575,'BASE DE DATOS'!$A$5:$E$997,5,FALSE)</f>
        <v>6711450</v>
      </c>
      <c r="G2575" s="104">
        <v>0</v>
      </c>
      <c r="H2575" s="252">
        <f t="shared" si="230"/>
        <v>6711450</v>
      </c>
    </row>
    <row r="2576" spans="1:9" ht="14.25" x14ac:dyDescent="0.2">
      <c r="A2576" s="946" t="s">
        <v>3252</v>
      </c>
      <c r="B2576" s="241" t="s">
        <v>766</v>
      </c>
      <c r="C2576" s="3" t="s">
        <v>133</v>
      </c>
      <c r="D2576" s="2" t="s">
        <v>285</v>
      </c>
      <c r="E2576" s="114">
        <v>0.3</v>
      </c>
      <c r="F2576" s="23">
        <f>F472</f>
        <v>43205</v>
      </c>
      <c r="G2576" s="104">
        <v>0</v>
      </c>
      <c r="H2576" s="252">
        <f t="shared" si="230"/>
        <v>12961.5</v>
      </c>
    </row>
    <row r="2577" spans="1:9" ht="14.25" x14ac:dyDescent="0.2">
      <c r="A2577" s="946"/>
      <c r="B2577" s="241" t="s">
        <v>799</v>
      </c>
      <c r="C2577" s="3" t="s">
        <v>2089</v>
      </c>
      <c r="D2577" s="2" t="s">
        <v>285</v>
      </c>
      <c r="E2577" s="114">
        <v>0.3</v>
      </c>
      <c r="F2577" s="23">
        <f>F34</f>
        <v>482282</v>
      </c>
      <c r="G2577" s="104">
        <v>1.05</v>
      </c>
      <c r="H2577" s="252">
        <f t="shared" si="230"/>
        <v>151918.83000000002</v>
      </c>
    </row>
    <row r="2578" spans="1:9" x14ac:dyDescent="0.2">
      <c r="A2578" s="81" t="s">
        <v>2555</v>
      </c>
      <c r="B2578" s="241" t="s">
        <v>644</v>
      </c>
      <c r="C2578" s="3" t="s">
        <v>645</v>
      </c>
      <c r="D2578" s="2" t="s">
        <v>585</v>
      </c>
      <c r="E2578" s="114">
        <v>1</v>
      </c>
      <c r="F2578" s="23">
        <f>VLOOKUP(B2578,'BASE DE DATOS'!$A$5:$E$997,5,FALSE)</f>
        <v>248302</v>
      </c>
      <c r="G2578" s="104">
        <v>3</v>
      </c>
      <c r="H2578" s="252">
        <f t="shared" si="230"/>
        <v>744906</v>
      </c>
    </row>
    <row r="2579" spans="1:9" ht="13.5" thickBot="1" x14ac:dyDescent="0.25">
      <c r="A2579" s="94" t="s">
        <v>293</v>
      </c>
      <c r="B2579" s="528" t="s">
        <v>269</v>
      </c>
      <c r="C2579" s="108" t="s">
        <v>284</v>
      </c>
      <c r="D2579" s="109" t="s">
        <v>586</v>
      </c>
      <c r="E2579" s="200">
        <v>0.1</v>
      </c>
      <c r="F2579" s="110">
        <f>H2578</f>
        <v>744906</v>
      </c>
      <c r="G2579" s="156">
        <v>0</v>
      </c>
      <c r="H2579" s="479">
        <f t="shared" si="230"/>
        <v>74490.600000000006</v>
      </c>
    </row>
    <row r="2580" spans="1:9" s="42" customFormat="1" ht="30" x14ac:dyDescent="0.2">
      <c r="A2580" s="67" t="s">
        <v>939</v>
      </c>
      <c r="B2580" s="529"/>
      <c r="C2580" s="388" t="s">
        <v>4009</v>
      </c>
      <c r="D2580" s="389" t="s">
        <v>411</v>
      </c>
      <c r="E2580" s="395"/>
      <c r="F2580" s="391">
        <f>ROUND(SUM(H2580:H2585),0)</f>
        <v>3355572</v>
      </c>
      <c r="G2580" s="392"/>
      <c r="H2580" s="393"/>
      <c r="I2580" s="738"/>
    </row>
    <row r="2581" spans="1:9" ht="25.5" x14ac:dyDescent="0.2">
      <c r="A2581" s="82" t="s">
        <v>382</v>
      </c>
      <c r="B2581" s="241" t="s">
        <v>1848</v>
      </c>
      <c r="C2581" s="3" t="s">
        <v>4033</v>
      </c>
      <c r="D2581" s="2" t="s">
        <v>411</v>
      </c>
      <c r="E2581" s="114">
        <v>1</v>
      </c>
      <c r="F2581" s="23">
        <f>VLOOKUP(B2581,'BASE DE DATOS'!$A$5:$E$997,5,FALSE)</f>
        <v>3000000</v>
      </c>
      <c r="G2581" s="104">
        <v>0</v>
      </c>
      <c r="H2581" s="252">
        <f t="shared" si="230"/>
        <v>3000000</v>
      </c>
    </row>
    <row r="2582" spans="1:9" ht="14.25" x14ac:dyDescent="0.2">
      <c r="A2582" s="946" t="s">
        <v>3252</v>
      </c>
      <c r="B2582" s="241" t="s">
        <v>766</v>
      </c>
      <c r="C2582" s="3" t="s">
        <v>133</v>
      </c>
      <c r="D2582" s="2" t="s">
        <v>285</v>
      </c>
      <c r="E2582" s="114">
        <v>0.15</v>
      </c>
      <c r="F2582" s="23">
        <f>F472</f>
        <v>43205</v>
      </c>
      <c r="G2582" s="104">
        <v>0</v>
      </c>
      <c r="H2582" s="252">
        <f t="shared" si="230"/>
        <v>6480.75</v>
      </c>
    </row>
    <row r="2583" spans="1:9" ht="14.25" x14ac:dyDescent="0.2">
      <c r="A2583" s="946"/>
      <c r="B2583" s="241" t="s">
        <v>799</v>
      </c>
      <c r="C2583" s="3" t="s">
        <v>2089</v>
      </c>
      <c r="D2583" s="2" t="s">
        <v>285</v>
      </c>
      <c r="E2583" s="114">
        <v>0.15</v>
      </c>
      <c r="F2583" s="23">
        <f>F34</f>
        <v>482282</v>
      </c>
      <c r="G2583" s="104">
        <v>1.05</v>
      </c>
      <c r="H2583" s="252">
        <f t="shared" si="230"/>
        <v>75959.415000000008</v>
      </c>
    </row>
    <row r="2584" spans="1:9" x14ac:dyDescent="0.2">
      <c r="A2584" s="81" t="s">
        <v>2555</v>
      </c>
      <c r="B2584" s="241" t="s">
        <v>644</v>
      </c>
      <c r="C2584" s="3" t="s">
        <v>645</v>
      </c>
      <c r="D2584" s="2" t="s">
        <v>585</v>
      </c>
      <c r="E2584" s="114">
        <v>1</v>
      </c>
      <c r="F2584" s="23">
        <f>VLOOKUP(B2584,'BASE DE DATOS'!$A$5:$E$997,5,FALSE)</f>
        <v>248302</v>
      </c>
      <c r="G2584" s="104">
        <v>1</v>
      </c>
      <c r="H2584" s="252">
        <f t="shared" si="230"/>
        <v>248302</v>
      </c>
    </row>
    <row r="2585" spans="1:9" ht="13.5" thickBot="1" x14ac:dyDescent="0.25">
      <c r="A2585" s="94" t="s">
        <v>293</v>
      </c>
      <c r="B2585" s="528" t="s">
        <v>269</v>
      </c>
      <c r="C2585" s="108" t="s">
        <v>284</v>
      </c>
      <c r="D2585" s="109" t="s">
        <v>586</v>
      </c>
      <c r="E2585" s="200">
        <v>0.1</v>
      </c>
      <c r="F2585" s="110">
        <f>H2584</f>
        <v>248302</v>
      </c>
      <c r="G2585" s="156">
        <v>0</v>
      </c>
      <c r="H2585" s="479">
        <f t="shared" si="230"/>
        <v>24830.2</v>
      </c>
    </row>
    <row r="2586" spans="1:9" s="42" customFormat="1" ht="15" x14ac:dyDescent="0.2">
      <c r="A2586" s="67" t="s">
        <v>940</v>
      </c>
      <c r="B2586" s="529"/>
      <c r="C2586" s="388" t="s">
        <v>86</v>
      </c>
      <c r="D2586" s="389" t="s">
        <v>411</v>
      </c>
      <c r="E2586" s="395"/>
      <c r="F2586" s="391">
        <f>ROUND(SUM(H2586:H2590),0)</f>
        <v>204662</v>
      </c>
      <c r="G2586" s="392"/>
      <c r="H2586" s="393"/>
      <c r="I2586" s="738"/>
    </row>
    <row r="2587" spans="1:9" x14ac:dyDescent="0.2">
      <c r="A2587" s="589" t="s">
        <v>382</v>
      </c>
      <c r="B2587" s="241" t="s">
        <v>1294</v>
      </c>
      <c r="C2587" s="3" t="s">
        <v>280</v>
      </c>
      <c r="D2587" s="2" t="s">
        <v>411</v>
      </c>
      <c r="E2587" s="114">
        <v>1</v>
      </c>
      <c r="F2587" s="23">
        <f>VLOOKUP(B2587,'BASE DE DATOS'!$A$5:$E$997,5,FALSE)</f>
        <v>109480</v>
      </c>
      <c r="G2587" s="104">
        <v>0</v>
      </c>
      <c r="H2587" s="252">
        <f t="shared" si="230"/>
        <v>109480</v>
      </c>
    </row>
    <row r="2588" spans="1:9" x14ac:dyDescent="0.2">
      <c r="A2588" s="81" t="s">
        <v>2555</v>
      </c>
      <c r="B2588" s="241" t="s">
        <v>644</v>
      </c>
      <c r="C2588" s="3" t="s">
        <v>645</v>
      </c>
      <c r="D2588" s="2" t="s">
        <v>585</v>
      </c>
      <c r="E2588" s="114">
        <v>1</v>
      </c>
      <c r="F2588" s="23">
        <f>VLOOKUP(B2588,'BASE DE DATOS'!$A$5:$E$997,5,FALSE)</f>
        <v>248302</v>
      </c>
      <c r="G2588" s="104">
        <f>1/3</f>
        <v>0.33333333333333331</v>
      </c>
      <c r="H2588" s="252">
        <f t="shared" si="230"/>
        <v>82767.333333333328</v>
      </c>
    </row>
    <row r="2589" spans="1:9" x14ac:dyDescent="0.2">
      <c r="A2589" s="937" t="s">
        <v>293</v>
      </c>
      <c r="B2589" s="241" t="s">
        <v>598</v>
      </c>
      <c r="C2589" s="218" t="s">
        <v>3362</v>
      </c>
      <c r="D2589" s="219" t="s">
        <v>586</v>
      </c>
      <c r="E2589" s="114">
        <v>0.05</v>
      </c>
      <c r="F2589" s="220">
        <f>H2588</f>
        <v>82767.333333333328</v>
      </c>
      <c r="G2589" s="187">
        <v>0</v>
      </c>
      <c r="H2589" s="252">
        <f>IF(G2589&gt;0,(G2589*F2589*E2589),(F2589*E2589))</f>
        <v>4138.3666666666668</v>
      </c>
    </row>
    <row r="2590" spans="1:9" ht="13.5" thickBot="1" x14ac:dyDescent="0.25">
      <c r="A2590" s="938"/>
      <c r="B2590" s="528" t="s">
        <v>269</v>
      </c>
      <c r="C2590" s="88" t="s">
        <v>284</v>
      </c>
      <c r="D2590" s="89" t="s">
        <v>586</v>
      </c>
      <c r="E2590" s="193">
        <v>0.1</v>
      </c>
      <c r="F2590" s="90">
        <f>H2588</f>
        <v>82767.333333333328</v>
      </c>
      <c r="G2590" s="153">
        <v>0</v>
      </c>
      <c r="H2590" s="255">
        <f t="shared" si="230"/>
        <v>8276.7333333333336</v>
      </c>
    </row>
    <row r="2591" spans="1:9" s="42" customFormat="1" ht="15" x14ac:dyDescent="0.2">
      <c r="A2591" s="67" t="s">
        <v>941</v>
      </c>
      <c r="B2591" s="529"/>
      <c r="C2591" s="388" t="s">
        <v>3721</v>
      </c>
      <c r="D2591" s="389" t="s">
        <v>411</v>
      </c>
      <c r="E2591" s="395"/>
      <c r="F2591" s="391">
        <f>ROUND(SUM(H2591:H2595),0)</f>
        <v>59039</v>
      </c>
      <c r="G2591" s="392"/>
      <c r="H2591" s="393"/>
      <c r="I2591" s="738"/>
    </row>
    <row r="2592" spans="1:9" x14ac:dyDescent="0.2">
      <c r="A2592" s="625" t="s">
        <v>382</v>
      </c>
      <c r="B2592" s="241" t="s">
        <v>3707</v>
      </c>
      <c r="C2592" s="3" t="s">
        <v>3712</v>
      </c>
      <c r="D2592" s="2" t="s">
        <v>411</v>
      </c>
      <c r="E2592" s="114">
        <v>1</v>
      </c>
      <c r="F2592" s="23">
        <f>VLOOKUP(B2592,'BASE DE DATOS'!$A$5:$E$997,5,FALSE)</f>
        <v>16000</v>
      </c>
      <c r="G2592" s="104">
        <v>0</v>
      </c>
      <c r="H2592" s="252">
        <f t="shared" ref="H2592:H2593" si="231">IF(G2592&gt;0,(G2592*F2592*E2592),(F2592*E2592))</f>
        <v>16000</v>
      </c>
    </row>
    <row r="2593" spans="1:9" x14ac:dyDescent="0.2">
      <c r="A2593" s="627" t="s">
        <v>2555</v>
      </c>
      <c r="B2593" s="241" t="s">
        <v>644</v>
      </c>
      <c r="C2593" s="3" t="s">
        <v>645</v>
      </c>
      <c r="D2593" s="2" t="s">
        <v>585</v>
      </c>
      <c r="E2593" s="114">
        <v>1</v>
      </c>
      <c r="F2593" s="23">
        <f>VLOOKUP(B2593,'BASE DE DATOS'!$A$5:$E$997,5,FALSE)</f>
        <v>248302</v>
      </c>
      <c r="G2593" s="104">
        <f>1/6</f>
        <v>0.16666666666666666</v>
      </c>
      <c r="H2593" s="252">
        <f t="shared" si="231"/>
        <v>41383.666666666664</v>
      </c>
    </row>
    <row r="2594" spans="1:9" x14ac:dyDescent="0.2">
      <c r="A2594" s="937" t="s">
        <v>293</v>
      </c>
      <c r="B2594" s="241" t="s">
        <v>598</v>
      </c>
      <c r="C2594" s="218" t="s">
        <v>3362</v>
      </c>
      <c r="D2594" s="219" t="s">
        <v>586</v>
      </c>
      <c r="E2594" s="114">
        <v>0.03</v>
      </c>
      <c r="F2594" s="220">
        <f>H2593</f>
        <v>41383.666666666664</v>
      </c>
      <c r="G2594" s="187">
        <v>0</v>
      </c>
      <c r="H2594" s="252">
        <f>IF(G2594&gt;0,(G2594*F2594*E2594),(F2594*E2594))</f>
        <v>1241.51</v>
      </c>
    </row>
    <row r="2595" spans="1:9" ht="13.5" thickBot="1" x14ac:dyDescent="0.25">
      <c r="A2595" s="938"/>
      <c r="B2595" s="528" t="s">
        <v>269</v>
      </c>
      <c r="C2595" s="88" t="s">
        <v>284</v>
      </c>
      <c r="D2595" s="89" t="s">
        <v>586</v>
      </c>
      <c r="E2595" s="193">
        <v>0.01</v>
      </c>
      <c r="F2595" s="90">
        <f>H2593</f>
        <v>41383.666666666664</v>
      </c>
      <c r="G2595" s="153">
        <v>0</v>
      </c>
      <c r="H2595" s="255">
        <f t="shared" ref="H2595" si="232">IF(G2595&gt;0,(G2595*F2595*E2595),(F2595*E2595))</f>
        <v>413.83666666666664</v>
      </c>
    </row>
    <row r="2596" spans="1:9" s="42" customFormat="1" ht="30" x14ac:dyDescent="0.2">
      <c r="A2596" s="67" t="s">
        <v>942</v>
      </c>
      <c r="B2596" s="529"/>
      <c r="C2596" s="388" t="s">
        <v>3723</v>
      </c>
      <c r="D2596" s="389" t="s">
        <v>411</v>
      </c>
      <c r="E2596" s="395"/>
      <c r="F2596" s="391">
        <f>ROUND(SUM(H2596:H2599),0)</f>
        <v>168523</v>
      </c>
      <c r="G2596" s="392"/>
      <c r="H2596" s="393"/>
      <c r="I2596" s="738"/>
    </row>
    <row r="2597" spans="1:9" x14ac:dyDescent="0.2">
      <c r="A2597" s="625" t="s">
        <v>382</v>
      </c>
      <c r="B2597" s="241" t="s">
        <v>3708</v>
      </c>
      <c r="C2597" s="3" t="s">
        <v>3713</v>
      </c>
      <c r="D2597" s="2" t="s">
        <v>411</v>
      </c>
      <c r="E2597" s="114">
        <v>1</v>
      </c>
      <c r="F2597" s="23">
        <f>VLOOKUP(B2597,'BASE DE DATOS'!$A$5:$E$997,5,FALSE)</f>
        <v>149900</v>
      </c>
      <c r="G2597" s="104">
        <v>0</v>
      </c>
      <c r="H2597" s="252">
        <f t="shared" ref="H2597:H2598" si="233">IF(G2597&gt;0,(G2597*F2597*E2597),(F2597*E2597))</f>
        <v>149900</v>
      </c>
    </row>
    <row r="2598" spans="1:9" x14ac:dyDescent="0.2">
      <c r="A2598" s="627" t="s">
        <v>2555</v>
      </c>
      <c r="B2598" s="241" t="s">
        <v>644</v>
      </c>
      <c r="C2598" s="3" t="s">
        <v>645</v>
      </c>
      <c r="D2598" s="2" t="s">
        <v>585</v>
      </c>
      <c r="E2598" s="114">
        <v>1</v>
      </c>
      <c r="F2598" s="23">
        <f>VLOOKUP(B2598,'BASE DE DATOS'!$A$5:$E$997,5,FALSE)</f>
        <v>248302</v>
      </c>
      <c r="G2598" s="104">
        <f>1/14</f>
        <v>7.1428571428571425E-2</v>
      </c>
      <c r="H2598" s="252">
        <f t="shared" si="233"/>
        <v>17735.857142857141</v>
      </c>
    </row>
    <row r="2599" spans="1:9" ht="13.5" thickBot="1" x14ac:dyDescent="0.25">
      <c r="A2599" s="626" t="s">
        <v>293</v>
      </c>
      <c r="B2599" s="528" t="s">
        <v>269</v>
      </c>
      <c r="C2599" s="88" t="s">
        <v>284</v>
      </c>
      <c r="D2599" s="89" t="s">
        <v>586</v>
      </c>
      <c r="E2599" s="193">
        <v>0.05</v>
      </c>
      <c r="F2599" s="90">
        <f>H2598</f>
        <v>17735.857142857141</v>
      </c>
      <c r="G2599" s="153">
        <v>0</v>
      </c>
      <c r="H2599" s="255">
        <f t="shared" ref="H2599" si="234">IF(G2599&gt;0,(G2599*F2599*E2599),(F2599*E2599))</f>
        <v>886.79285714285709</v>
      </c>
    </row>
    <row r="2600" spans="1:9" s="42" customFormat="1" ht="15" x14ac:dyDescent="0.2">
      <c r="A2600" s="67" t="s">
        <v>3718</v>
      </c>
      <c r="B2600" s="529"/>
      <c r="C2600" s="388" t="s">
        <v>3722</v>
      </c>
      <c r="D2600" s="389" t="s">
        <v>411</v>
      </c>
      <c r="E2600" s="395"/>
      <c r="F2600" s="391">
        <f>ROUND(SUM(H2600:H2603),0)</f>
        <v>424769</v>
      </c>
      <c r="G2600" s="392"/>
      <c r="H2600" s="393"/>
      <c r="I2600" s="738"/>
    </row>
    <row r="2601" spans="1:9" x14ac:dyDescent="0.2">
      <c r="A2601" s="625" t="s">
        <v>382</v>
      </c>
      <c r="B2601" s="241" t="s">
        <v>3709</v>
      </c>
      <c r="C2601" s="3" t="s">
        <v>3714</v>
      </c>
      <c r="D2601" s="2" t="s">
        <v>411</v>
      </c>
      <c r="E2601" s="114">
        <v>1</v>
      </c>
      <c r="F2601" s="23">
        <f>VLOOKUP(B2601,'BASE DE DATOS'!$A$5:$E$997,5,FALSE)</f>
        <v>395800</v>
      </c>
      <c r="G2601" s="104">
        <v>0</v>
      </c>
      <c r="H2601" s="252">
        <f t="shared" ref="H2601:H2602" si="235">IF(G2601&gt;0,(G2601*F2601*E2601),(F2601*E2601))</f>
        <v>395800</v>
      </c>
    </row>
    <row r="2602" spans="1:9" x14ac:dyDescent="0.2">
      <c r="A2602" s="627" t="s">
        <v>2555</v>
      </c>
      <c r="B2602" s="241" t="s">
        <v>644</v>
      </c>
      <c r="C2602" s="3" t="s">
        <v>645</v>
      </c>
      <c r="D2602" s="2" t="s">
        <v>585</v>
      </c>
      <c r="E2602" s="114">
        <v>1</v>
      </c>
      <c r="F2602" s="23">
        <f>VLOOKUP(B2602,'BASE DE DATOS'!$A$5:$E$997,5,FALSE)</f>
        <v>248302</v>
      </c>
      <c r="G2602" s="104">
        <f>1/9</f>
        <v>0.1111111111111111</v>
      </c>
      <c r="H2602" s="252">
        <f t="shared" si="235"/>
        <v>27589.111111111109</v>
      </c>
    </row>
    <row r="2603" spans="1:9" ht="13.5" thickBot="1" x14ac:dyDescent="0.25">
      <c r="A2603" s="626" t="s">
        <v>293</v>
      </c>
      <c r="B2603" s="528" t="s">
        <v>269</v>
      </c>
      <c r="C2603" s="88" t="s">
        <v>284</v>
      </c>
      <c r="D2603" s="89" t="s">
        <v>586</v>
      </c>
      <c r="E2603" s="193">
        <v>0.05</v>
      </c>
      <c r="F2603" s="90">
        <f>H2602</f>
        <v>27589.111111111109</v>
      </c>
      <c r="G2603" s="153">
        <v>0</v>
      </c>
      <c r="H2603" s="255">
        <f t="shared" ref="H2603" si="236">IF(G2603&gt;0,(G2603*F2603*E2603),(F2603*E2603))</f>
        <v>1379.4555555555555</v>
      </c>
    </row>
    <row r="2604" spans="1:9" s="42" customFormat="1" ht="30" x14ac:dyDescent="0.2">
      <c r="A2604" s="67" t="s">
        <v>3719</v>
      </c>
      <c r="B2604" s="529"/>
      <c r="C2604" s="388" t="s">
        <v>3967</v>
      </c>
      <c r="D2604" s="389" t="s">
        <v>411</v>
      </c>
      <c r="E2604" s="395"/>
      <c r="F2604" s="391">
        <f>ROUND(SUM(H2604:H2607),0)</f>
        <v>710079</v>
      </c>
      <c r="G2604" s="392"/>
      <c r="H2604" s="393"/>
      <c r="I2604" s="738"/>
    </row>
    <row r="2605" spans="1:9" ht="76.5" x14ac:dyDescent="0.2">
      <c r="A2605" s="777" t="s">
        <v>382</v>
      </c>
      <c r="B2605" s="241" t="s">
        <v>2792</v>
      </c>
      <c r="C2605" s="3" t="s">
        <v>3966</v>
      </c>
      <c r="D2605" s="2" t="s">
        <v>411</v>
      </c>
      <c r="E2605" s="114">
        <v>1</v>
      </c>
      <c r="F2605" s="23">
        <f>VLOOKUP(B2605,'BASE DE DATOS'!$A$5:$E$997,5,FALSE)</f>
        <v>644900</v>
      </c>
      <c r="G2605" s="104">
        <v>0</v>
      </c>
      <c r="H2605" s="252">
        <f t="shared" ref="H2605:H2607" si="237">IF(G2605&gt;0,(G2605*F2605*E2605),(F2605*E2605))</f>
        <v>644900</v>
      </c>
    </row>
    <row r="2606" spans="1:9" x14ac:dyDescent="0.2">
      <c r="A2606" s="778" t="s">
        <v>2555</v>
      </c>
      <c r="B2606" s="241" t="s">
        <v>644</v>
      </c>
      <c r="C2606" s="3" t="s">
        <v>645</v>
      </c>
      <c r="D2606" s="2" t="s">
        <v>585</v>
      </c>
      <c r="E2606" s="114">
        <v>1</v>
      </c>
      <c r="F2606" s="23">
        <f>VLOOKUP(B2606,'BASE DE DATOS'!$A$5:$E$997,5,FALSE)</f>
        <v>248302</v>
      </c>
      <c r="G2606" s="104">
        <f>1/4</f>
        <v>0.25</v>
      </c>
      <c r="H2606" s="252">
        <f t="shared" si="237"/>
        <v>62075.5</v>
      </c>
    </row>
    <row r="2607" spans="1:9" ht="13.5" thickBot="1" x14ac:dyDescent="0.25">
      <c r="A2607" s="779" t="s">
        <v>293</v>
      </c>
      <c r="B2607" s="528" t="s">
        <v>269</v>
      </c>
      <c r="C2607" s="88" t="s">
        <v>284</v>
      </c>
      <c r="D2607" s="89" t="s">
        <v>586</v>
      </c>
      <c r="E2607" s="193">
        <v>0.05</v>
      </c>
      <c r="F2607" s="90">
        <f>H2606</f>
        <v>62075.5</v>
      </c>
      <c r="G2607" s="153">
        <v>0</v>
      </c>
      <c r="H2607" s="255">
        <f t="shared" si="237"/>
        <v>3103.7750000000001</v>
      </c>
    </row>
    <row r="2608" spans="1:9" s="42" customFormat="1" ht="30" x14ac:dyDescent="0.2">
      <c r="A2608" s="67" t="s">
        <v>3720</v>
      </c>
      <c r="B2608" s="529"/>
      <c r="C2608" s="388" t="s">
        <v>3962</v>
      </c>
      <c r="D2608" s="389" t="s">
        <v>411</v>
      </c>
      <c r="E2608" s="395"/>
      <c r="F2608" s="391">
        <f>ROUND(SUM(H2608:H2611),0)</f>
        <v>116842</v>
      </c>
      <c r="G2608" s="392"/>
      <c r="H2608" s="393"/>
      <c r="I2608" s="738"/>
    </row>
    <row r="2609" spans="1:9" ht="25.5" x14ac:dyDescent="0.2">
      <c r="A2609" s="781" t="s">
        <v>382</v>
      </c>
      <c r="B2609" s="241" t="s">
        <v>3788</v>
      </c>
      <c r="C2609" s="3" t="s">
        <v>3963</v>
      </c>
      <c r="D2609" s="2" t="s">
        <v>411</v>
      </c>
      <c r="E2609" s="114">
        <v>1</v>
      </c>
      <c r="F2609" s="23">
        <f>VLOOKUP(B2609,'BASE DE DATOS'!$A$5:$E$997,5,FALSE)</f>
        <v>82700</v>
      </c>
      <c r="G2609" s="104">
        <v>0</v>
      </c>
      <c r="H2609" s="252">
        <f t="shared" ref="H2609:H2611" si="238">IF(G2609&gt;0,(G2609*F2609*E2609),(F2609*E2609))</f>
        <v>82700</v>
      </c>
    </row>
    <row r="2610" spans="1:9" x14ac:dyDescent="0.2">
      <c r="A2610" s="783" t="s">
        <v>2555</v>
      </c>
      <c r="B2610" s="241" t="s">
        <v>644</v>
      </c>
      <c r="C2610" s="3" t="s">
        <v>645</v>
      </c>
      <c r="D2610" s="2" t="s">
        <v>585</v>
      </c>
      <c r="E2610" s="114">
        <v>1</v>
      </c>
      <c r="F2610" s="23">
        <f>VLOOKUP(B2610,'BASE DE DATOS'!$A$5:$E$997,5,FALSE)</f>
        <v>248302</v>
      </c>
      <c r="G2610" s="104">
        <f>1/8</f>
        <v>0.125</v>
      </c>
      <c r="H2610" s="252">
        <f t="shared" si="238"/>
        <v>31037.75</v>
      </c>
    </row>
    <row r="2611" spans="1:9" ht="13.5" thickBot="1" x14ac:dyDescent="0.25">
      <c r="A2611" s="782" t="s">
        <v>293</v>
      </c>
      <c r="B2611" s="528" t="s">
        <v>269</v>
      </c>
      <c r="C2611" s="88" t="s">
        <v>284</v>
      </c>
      <c r="D2611" s="89" t="s">
        <v>586</v>
      </c>
      <c r="E2611" s="193">
        <v>0.1</v>
      </c>
      <c r="F2611" s="90">
        <f>H2610</f>
        <v>31037.75</v>
      </c>
      <c r="G2611" s="153">
        <v>0</v>
      </c>
      <c r="H2611" s="255">
        <f t="shared" si="238"/>
        <v>3103.7750000000001</v>
      </c>
    </row>
    <row r="2612" spans="1:9" s="42" customFormat="1" ht="105" x14ac:dyDescent="0.2">
      <c r="A2612" s="67" t="s">
        <v>4000</v>
      </c>
      <c r="B2612" s="529"/>
      <c r="C2612" s="388" t="s">
        <v>3968</v>
      </c>
      <c r="D2612" s="389" t="s">
        <v>405</v>
      </c>
      <c r="E2612" s="395"/>
      <c r="F2612" s="391">
        <f>ROUND(SUM(H2612:H2615),0)</f>
        <v>361669</v>
      </c>
      <c r="G2612" s="392"/>
      <c r="H2612" s="393"/>
      <c r="I2612" s="738"/>
    </row>
    <row r="2613" spans="1:9" ht="76.5" x14ac:dyDescent="0.2">
      <c r="A2613" s="784" t="s">
        <v>382</v>
      </c>
      <c r="B2613" s="241" t="s">
        <v>3961</v>
      </c>
      <c r="C2613" s="11" t="s">
        <v>3995</v>
      </c>
      <c r="D2613" s="2" t="s">
        <v>411</v>
      </c>
      <c r="E2613" s="114">
        <v>1</v>
      </c>
      <c r="F2613" s="23">
        <f>VLOOKUP(B2613,'BASE DE DATOS'!$A$5:$E$997,5,FALSE)</f>
        <v>217000</v>
      </c>
      <c r="G2613" s="104">
        <v>0</v>
      </c>
      <c r="H2613" s="252">
        <f t="shared" ref="H2613:H2615" si="239">IF(G2613&gt;0,(G2613*F2613*E2613),(F2613*E2613))</f>
        <v>217000</v>
      </c>
    </row>
    <row r="2614" spans="1:9" x14ac:dyDescent="0.2">
      <c r="A2614" s="785" t="s">
        <v>2555</v>
      </c>
      <c r="B2614" s="241" t="s">
        <v>644</v>
      </c>
      <c r="C2614" s="3" t="s">
        <v>645</v>
      </c>
      <c r="D2614" s="2" t="s">
        <v>585</v>
      </c>
      <c r="E2614" s="114">
        <v>1</v>
      </c>
      <c r="F2614" s="23">
        <f>VLOOKUP(B2614,'BASE DE DATOS'!$A$5:$E$997,5,FALSE)</f>
        <v>248302</v>
      </c>
      <c r="G2614" s="104">
        <f>1/1.9</f>
        <v>0.52631578947368418</v>
      </c>
      <c r="H2614" s="252">
        <f t="shared" si="239"/>
        <v>130685.26315789473</v>
      </c>
    </row>
    <row r="2615" spans="1:9" ht="13.5" thickBot="1" x14ac:dyDescent="0.25">
      <c r="A2615" s="786" t="s">
        <v>293</v>
      </c>
      <c r="B2615" s="528" t="s">
        <v>269</v>
      </c>
      <c r="C2615" s="88" t="s">
        <v>284</v>
      </c>
      <c r="D2615" s="89" t="s">
        <v>586</v>
      </c>
      <c r="E2615" s="193">
        <v>0.107</v>
      </c>
      <c r="F2615" s="90">
        <f>H2614</f>
        <v>130685.26315789473</v>
      </c>
      <c r="G2615" s="153">
        <v>0</v>
      </c>
      <c r="H2615" s="255">
        <f t="shared" si="239"/>
        <v>13983.323157894736</v>
      </c>
    </row>
    <row r="2616" spans="1:9" s="42" customFormat="1" ht="45" x14ac:dyDescent="0.2">
      <c r="A2616" s="67" t="s">
        <v>4001</v>
      </c>
      <c r="B2616" s="529"/>
      <c r="C2616" s="388" t="s">
        <v>3972</v>
      </c>
      <c r="D2616" s="389" t="s">
        <v>411</v>
      </c>
      <c r="E2616" s="395"/>
      <c r="F2616" s="391">
        <f>ROUND(SUM(H2616:H2619),0)</f>
        <v>483335</v>
      </c>
      <c r="G2616" s="392"/>
      <c r="H2616" s="393"/>
      <c r="I2616" s="738"/>
    </row>
    <row r="2617" spans="1:9" ht="25.5" x14ac:dyDescent="0.2">
      <c r="A2617" s="784" t="s">
        <v>382</v>
      </c>
      <c r="B2617" s="241" t="s">
        <v>3969</v>
      </c>
      <c r="C2617" s="11" t="s">
        <v>3970</v>
      </c>
      <c r="D2617" s="2" t="s">
        <v>411</v>
      </c>
      <c r="E2617" s="114">
        <v>1</v>
      </c>
      <c r="F2617" s="23">
        <f>VLOOKUP(B2617,'BASE DE DATOS'!$A$5:$E$997,5,FALSE)</f>
        <v>345900</v>
      </c>
      <c r="G2617" s="104">
        <v>0</v>
      </c>
      <c r="H2617" s="252">
        <f t="shared" ref="H2617:H2621" si="240">IF(G2617&gt;0,(G2617*F2617*E2617),(F2617*E2617))</f>
        <v>345900</v>
      </c>
    </row>
    <row r="2618" spans="1:9" x14ac:dyDescent="0.2">
      <c r="A2618" s="785" t="s">
        <v>2555</v>
      </c>
      <c r="B2618" s="241" t="s">
        <v>644</v>
      </c>
      <c r="C2618" s="3" t="s">
        <v>645</v>
      </c>
      <c r="D2618" s="2" t="s">
        <v>585</v>
      </c>
      <c r="E2618" s="114">
        <v>1</v>
      </c>
      <c r="F2618" s="23">
        <f>VLOOKUP(B2618,'BASE DE DATOS'!$A$5:$E$997,5,FALSE)</f>
        <v>248302</v>
      </c>
      <c r="G2618" s="104">
        <f>1/2</f>
        <v>0.5</v>
      </c>
      <c r="H2618" s="252">
        <f t="shared" si="240"/>
        <v>124151</v>
      </c>
      <c r="I2618" s="736"/>
    </row>
    <row r="2619" spans="1:9" ht="13.5" thickBot="1" x14ac:dyDescent="0.25">
      <c r="A2619" s="786" t="s">
        <v>293</v>
      </c>
      <c r="B2619" s="528" t="s">
        <v>269</v>
      </c>
      <c r="C2619" s="88" t="s">
        <v>284</v>
      </c>
      <c r="D2619" s="89" t="s">
        <v>586</v>
      </c>
      <c r="E2619" s="193">
        <v>0.107</v>
      </c>
      <c r="F2619" s="90">
        <f>H2618</f>
        <v>124151</v>
      </c>
      <c r="G2619" s="153">
        <v>0</v>
      </c>
      <c r="H2619" s="255">
        <f t="shared" si="240"/>
        <v>13284.156999999999</v>
      </c>
    </row>
    <row r="2620" spans="1:9" s="42" customFormat="1" ht="120" x14ac:dyDescent="0.2">
      <c r="A2620" s="67" t="s">
        <v>4002</v>
      </c>
      <c r="B2620" s="529"/>
      <c r="C2620" s="388" t="s">
        <v>3997</v>
      </c>
      <c r="D2620" s="389" t="s">
        <v>405</v>
      </c>
      <c r="E2620" s="395"/>
      <c r="F2620" s="391">
        <f>ROUND(SUM(H2620:H2625),0)</f>
        <v>807055</v>
      </c>
      <c r="G2620" s="392"/>
      <c r="H2620" s="393"/>
      <c r="I2620" s="738"/>
    </row>
    <row r="2621" spans="1:9" s="42" customFormat="1" ht="28.5" x14ac:dyDescent="0.2">
      <c r="A2621" s="936" t="s">
        <v>382</v>
      </c>
      <c r="B2621" s="568" t="s">
        <v>3973</v>
      </c>
      <c r="C2621" s="787" t="s">
        <v>3994</v>
      </c>
      <c r="D2621" s="788" t="s">
        <v>411</v>
      </c>
      <c r="E2621" s="114">
        <v>2</v>
      </c>
      <c r="F2621" s="23">
        <f>VLOOKUP(B2621,'BASE DE DATOS'!$A$5:$E$997,5,FALSE)</f>
        <v>4274</v>
      </c>
      <c r="G2621" s="104">
        <v>0</v>
      </c>
      <c r="H2621" s="252">
        <f t="shared" si="240"/>
        <v>8548</v>
      </c>
      <c r="I2621" s="738"/>
    </row>
    <row r="2622" spans="1:9" ht="85.5" x14ac:dyDescent="0.2">
      <c r="A2622" s="936"/>
      <c r="B2622" s="241" t="s">
        <v>3974</v>
      </c>
      <c r="C2622" s="787" t="s">
        <v>3996</v>
      </c>
      <c r="D2622" s="2" t="s">
        <v>411</v>
      </c>
      <c r="E2622" s="114">
        <v>1</v>
      </c>
      <c r="F2622" s="23">
        <f>VLOOKUP(B2622,'BASE DE DATOS'!$A$5:$E$997,5,FALSE)</f>
        <v>750854</v>
      </c>
      <c r="G2622" s="104">
        <v>0</v>
      </c>
      <c r="H2622" s="252">
        <f t="shared" ref="H2622:H2625" si="241">IF(G2622&gt;0,(G2622*F2622*E2622),(F2622*E2622))</f>
        <v>750854</v>
      </c>
    </row>
    <row r="2623" spans="1:9" x14ac:dyDescent="0.2">
      <c r="A2623" s="785" t="s">
        <v>2555</v>
      </c>
      <c r="B2623" s="241" t="s">
        <v>644</v>
      </c>
      <c r="C2623" s="3" t="s">
        <v>645</v>
      </c>
      <c r="D2623" s="2" t="s">
        <v>585</v>
      </c>
      <c r="E2623" s="114">
        <v>1</v>
      </c>
      <c r="F2623" s="23">
        <f>VLOOKUP(B2623,'BASE DE DATOS'!$A$5:$E$997,5,FALSE)</f>
        <v>248302</v>
      </c>
      <c r="G2623" s="104">
        <f>1/8.1</f>
        <v>0.1234567901234568</v>
      </c>
      <c r="H2623" s="252">
        <f t="shared" si="241"/>
        <v>30654.567901234568</v>
      </c>
      <c r="I2623" s="736"/>
    </row>
    <row r="2624" spans="1:9" x14ac:dyDescent="0.2">
      <c r="A2624" s="937" t="s">
        <v>293</v>
      </c>
      <c r="B2624" s="241" t="s">
        <v>350</v>
      </c>
      <c r="C2624" s="495" t="s">
        <v>2668</v>
      </c>
      <c r="D2624" s="219" t="s">
        <v>614</v>
      </c>
      <c r="E2624" s="114">
        <v>0.13200000000000001</v>
      </c>
      <c r="F2624" s="220">
        <f>VLOOKUP(B2624,'BASE DE DATOS'!$A$5:$E$997,5,FALSE)</f>
        <v>8714</v>
      </c>
      <c r="G2624" s="187">
        <v>0</v>
      </c>
      <c r="H2624" s="252">
        <f t="shared" ref="H2624" si="242">IF(G2624&gt;0,(G2624*F2624*E2624),(F2624*E2624))</f>
        <v>1150.248</v>
      </c>
    </row>
    <row r="2625" spans="1:9" ht="13.5" thickBot="1" x14ac:dyDescent="0.25">
      <c r="A2625" s="938"/>
      <c r="B2625" s="528" t="s">
        <v>269</v>
      </c>
      <c r="C2625" s="88" t="s">
        <v>284</v>
      </c>
      <c r="D2625" s="89" t="s">
        <v>586</v>
      </c>
      <c r="E2625" s="193">
        <v>0.51700000000000002</v>
      </c>
      <c r="F2625" s="90">
        <f>H2623</f>
        <v>30654.567901234568</v>
      </c>
      <c r="G2625" s="153">
        <v>0</v>
      </c>
      <c r="H2625" s="255">
        <f t="shared" si="241"/>
        <v>15848.411604938272</v>
      </c>
    </row>
    <row r="2626" spans="1:9" s="42" customFormat="1" ht="105" x14ac:dyDescent="0.2">
      <c r="A2626" s="67" t="s">
        <v>4003</v>
      </c>
      <c r="B2626" s="529"/>
      <c r="C2626" s="388" t="s">
        <v>3999</v>
      </c>
      <c r="D2626" s="389" t="s">
        <v>405</v>
      </c>
      <c r="E2626" s="395"/>
      <c r="F2626" s="391">
        <f>ROUND(SUM(H2626:H2631),0)</f>
        <v>976007</v>
      </c>
      <c r="G2626" s="392"/>
      <c r="H2626" s="393"/>
      <c r="I2626" s="738"/>
    </row>
    <row r="2627" spans="1:9" s="42" customFormat="1" ht="28.5" x14ac:dyDescent="0.2">
      <c r="A2627" s="936" t="s">
        <v>382</v>
      </c>
      <c r="B2627" s="568" t="s">
        <v>3973</v>
      </c>
      <c r="C2627" s="787" t="s">
        <v>3994</v>
      </c>
      <c r="D2627" s="788" t="s">
        <v>411</v>
      </c>
      <c r="E2627" s="114">
        <v>2</v>
      </c>
      <c r="F2627" s="23">
        <f>VLOOKUP(B2627,'BASE DE DATOS'!$A$5:$E$997,5,FALSE)</f>
        <v>4274</v>
      </c>
      <c r="G2627" s="104">
        <v>0</v>
      </c>
      <c r="H2627" s="252">
        <f t="shared" ref="H2627:H2631" si="243">IF(G2627&gt;0,(G2627*F2627*E2627),(F2627*E2627))</f>
        <v>8548</v>
      </c>
      <c r="I2627" s="738"/>
    </row>
    <row r="2628" spans="1:9" ht="85.5" x14ac:dyDescent="0.2">
      <c r="A2628" s="936"/>
      <c r="B2628" s="241" t="s">
        <v>3975</v>
      </c>
      <c r="C2628" s="787" t="s">
        <v>3996</v>
      </c>
      <c r="D2628" s="2" t="s">
        <v>411</v>
      </c>
      <c r="E2628" s="114">
        <v>1</v>
      </c>
      <c r="F2628" s="23">
        <f>VLOOKUP(B2628,'BASE DE DATOS'!$A$5:$E$997,5,FALSE)</f>
        <v>894460</v>
      </c>
      <c r="G2628" s="104">
        <v>0</v>
      </c>
      <c r="H2628" s="252">
        <f t="shared" si="243"/>
        <v>894460</v>
      </c>
    </row>
    <row r="2629" spans="1:9" x14ac:dyDescent="0.2">
      <c r="A2629" s="785" t="s">
        <v>2555</v>
      </c>
      <c r="B2629" s="241" t="s">
        <v>644</v>
      </c>
      <c r="C2629" s="3" t="s">
        <v>645</v>
      </c>
      <c r="D2629" s="2" t="s">
        <v>585</v>
      </c>
      <c r="E2629" s="114">
        <v>1</v>
      </c>
      <c r="F2629" s="23">
        <f>VLOOKUP(B2629,'BASE DE DATOS'!$A$5:$E$997,5,FALSE)</f>
        <v>248302</v>
      </c>
      <c r="G2629" s="104">
        <f>1/4.7</f>
        <v>0.21276595744680851</v>
      </c>
      <c r="H2629" s="252">
        <f t="shared" si="243"/>
        <v>52830.212765957447</v>
      </c>
      <c r="I2629" s="736"/>
    </row>
    <row r="2630" spans="1:9" x14ac:dyDescent="0.2">
      <c r="A2630" s="937" t="s">
        <v>293</v>
      </c>
      <c r="B2630" s="241" t="s">
        <v>350</v>
      </c>
      <c r="C2630" s="495" t="s">
        <v>2668</v>
      </c>
      <c r="D2630" s="219" t="s">
        <v>614</v>
      </c>
      <c r="E2630" s="114">
        <v>0.13200000000000001</v>
      </c>
      <c r="F2630" s="220">
        <f>VLOOKUP(B2630,'BASE DE DATOS'!$A$5:$E$997,5,FALSE)</f>
        <v>8714</v>
      </c>
      <c r="G2630" s="187">
        <v>0</v>
      </c>
      <c r="H2630" s="252">
        <f t="shared" si="243"/>
        <v>1150.248</v>
      </c>
    </row>
    <row r="2631" spans="1:9" ht="13.5" thickBot="1" x14ac:dyDescent="0.25">
      <c r="A2631" s="938"/>
      <c r="B2631" s="528" t="s">
        <v>269</v>
      </c>
      <c r="C2631" s="88" t="s">
        <v>284</v>
      </c>
      <c r="D2631" s="89" t="s">
        <v>586</v>
      </c>
      <c r="E2631" s="193">
        <v>0.36</v>
      </c>
      <c r="F2631" s="90">
        <f>H2629</f>
        <v>52830.212765957447</v>
      </c>
      <c r="G2631" s="153">
        <v>0</v>
      </c>
      <c r="H2631" s="255">
        <f t="shared" si="243"/>
        <v>19018.876595744681</v>
      </c>
    </row>
    <row r="2632" spans="1:9" s="42" customFormat="1" ht="17.25" x14ac:dyDescent="0.2">
      <c r="A2632" s="67" t="s">
        <v>4004</v>
      </c>
      <c r="B2632" s="529"/>
      <c r="C2632" s="388" t="s">
        <v>2750</v>
      </c>
      <c r="D2632" s="389" t="s">
        <v>3251</v>
      </c>
      <c r="E2632" s="395"/>
      <c r="F2632" s="391">
        <f>ROUND(SUM(H2632:H2636),0)</f>
        <v>117600</v>
      </c>
      <c r="G2632" s="392"/>
      <c r="H2632" s="393"/>
      <c r="I2632" s="738"/>
    </row>
    <row r="2633" spans="1:9" x14ac:dyDescent="0.2">
      <c r="A2633" s="936" t="s">
        <v>382</v>
      </c>
      <c r="B2633" s="241" t="s">
        <v>1750</v>
      </c>
      <c r="C2633" s="3" t="s">
        <v>197</v>
      </c>
      <c r="D2633" s="2" t="s">
        <v>405</v>
      </c>
      <c r="E2633" s="114">
        <v>0.8</v>
      </c>
      <c r="F2633" s="23">
        <f>VLOOKUP(B2633,'BASE DE DATOS'!$A$5:$E$997,5,FALSE)</f>
        <v>79.666666666666671</v>
      </c>
      <c r="G2633" s="104">
        <v>0</v>
      </c>
      <c r="H2633" s="252">
        <f>IF(G2633&gt;0,(G2633*F2633*E2633),(F2633*E2633))</f>
        <v>63.733333333333341</v>
      </c>
    </row>
    <row r="2634" spans="1:9" ht="14.25" x14ac:dyDescent="0.2">
      <c r="A2634" s="936"/>
      <c r="B2634" s="241" t="s">
        <v>1696</v>
      </c>
      <c r="C2634" s="3" t="s">
        <v>2750</v>
      </c>
      <c r="D2634" s="2" t="s">
        <v>288</v>
      </c>
      <c r="E2634" s="114">
        <v>1</v>
      </c>
      <c r="F2634" s="23">
        <f>VLOOKUP(B2634,'BASE DE DATOS'!$A$5:$E$997,5,FALSE)</f>
        <v>101000</v>
      </c>
      <c r="G2634" s="104">
        <v>1.03</v>
      </c>
      <c r="H2634" s="252">
        <f t="shared" si="230"/>
        <v>104030</v>
      </c>
    </row>
    <row r="2635" spans="1:9" x14ac:dyDescent="0.2">
      <c r="A2635" s="81" t="s">
        <v>2555</v>
      </c>
      <c r="B2635" s="241" t="s">
        <v>599</v>
      </c>
      <c r="C2635" s="3" t="s">
        <v>600</v>
      </c>
      <c r="D2635" s="2" t="s">
        <v>585</v>
      </c>
      <c r="E2635" s="114">
        <v>1</v>
      </c>
      <c r="F2635" s="23">
        <f>VLOOKUP(B2635,'BASE DE DATOS'!$A$5:$E$997,5,FALSE)</f>
        <v>159623</v>
      </c>
      <c r="G2635" s="104">
        <f>1/13</f>
        <v>7.6923076923076927E-2</v>
      </c>
      <c r="H2635" s="252">
        <f t="shared" si="230"/>
        <v>12278.692307692309</v>
      </c>
    </row>
    <row r="2636" spans="1:9" ht="13.5" thickBot="1" x14ac:dyDescent="0.25">
      <c r="A2636" s="84" t="s">
        <v>293</v>
      </c>
      <c r="B2636" s="528" t="s">
        <v>269</v>
      </c>
      <c r="C2636" s="108" t="s">
        <v>284</v>
      </c>
      <c r="D2636" s="109" t="s">
        <v>586</v>
      </c>
      <c r="E2636" s="200">
        <v>0.1</v>
      </c>
      <c r="F2636" s="110">
        <f>H2635</f>
        <v>12278.692307692309</v>
      </c>
      <c r="G2636" s="156">
        <v>0</v>
      </c>
      <c r="H2636" s="479">
        <f t="shared" si="230"/>
        <v>1227.8692307692309</v>
      </c>
    </row>
    <row r="2637" spans="1:9" s="42" customFormat="1" ht="17.25" x14ac:dyDescent="0.2">
      <c r="A2637" s="48" t="s">
        <v>4005</v>
      </c>
      <c r="B2637" s="529"/>
      <c r="C2637" s="388" t="s">
        <v>3874</v>
      </c>
      <c r="D2637" s="389" t="s">
        <v>3251</v>
      </c>
      <c r="E2637" s="395"/>
      <c r="F2637" s="391">
        <f>ROUND(SUM(H2637:H2642),0)</f>
        <v>148500</v>
      </c>
      <c r="G2637" s="392"/>
      <c r="H2637" s="393"/>
      <c r="I2637" s="738"/>
    </row>
    <row r="2638" spans="1:9" ht="14.25" x14ac:dyDescent="0.2">
      <c r="A2638" s="936" t="s">
        <v>382</v>
      </c>
      <c r="B2638" s="241" t="s">
        <v>1695</v>
      </c>
      <c r="C2638" s="3" t="s">
        <v>3900</v>
      </c>
      <c r="D2638" s="2" t="s">
        <v>288</v>
      </c>
      <c r="E2638" s="114">
        <v>1</v>
      </c>
      <c r="F2638" s="23">
        <f>VLOOKUP(B2638,'BASE DE DATOS'!$A$5:$E$997,5,FALSE)</f>
        <v>30000</v>
      </c>
      <c r="G2638" s="104">
        <v>1.03</v>
      </c>
      <c r="H2638" s="252">
        <f>IF(G2638&gt;0,(G2638*F2638*E2638),(F2638*E2638))</f>
        <v>30900</v>
      </c>
    </row>
    <row r="2639" spans="1:9" x14ac:dyDescent="0.2">
      <c r="A2639" s="936"/>
      <c r="B2639" s="241" t="s">
        <v>1750</v>
      </c>
      <c r="C2639" s="3" t="s">
        <v>197</v>
      </c>
      <c r="D2639" s="2" t="s">
        <v>405</v>
      </c>
      <c r="E2639" s="114">
        <v>0.8</v>
      </c>
      <c r="F2639" s="23">
        <f>VLOOKUP(B2639,'BASE DE DATOS'!$A$5:$E$997,5,FALSE)</f>
        <v>79.666666666666671</v>
      </c>
      <c r="G2639" s="104">
        <v>0</v>
      </c>
      <c r="H2639" s="252">
        <f>IF(G2639&gt;0,(G2639*F2639*E2639),(F2639*E2639))</f>
        <v>63.733333333333341</v>
      </c>
    </row>
    <row r="2640" spans="1:9" ht="14.25" x14ac:dyDescent="0.2">
      <c r="A2640" s="936"/>
      <c r="B2640" s="241" t="s">
        <v>1696</v>
      </c>
      <c r="C2640" s="3" t="s">
        <v>2750</v>
      </c>
      <c r="D2640" s="2" t="s">
        <v>288</v>
      </c>
      <c r="E2640" s="114">
        <v>1</v>
      </c>
      <c r="F2640" s="23">
        <f>VLOOKUP(B2640,'BASE DE DATOS'!$A$5:$E$997,5,FALSE)</f>
        <v>101000</v>
      </c>
      <c r="G2640" s="104">
        <v>1.03</v>
      </c>
      <c r="H2640" s="252">
        <f t="shared" ref="H2640" si="244">IF(G2640&gt;0,(G2640*F2640*E2640),(F2640*E2640))</f>
        <v>104030</v>
      </c>
    </row>
    <row r="2641" spans="1:9" x14ac:dyDescent="0.2">
      <c r="A2641" s="81" t="s">
        <v>2555</v>
      </c>
      <c r="B2641" s="241" t="s">
        <v>599</v>
      </c>
      <c r="C2641" s="3" t="s">
        <v>600</v>
      </c>
      <c r="D2641" s="2" t="s">
        <v>585</v>
      </c>
      <c r="E2641" s="114">
        <v>1</v>
      </c>
      <c r="F2641" s="23">
        <f>VLOOKUP(B2641,'BASE DE DATOS'!$A$5:$E$997,5,FALSE)</f>
        <v>159623</v>
      </c>
      <c r="G2641" s="104">
        <f>1/13</f>
        <v>7.6923076923076927E-2</v>
      </c>
      <c r="H2641" s="252">
        <f t="shared" si="230"/>
        <v>12278.692307692309</v>
      </c>
    </row>
    <row r="2642" spans="1:9" ht="13.5" thickBot="1" x14ac:dyDescent="0.25">
      <c r="A2642" s="84" t="s">
        <v>293</v>
      </c>
      <c r="B2642" s="528" t="s">
        <v>269</v>
      </c>
      <c r="C2642" s="108" t="s">
        <v>284</v>
      </c>
      <c r="D2642" s="109" t="s">
        <v>586</v>
      </c>
      <c r="E2642" s="200">
        <v>0.1</v>
      </c>
      <c r="F2642" s="110">
        <f>H2641</f>
        <v>12278.692307692309</v>
      </c>
      <c r="G2642" s="156">
        <v>0</v>
      </c>
      <c r="H2642" s="479">
        <f t="shared" si="230"/>
        <v>1227.8692307692309</v>
      </c>
    </row>
    <row r="2643" spans="1:9" s="42" customFormat="1" ht="17.25" x14ac:dyDescent="0.2">
      <c r="A2643" s="48" t="s">
        <v>4006</v>
      </c>
      <c r="B2643" s="529"/>
      <c r="C2643" s="388" t="s">
        <v>3971</v>
      </c>
      <c r="D2643" s="389" t="s">
        <v>3251</v>
      </c>
      <c r="E2643" s="395"/>
      <c r="F2643" s="391">
        <f>ROUND(SUM(H2643:H2647),0)</f>
        <v>41098</v>
      </c>
      <c r="G2643" s="392"/>
      <c r="H2643" s="393"/>
      <c r="I2643" s="738">
        <v>42</v>
      </c>
    </row>
    <row r="2644" spans="1:9" ht="14.25" x14ac:dyDescent="0.2">
      <c r="A2644" s="784" t="s">
        <v>382</v>
      </c>
      <c r="B2644" s="241" t="s">
        <v>1695</v>
      </c>
      <c r="C2644" s="3" t="s">
        <v>3900</v>
      </c>
      <c r="D2644" s="2" t="s">
        <v>288</v>
      </c>
      <c r="E2644" s="114">
        <v>1</v>
      </c>
      <c r="F2644" s="23">
        <f>VLOOKUP(B2644,'BASE DE DATOS'!$A$5:$E$997,5,FALSE)</f>
        <v>30000</v>
      </c>
      <c r="G2644" s="104">
        <v>1.03</v>
      </c>
      <c r="H2644" s="252">
        <f>IF(G2644&gt;0,(G2644*F2644*E2644),(F2644*E2644))</f>
        <v>30900</v>
      </c>
    </row>
    <row r="2645" spans="1:9" x14ac:dyDescent="0.2">
      <c r="A2645" s="785" t="s">
        <v>2555</v>
      </c>
      <c r="B2645" s="241" t="s">
        <v>599</v>
      </c>
      <c r="C2645" s="3" t="s">
        <v>600</v>
      </c>
      <c r="D2645" s="2" t="s">
        <v>585</v>
      </c>
      <c r="E2645" s="114">
        <v>1</v>
      </c>
      <c r="F2645" s="23">
        <f>VLOOKUP(B2645,'BASE DE DATOS'!$A$5:$E$997,5,FALSE)</f>
        <v>159623</v>
      </c>
      <c r="G2645" s="104">
        <f>1/18</f>
        <v>5.5555555555555552E-2</v>
      </c>
      <c r="H2645" s="252">
        <f t="shared" ref="H2645:H2647" si="245">IF(G2645&gt;0,(G2645*F2645*E2645),(F2645*E2645))</f>
        <v>8867.9444444444434</v>
      </c>
    </row>
    <row r="2646" spans="1:9" x14ac:dyDescent="0.2">
      <c r="A2646" s="937" t="s">
        <v>293</v>
      </c>
      <c r="B2646" s="241" t="s">
        <v>598</v>
      </c>
      <c r="C2646" s="218" t="s">
        <v>3362</v>
      </c>
      <c r="D2646" s="219" t="s">
        <v>586</v>
      </c>
      <c r="E2646" s="114">
        <v>0.1</v>
      </c>
      <c r="F2646" s="220">
        <f>H2645</f>
        <v>8867.9444444444434</v>
      </c>
      <c r="G2646" s="187">
        <v>0</v>
      </c>
      <c r="H2646" s="252">
        <f>IF(G2646&gt;0,(G2646*F2646*E2646),(F2646*E2646))</f>
        <v>886.79444444444437</v>
      </c>
    </row>
    <row r="2647" spans="1:9" ht="13.5" thickBot="1" x14ac:dyDescent="0.25">
      <c r="A2647" s="937"/>
      <c r="B2647" s="528" t="s">
        <v>269</v>
      </c>
      <c r="C2647" s="108" t="s">
        <v>284</v>
      </c>
      <c r="D2647" s="109" t="s">
        <v>586</v>
      </c>
      <c r="E2647" s="200">
        <v>0.05</v>
      </c>
      <c r="F2647" s="110">
        <f>H2645</f>
        <v>8867.9444444444434</v>
      </c>
      <c r="G2647" s="156">
        <v>0</v>
      </c>
      <c r="H2647" s="479">
        <f t="shared" si="245"/>
        <v>443.39722222222218</v>
      </c>
    </row>
    <row r="2648" spans="1:9" ht="15.75" thickBot="1" x14ac:dyDescent="0.25">
      <c r="A2648" s="1010" t="s">
        <v>2223</v>
      </c>
      <c r="B2648" s="1010"/>
      <c r="C2648" s="1010"/>
      <c r="D2648" s="1010"/>
      <c r="E2648" s="1010"/>
      <c r="F2648" s="1011"/>
      <c r="G2648" s="1010"/>
      <c r="H2648" s="1012"/>
    </row>
    <row r="2649" spans="1:9" ht="45.75" thickBot="1" x14ac:dyDescent="0.25">
      <c r="A2649" s="72" t="s">
        <v>2044</v>
      </c>
      <c r="B2649" s="72" t="s">
        <v>265</v>
      </c>
      <c r="C2649" s="72" t="s">
        <v>402</v>
      </c>
      <c r="D2649" s="354" t="s">
        <v>346</v>
      </c>
      <c r="E2649" s="192" t="s">
        <v>2173</v>
      </c>
      <c r="F2649" s="162" t="s">
        <v>3165</v>
      </c>
      <c r="G2649" s="290" t="s">
        <v>281</v>
      </c>
      <c r="H2649" s="74" t="s">
        <v>3164</v>
      </c>
    </row>
    <row r="2650" spans="1:9" s="42" customFormat="1" ht="45" x14ac:dyDescent="0.2">
      <c r="A2650" s="67" t="s">
        <v>943</v>
      </c>
      <c r="B2650" s="527"/>
      <c r="C2650" s="388" t="s">
        <v>2064</v>
      </c>
      <c r="D2650" s="389" t="s">
        <v>411</v>
      </c>
      <c r="E2650" s="395"/>
      <c r="F2650" s="391">
        <f>ROUND(SUM(H2650:H2662),0)</f>
        <v>548727</v>
      </c>
      <c r="G2650" s="392"/>
      <c r="H2650" s="393"/>
      <c r="I2650" s="738"/>
    </row>
    <row r="2651" spans="1:9" x14ac:dyDescent="0.2">
      <c r="A2651" s="939" t="s">
        <v>295</v>
      </c>
      <c r="B2651" s="241" t="s">
        <v>1298</v>
      </c>
      <c r="C2651" s="3" t="s">
        <v>181</v>
      </c>
      <c r="D2651" s="2" t="s">
        <v>642</v>
      </c>
      <c r="E2651" s="114">
        <v>0.22</v>
      </c>
      <c r="F2651" s="23">
        <f>VLOOKUP(B2651,'BASE DE DATOS'!$A$5:$E$997,5,FALSE)</f>
        <v>109900</v>
      </c>
      <c r="G2651" s="104">
        <v>1.03</v>
      </c>
      <c r="H2651" s="252">
        <f>IF(G2651&gt;0,(G2651*F2651*E2651),(F2651*E2651))</f>
        <v>24903.34</v>
      </c>
    </row>
    <row r="2652" spans="1:9" x14ac:dyDescent="0.2">
      <c r="A2652" s="939"/>
      <c r="B2652" s="241" t="s">
        <v>1879</v>
      </c>
      <c r="C2652" s="3" t="s">
        <v>2804</v>
      </c>
      <c r="D2652" s="2" t="s">
        <v>411</v>
      </c>
      <c r="E2652" s="114">
        <v>3</v>
      </c>
      <c r="F2652" s="23">
        <f>VLOOKUP(B2652,'BASE DE DATOS'!$A$5:$E$997,5,FALSE)</f>
        <v>9450</v>
      </c>
      <c r="G2652" s="104">
        <v>0</v>
      </c>
      <c r="H2652" s="252">
        <f>IF(G2652&gt;0,(G2652*F2652*E2652),(F2652*E2652))</f>
        <v>28350</v>
      </c>
    </row>
    <row r="2653" spans="1:9" ht="25.5" x14ac:dyDescent="0.2">
      <c r="A2653" s="939"/>
      <c r="B2653" s="241" t="s">
        <v>1332</v>
      </c>
      <c r="C2653" s="3" t="s">
        <v>3833</v>
      </c>
      <c r="D2653" s="2" t="s">
        <v>411</v>
      </c>
      <c r="E2653" s="114">
        <v>1</v>
      </c>
      <c r="F2653" s="23">
        <f>VLOOKUP(B2653,'BASE DE DATOS'!$A$5:$E$997,5,FALSE)</f>
        <v>66900</v>
      </c>
      <c r="G2653" s="104">
        <v>0</v>
      </c>
      <c r="H2653" s="252">
        <f>IF(G2653&gt;0,(G2653*F2653*E2653),(F2653*E2653))</f>
        <v>66900</v>
      </c>
    </row>
    <row r="2654" spans="1:9" x14ac:dyDescent="0.2">
      <c r="A2654" s="939"/>
      <c r="B2654" s="241" t="s">
        <v>1480</v>
      </c>
      <c r="C2654" s="3" t="s">
        <v>3857</v>
      </c>
      <c r="D2654" s="2" t="s">
        <v>411</v>
      </c>
      <c r="E2654" s="114">
        <v>1</v>
      </c>
      <c r="F2654" s="23">
        <f>VLOOKUP(B2654,'BASE DE DATOS'!$A$5:$E$997,5,FALSE)</f>
        <v>17900</v>
      </c>
      <c r="G2654" s="104">
        <v>0</v>
      </c>
      <c r="H2654" s="252">
        <f>IF(G2654&gt;0,(G2654*F2654*E2654),(F2654*E2654))</f>
        <v>17900</v>
      </c>
    </row>
    <row r="2655" spans="1:9" ht="26.45" customHeight="1" x14ac:dyDescent="0.2">
      <c r="A2655" s="939"/>
      <c r="B2655" s="241" t="s">
        <v>1484</v>
      </c>
      <c r="C2655" s="218" t="s">
        <v>365</v>
      </c>
      <c r="D2655" s="136" t="s">
        <v>411</v>
      </c>
      <c r="E2655" s="196">
        <v>1</v>
      </c>
      <c r="F2655" s="23">
        <f>VLOOKUP(B2655,'BASE DE DATOS'!$A$5:$E$997,5,FALSE)</f>
        <v>105189.882</v>
      </c>
      <c r="G2655" s="104">
        <v>0</v>
      </c>
      <c r="H2655" s="252">
        <f t="shared" ref="H2655:H2689" si="246">IF(G2655&gt;0,(G2655*F2655*E2655),(F2655*E2655))</f>
        <v>105189.882</v>
      </c>
    </row>
    <row r="2656" spans="1:9" x14ac:dyDescent="0.2">
      <c r="A2656" s="939"/>
      <c r="B2656" s="241" t="s">
        <v>1752</v>
      </c>
      <c r="C2656" s="3" t="s">
        <v>362</v>
      </c>
      <c r="D2656" s="2" t="s">
        <v>411</v>
      </c>
      <c r="E2656" s="114">
        <v>1</v>
      </c>
      <c r="F2656" s="23">
        <f>VLOOKUP(B2656,'BASE DE DATOS'!$A$5:$E$997,5,FALSE)</f>
        <v>131900</v>
      </c>
      <c r="G2656" s="104">
        <v>0</v>
      </c>
      <c r="H2656" s="252">
        <f t="shared" si="246"/>
        <v>131900</v>
      </c>
    </row>
    <row r="2657" spans="1:9" x14ac:dyDescent="0.2">
      <c r="A2657" s="939"/>
      <c r="B2657" s="241" t="s">
        <v>1523</v>
      </c>
      <c r="C2657" s="3" t="s">
        <v>643</v>
      </c>
      <c r="D2657" s="2" t="s">
        <v>642</v>
      </c>
      <c r="E2657" s="114">
        <v>4.5999999999999999E-2</v>
      </c>
      <c r="F2657" s="23">
        <f>VLOOKUP(B2657,'BASE DE DATOS'!$A$5:$E$997,5,FALSE)</f>
        <v>108900</v>
      </c>
      <c r="G2657" s="104">
        <v>1.03</v>
      </c>
      <c r="H2657" s="252">
        <f>IF(G2657&gt;0,(G2657*F2657*E2657),(F2657*E2657))</f>
        <v>5159.6819999999998</v>
      </c>
    </row>
    <row r="2658" spans="1:9" x14ac:dyDescent="0.2">
      <c r="A2658" s="939"/>
      <c r="B2658" s="241" t="s">
        <v>1589</v>
      </c>
      <c r="C2658" s="3" t="s">
        <v>190</v>
      </c>
      <c r="D2658" s="2" t="s">
        <v>642</v>
      </c>
      <c r="E2658" s="114">
        <v>4.5999999999999999E-2</v>
      </c>
      <c r="F2658" s="23">
        <f>VLOOKUP(B2658,'BASE DE DATOS'!$A$5:$E$997,5,FALSE)</f>
        <v>108900</v>
      </c>
      <c r="G2658" s="104">
        <v>1.03</v>
      </c>
      <c r="H2658" s="252">
        <f t="shared" si="246"/>
        <v>5159.6819999999998</v>
      </c>
    </row>
    <row r="2659" spans="1:9" x14ac:dyDescent="0.2">
      <c r="A2659" s="939"/>
      <c r="B2659" s="241" t="s">
        <v>1753</v>
      </c>
      <c r="C2659" s="3" t="s">
        <v>192</v>
      </c>
      <c r="D2659" s="2" t="s">
        <v>411</v>
      </c>
      <c r="E2659" s="114">
        <v>1</v>
      </c>
      <c r="F2659" s="23">
        <f>VLOOKUP(B2659,'BASE DE DATOS'!$A$5:$E$997,5,FALSE)</f>
        <v>6900</v>
      </c>
      <c r="G2659" s="104">
        <v>0</v>
      </c>
      <c r="H2659" s="252">
        <f t="shared" si="246"/>
        <v>6900</v>
      </c>
    </row>
    <row r="2660" spans="1:9" ht="14.25" x14ac:dyDescent="0.2">
      <c r="A2660" s="64" t="s">
        <v>3252</v>
      </c>
      <c r="B2660" s="241" t="s">
        <v>811</v>
      </c>
      <c r="C2660" s="3" t="s">
        <v>2098</v>
      </c>
      <c r="D2660" s="2" t="s">
        <v>285</v>
      </c>
      <c r="E2660" s="114">
        <v>0.04</v>
      </c>
      <c r="F2660" s="23">
        <f>F96</f>
        <v>471394</v>
      </c>
      <c r="G2660" s="104">
        <v>1.05</v>
      </c>
      <c r="H2660" s="252">
        <f t="shared" si="246"/>
        <v>19798.548000000003</v>
      </c>
    </row>
    <row r="2661" spans="1:9" x14ac:dyDescent="0.2">
      <c r="A2661" s="81" t="s">
        <v>2555</v>
      </c>
      <c r="B2661" s="241" t="s">
        <v>644</v>
      </c>
      <c r="C2661" s="3" t="s">
        <v>645</v>
      </c>
      <c r="D2661" s="2" t="s">
        <v>585</v>
      </c>
      <c r="E2661" s="114">
        <v>1</v>
      </c>
      <c r="F2661" s="23">
        <f>VLOOKUP(B2661,'BASE DE DATOS'!$A$5:$E$997,5,FALSE)</f>
        <v>248302</v>
      </c>
      <c r="G2661" s="104">
        <f>1/2</f>
        <v>0.5</v>
      </c>
      <c r="H2661" s="252">
        <f t="shared" si="246"/>
        <v>124151</v>
      </c>
    </row>
    <row r="2662" spans="1:9" ht="13.5" thickBot="1" x14ac:dyDescent="0.25">
      <c r="A2662" s="94" t="s">
        <v>293</v>
      </c>
      <c r="B2662" s="528" t="s">
        <v>269</v>
      </c>
      <c r="C2662" s="108" t="s">
        <v>284</v>
      </c>
      <c r="D2662" s="109" t="s">
        <v>586</v>
      </c>
      <c r="E2662" s="200">
        <v>0.1</v>
      </c>
      <c r="F2662" s="110">
        <f>H2661</f>
        <v>124151</v>
      </c>
      <c r="G2662" s="156">
        <v>0</v>
      </c>
      <c r="H2662" s="479">
        <f t="shared" si="246"/>
        <v>12415.1</v>
      </c>
    </row>
    <row r="2663" spans="1:9" s="42" customFormat="1" ht="30" x14ac:dyDescent="0.2">
      <c r="A2663" s="67" t="s">
        <v>944</v>
      </c>
      <c r="B2663" s="529"/>
      <c r="C2663" s="388" t="s">
        <v>372</v>
      </c>
      <c r="D2663" s="389" t="s">
        <v>411</v>
      </c>
      <c r="E2663" s="395"/>
      <c r="F2663" s="391">
        <f>ROUND(SUM(H2663:H2668),0)</f>
        <v>180434</v>
      </c>
      <c r="G2663" s="392"/>
      <c r="H2663" s="393"/>
      <c r="I2663" s="738"/>
    </row>
    <row r="2664" spans="1:9" x14ac:dyDescent="0.2">
      <c r="A2664" s="936" t="s">
        <v>382</v>
      </c>
      <c r="B2664" s="241" t="s">
        <v>1298</v>
      </c>
      <c r="C2664" s="3" t="s">
        <v>181</v>
      </c>
      <c r="D2664" s="2" t="s">
        <v>642</v>
      </c>
      <c r="E2664" s="114">
        <v>0.22</v>
      </c>
      <c r="F2664" s="23">
        <f>VLOOKUP(B2664,'BASE DE DATOS'!$A$5:$E$997,5,FALSE)</f>
        <v>109900</v>
      </c>
      <c r="G2664" s="104">
        <v>1.03</v>
      </c>
      <c r="H2664" s="252">
        <f t="shared" si="246"/>
        <v>24903.34</v>
      </c>
    </row>
    <row r="2665" spans="1:9" s="33" customFormat="1" x14ac:dyDescent="0.2">
      <c r="A2665" s="936"/>
      <c r="B2665" s="241" t="s">
        <v>1523</v>
      </c>
      <c r="C2665" s="3" t="s">
        <v>643</v>
      </c>
      <c r="D2665" s="2" t="s">
        <v>642</v>
      </c>
      <c r="E2665" s="114">
        <v>4.5999999999999999E-2</v>
      </c>
      <c r="F2665" s="23">
        <f>VLOOKUP(B2665,'BASE DE DATOS'!$A$5:$E$997,5,FALSE)</f>
        <v>108900</v>
      </c>
      <c r="G2665" s="104">
        <v>1.03</v>
      </c>
      <c r="H2665" s="252">
        <f t="shared" si="246"/>
        <v>5159.6819999999998</v>
      </c>
    </row>
    <row r="2666" spans="1:9" ht="14.25" x14ac:dyDescent="0.2">
      <c r="A2666" s="64" t="s">
        <v>3252</v>
      </c>
      <c r="B2666" s="241" t="s">
        <v>810</v>
      </c>
      <c r="C2666" s="3" t="s">
        <v>2097</v>
      </c>
      <c r="D2666" s="2" t="s">
        <v>285</v>
      </c>
      <c r="E2666" s="114">
        <v>2.5000000000000001E-2</v>
      </c>
      <c r="F2666" s="23">
        <f>F90</f>
        <v>525897</v>
      </c>
      <c r="G2666" s="104">
        <v>1.05</v>
      </c>
      <c r="H2666" s="252">
        <f t="shared" si="246"/>
        <v>13804.796249999999</v>
      </c>
    </row>
    <row r="2667" spans="1:9" x14ac:dyDescent="0.2">
      <c r="A2667" s="81" t="s">
        <v>2555</v>
      </c>
      <c r="B2667" s="241" t="s">
        <v>644</v>
      </c>
      <c r="C2667" s="3" t="s">
        <v>645</v>
      </c>
      <c r="D2667" s="2" t="s">
        <v>585</v>
      </c>
      <c r="E2667" s="114">
        <v>1</v>
      </c>
      <c r="F2667" s="23">
        <f>VLOOKUP(B2667,'BASE DE DATOS'!$A$5:$E$997,5,FALSE)</f>
        <v>248302</v>
      </c>
      <c r="G2667" s="104">
        <f>1/2</f>
        <v>0.5</v>
      </c>
      <c r="H2667" s="252">
        <f t="shared" si="246"/>
        <v>124151</v>
      </c>
    </row>
    <row r="2668" spans="1:9" ht="13.5" thickBot="1" x14ac:dyDescent="0.25">
      <c r="A2668" s="94" t="s">
        <v>293</v>
      </c>
      <c r="B2668" s="528" t="s">
        <v>269</v>
      </c>
      <c r="C2668" s="108" t="s">
        <v>284</v>
      </c>
      <c r="D2668" s="109" t="s">
        <v>586</v>
      </c>
      <c r="E2668" s="200">
        <v>0.1</v>
      </c>
      <c r="F2668" s="110">
        <f>H2667</f>
        <v>124151</v>
      </c>
      <c r="G2668" s="156">
        <v>0</v>
      </c>
      <c r="H2668" s="479">
        <f t="shared" si="246"/>
        <v>12415.1</v>
      </c>
    </row>
    <row r="2669" spans="1:9" s="42" customFormat="1" ht="30" x14ac:dyDescent="0.2">
      <c r="A2669" s="67" t="s">
        <v>945</v>
      </c>
      <c r="B2669" s="529"/>
      <c r="C2669" s="388" t="s">
        <v>373</v>
      </c>
      <c r="D2669" s="389" t="s">
        <v>411</v>
      </c>
      <c r="E2669" s="395"/>
      <c r="F2669" s="391">
        <f>ROUND(SUM(H2669:H2675),0)</f>
        <v>285624</v>
      </c>
      <c r="G2669" s="392"/>
      <c r="H2669" s="393"/>
      <c r="I2669" s="738"/>
    </row>
    <row r="2670" spans="1:9" x14ac:dyDescent="0.2">
      <c r="A2670" s="936" t="s">
        <v>382</v>
      </c>
      <c r="B2670" s="241" t="s">
        <v>1298</v>
      </c>
      <c r="C2670" s="3" t="s">
        <v>181</v>
      </c>
      <c r="D2670" s="2" t="s">
        <v>642</v>
      </c>
      <c r="E2670" s="114">
        <v>0.22</v>
      </c>
      <c r="F2670" s="23">
        <f>VLOOKUP(B2670,'BASE DE DATOS'!$A$5:$E$997,5,FALSE)</f>
        <v>109900</v>
      </c>
      <c r="G2670" s="104">
        <v>1.03</v>
      </c>
      <c r="H2670" s="252">
        <f>IF(G2670&gt;0,(G2670*F2670*E2670),(F2670*E2670))</f>
        <v>24903.34</v>
      </c>
    </row>
    <row r="2671" spans="1:9" x14ac:dyDescent="0.2">
      <c r="A2671" s="936"/>
      <c r="B2671" s="241" t="s">
        <v>1484</v>
      </c>
      <c r="C2671" s="218" t="s">
        <v>365</v>
      </c>
      <c r="D2671" s="136" t="s">
        <v>411</v>
      </c>
      <c r="E2671" s="196">
        <v>1</v>
      </c>
      <c r="F2671" s="23">
        <f>VLOOKUP(B2671,'BASE DE DATOS'!$A$5:$E$997,5,FALSE)</f>
        <v>105189.882</v>
      </c>
      <c r="G2671" s="104">
        <v>0</v>
      </c>
      <c r="H2671" s="252">
        <f t="shared" si="246"/>
        <v>105189.882</v>
      </c>
    </row>
    <row r="2672" spans="1:9" x14ac:dyDescent="0.2">
      <c r="A2672" s="936"/>
      <c r="B2672" s="241" t="s">
        <v>1523</v>
      </c>
      <c r="C2672" s="3" t="s">
        <v>643</v>
      </c>
      <c r="D2672" s="2" t="s">
        <v>642</v>
      </c>
      <c r="E2672" s="114">
        <v>4.5999999999999999E-2</v>
      </c>
      <c r="F2672" s="23">
        <f>VLOOKUP(B2672,'BASE DE DATOS'!$A$5:$E$997,5,FALSE)</f>
        <v>108900</v>
      </c>
      <c r="G2672" s="104">
        <v>1.03</v>
      </c>
      <c r="H2672" s="252">
        <f t="shared" si="246"/>
        <v>5159.6819999999998</v>
      </c>
    </row>
    <row r="2673" spans="1:9" ht="14.25" x14ac:dyDescent="0.2">
      <c r="A2673" s="64" t="s">
        <v>3252</v>
      </c>
      <c r="B2673" s="241" t="s">
        <v>810</v>
      </c>
      <c r="C2673" s="3" t="s">
        <v>2097</v>
      </c>
      <c r="D2673" s="2" t="s">
        <v>285</v>
      </c>
      <c r="E2673" s="114">
        <v>2.5000000000000001E-2</v>
      </c>
      <c r="F2673" s="23">
        <f>F90</f>
        <v>525897</v>
      </c>
      <c r="G2673" s="104">
        <v>1.05</v>
      </c>
      <c r="H2673" s="252">
        <f t="shared" si="246"/>
        <v>13804.796249999999</v>
      </c>
    </row>
    <row r="2674" spans="1:9" x14ac:dyDescent="0.2">
      <c r="A2674" s="81" t="s">
        <v>2555</v>
      </c>
      <c r="B2674" s="241" t="s">
        <v>644</v>
      </c>
      <c r="C2674" s="3" t="s">
        <v>645</v>
      </c>
      <c r="D2674" s="2" t="s">
        <v>585</v>
      </c>
      <c r="E2674" s="114">
        <v>1</v>
      </c>
      <c r="F2674" s="23">
        <f>VLOOKUP(B2674,'BASE DE DATOS'!$A$5:$E$997,5,FALSE)</f>
        <v>248302</v>
      </c>
      <c r="G2674" s="104">
        <f>1/2</f>
        <v>0.5</v>
      </c>
      <c r="H2674" s="252">
        <f t="shared" si="246"/>
        <v>124151</v>
      </c>
    </row>
    <row r="2675" spans="1:9" s="33" customFormat="1" ht="13.5" thickBot="1" x14ac:dyDescent="0.25">
      <c r="A2675" s="94" t="s">
        <v>293</v>
      </c>
      <c r="B2675" s="528" t="s">
        <v>269</v>
      </c>
      <c r="C2675" s="108" t="s">
        <v>284</v>
      </c>
      <c r="D2675" s="109" t="s">
        <v>586</v>
      </c>
      <c r="E2675" s="200">
        <v>0.1</v>
      </c>
      <c r="F2675" s="110">
        <f>H2674</f>
        <v>124151</v>
      </c>
      <c r="G2675" s="156">
        <v>0</v>
      </c>
      <c r="H2675" s="479">
        <f t="shared" si="246"/>
        <v>12415.1</v>
      </c>
    </row>
    <row r="2676" spans="1:9" s="42" customFormat="1" ht="15" x14ac:dyDescent="0.2">
      <c r="A2676" s="67" t="s">
        <v>946</v>
      </c>
      <c r="B2676" s="529"/>
      <c r="C2676" s="388" t="s">
        <v>475</v>
      </c>
      <c r="D2676" s="389" t="s">
        <v>411</v>
      </c>
      <c r="E2676" s="395"/>
      <c r="F2676" s="391">
        <f>ROUND(SUM(H2676:H2681),0)</f>
        <v>3528666</v>
      </c>
      <c r="G2676" s="392"/>
      <c r="H2676" s="393"/>
      <c r="I2676" s="738"/>
    </row>
    <row r="2677" spans="1:9" x14ac:dyDescent="0.2">
      <c r="A2677" s="82" t="s">
        <v>382</v>
      </c>
      <c r="B2677" s="241" t="s">
        <v>1437</v>
      </c>
      <c r="C2677" s="3" t="s">
        <v>213</v>
      </c>
      <c r="D2677" s="2" t="s">
        <v>411</v>
      </c>
      <c r="E2677" s="114">
        <v>1</v>
      </c>
      <c r="F2677" s="23">
        <f>VLOOKUP(B2677,'BASE DE DATOS'!$A$5:$E$997,5,FALSE)</f>
        <v>2963525</v>
      </c>
      <c r="G2677" s="104">
        <v>0</v>
      </c>
      <c r="H2677" s="252">
        <f t="shared" si="246"/>
        <v>2963525</v>
      </c>
    </row>
    <row r="2678" spans="1:9" ht="14.25" x14ac:dyDescent="0.2">
      <c r="A2678" s="946" t="s">
        <v>3252</v>
      </c>
      <c r="B2678" s="241" t="s">
        <v>766</v>
      </c>
      <c r="C2678" s="3" t="s">
        <v>133</v>
      </c>
      <c r="D2678" s="2" t="s">
        <v>285</v>
      </c>
      <c r="E2678" s="114">
        <v>0.2</v>
      </c>
      <c r="F2678" s="23">
        <f>F472</f>
        <v>43205</v>
      </c>
      <c r="G2678" s="104">
        <v>0</v>
      </c>
      <c r="H2678" s="252">
        <f t="shared" si="246"/>
        <v>8641</v>
      </c>
    </row>
    <row r="2679" spans="1:9" ht="14.25" x14ac:dyDescent="0.2">
      <c r="A2679" s="946"/>
      <c r="B2679" s="241" t="s">
        <v>799</v>
      </c>
      <c r="C2679" s="3" t="s">
        <v>2089</v>
      </c>
      <c r="D2679" s="2" t="s">
        <v>285</v>
      </c>
      <c r="E2679" s="114">
        <v>0.2</v>
      </c>
      <c r="F2679" s="23">
        <f>F34</f>
        <v>482282</v>
      </c>
      <c r="G2679" s="104">
        <v>1.05</v>
      </c>
      <c r="H2679" s="252">
        <f t="shared" si="246"/>
        <v>101279.22000000002</v>
      </c>
    </row>
    <row r="2680" spans="1:9" x14ac:dyDescent="0.2">
      <c r="A2680" s="81" t="s">
        <v>2555</v>
      </c>
      <c r="B2680" s="241" t="s">
        <v>644</v>
      </c>
      <c r="C2680" s="3" t="s">
        <v>645</v>
      </c>
      <c r="D2680" s="2" t="s">
        <v>585</v>
      </c>
      <c r="E2680" s="114">
        <v>1</v>
      </c>
      <c r="F2680" s="23">
        <f>VLOOKUP(B2680,'BASE DE DATOS'!$A$5:$E$997,5,FALSE)</f>
        <v>248302</v>
      </c>
      <c r="G2680" s="104">
        <f>1/0.6</f>
        <v>1.6666666666666667</v>
      </c>
      <c r="H2680" s="252">
        <f t="shared" si="246"/>
        <v>413836.66666666669</v>
      </c>
    </row>
    <row r="2681" spans="1:9" ht="13.5" thickBot="1" x14ac:dyDescent="0.25">
      <c r="A2681" s="94" t="s">
        <v>293</v>
      </c>
      <c r="B2681" s="528" t="s">
        <v>269</v>
      </c>
      <c r="C2681" s="108" t="s">
        <v>284</v>
      </c>
      <c r="D2681" s="109" t="s">
        <v>586</v>
      </c>
      <c r="E2681" s="200">
        <v>0.1</v>
      </c>
      <c r="F2681" s="110">
        <f>H2680</f>
        <v>413836.66666666669</v>
      </c>
      <c r="G2681" s="156">
        <v>0</v>
      </c>
      <c r="H2681" s="479">
        <f t="shared" si="246"/>
        <v>41383.666666666672</v>
      </c>
    </row>
    <row r="2682" spans="1:9" s="42" customFormat="1" ht="15" x14ac:dyDescent="0.2">
      <c r="A2682" s="67" t="s">
        <v>947</v>
      </c>
      <c r="B2682" s="529"/>
      <c r="C2682" s="388" t="s">
        <v>476</v>
      </c>
      <c r="D2682" s="389" t="s">
        <v>411</v>
      </c>
      <c r="E2682" s="395"/>
      <c r="F2682" s="391">
        <f>ROUND(SUM(H2682:H2687),0)</f>
        <v>6380239</v>
      </c>
      <c r="G2682" s="392"/>
      <c r="H2682" s="393"/>
      <c r="I2682" s="738"/>
    </row>
    <row r="2683" spans="1:9" x14ac:dyDescent="0.2">
      <c r="A2683" s="82" t="s">
        <v>382</v>
      </c>
      <c r="B2683" s="241" t="s">
        <v>1436</v>
      </c>
      <c r="C2683" s="3" t="s">
        <v>214</v>
      </c>
      <c r="D2683" s="2" t="s">
        <v>411</v>
      </c>
      <c r="E2683" s="114">
        <v>1</v>
      </c>
      <c r="F2683" s="23">
        <f>VLOOKUP(B2683,'BASE DE DATOS'!$A$5:$E$997,5,FALSE)</f>
        <v>5909250</v>
      </c>
      <c r="G2683" s="104">
        <v>0</v>
      </c>
      <c r="H2683" s="252">
        <f t="shared" si="246"/>
        <v>5909250</v>
      </c>
    </row>
    <row r="2684" spans="1:9" ht="14.25" x14ac:dyDescent="0.2">
      <c r="A2684" s="946" t="s">
        <v>3252</v>
      </c>
      <c r="B2684" s="241" t="s">
        <v>766</v>
      </c>
      <c r="C2684" s="3" t="s">
        <v>133</v>
      </c>
      <c r="D2684" s="2" t="s">
        <v>285</v>
      </c>
      <c r="E2684" s="114">
        <v>0.36</v>
      </c>
      <c r="F2684" s="23">
        <f>F472</f>
        <v>43205</v>
      </c>
      <c r="G2684" s="104">
        <v>0</v>
      </c>
      <c r="H2684" s="252">
        <f t="shared" si="246"/>
        <v>15553.8</v>
      </c>
    </row>
    <row r="2685" spans="1:9" ht="14.25" x14ac:dyDescent="0.2">
      <c r="A2685" s="946"/>
      <c r="B2685" s="241" t="s">
        <v>799</v>
      </c>
      <c r="C2685" s="3" t="s">
        <v>2089</v>
      </c>
      <c r="D2685" s="2" t="s">
        <v>285</v>
      </c>
      <c r="E2685" s="114">
        <v>0.36</v>
      </c>
      <c r="F2685" s="23">
        <f>F34</f>
        <v>482282</v>
      </c>
      <c r="G2685" s="104">
        <v>1.05</v>
      </c>
      <c r="H2685" s="252">
        <f t="shared" si="246"/>
        <v>182302.59600000002</v>
      </c>
    </row>
    <row r="2686" spans="1:9" x14ac:dyDescent="0.2">
      <c r="A2686" s="81" t="s">
        <v>2555</v>
      </c>
      <c r="B2686" s="241" t="s">
        <v>644</v>
      </c>
      <c r="C2686" s="3" t="s">
        <v>645</v>
      </c>
      <c r="D2686" s="2" t="s">
        <v>585</v>
      </c>
      <c r="E2686" s="114">
        <v>1</v>
      </c>
      <c r="F2686" s="23">
        <f>VLOOKUP(B2686,'BASE DE DATOS'!$A$5:$E$997,5,FALSE)</f>
        <v>248302</v>
      </c>
      <c r="G2686" s="104">
        <f>1/1</f>
        <v>1</v>
      </c>
      <c r="H2686" s="252">
        <f t="shared" si="246"/>
        <v>248302</v>
      </c>
    </row>
    <row r="2687" spans="1:9" ht="13.5" thickBot="1" x14ac:dyDescent="0.25">
      <c r="A2687" s="94" t="s">
        <v>293</v>
      </c>
      <c r="B2687" s="528" t="s">
        <v>269</v>
      </c>
      <c r="C2687" s="108" t="s">
        <v>284</v>
      </c>
      <c r="D2687" s="109" t="s">
        <v>586</v>
      </c>
      <c r="E2687" s="200">
        <v>0.1</v>
      </c>
      <c r="F2687" s="110">
        <f>H2686</f>
        <v>248302</v>
      </c>
      <c r="G2687" s="156">
        <v>0</v>
      </c>
      <c r="H2687" s="479">
        <f t="shared" si="246"/>
        <v>24830.2</v>
      </c>
    </row>
    <row r="2688" spans="1:9" s="42" customFormat="1" ht="45" x14ac:dyDescent="0.2">
      <c r="A2688" s="67" t="s">
        <v>948</v>
      </c>
      <c r="B2688" s="529"/>
      <c r="C2688" s="388" t="s">
        <v>3623</v>
      </c>
      <c r="D2688" s="389" t="s">
        <v>411</v>
      </c>
      <c r="E2688" s="395"/>
      <c r="F2688" s="391">
        <f>ROUND(SUM(H2688:H2689),0)</f>
        <v>331370</v>
      </c>
      <c r="G2688" s="392"/>
      <c r="H2688" s="393"/>
      <c r="I2688" s="738">
        <v>6</v>
      </c>
    </row>
    <row r="2689" spans="1:9" ht="26.25" thickBot="1" x14ac:dyDescent="0.25">
      <c r="A2689" s="124" t="s">
        <v>382</v>
      </c>
      <c r="B2689" s="528" t="s">
        <v>1807</v>
      </c>
      <c r="C2689" s="108" t="s">
        <v>3158</v>
      </c>
      <c r="D2689" s="109" t="s">
        <v>411</v>
      </c>
      <c r="E2689" s="200">
        <v>1</v>
      </c>
      <c r="F2689" s="23">
        <f>VLOOKUP(B2689,'BASE DE DATOS'!$A$5:$E$997,5,FALSE)</f>
        <v>331370</v>
      </c>
      <c r="G2689" s="156">
        <v>0</v>
      </c>
      <c r="H2689" s="479">
        <f t="shared" si="246"/>
        <v>331370</v>
      </c>
    </row>
    <row r="2690" spans="1:9" s="42" customFormat="1" ht="15.75" thickBot="1" x14ac:dyDescent="0.25">
      <c r="A2690" s="1009" t="s">
        <v>3370</v>
      </c>
      <c r="B2690" s="981"/>
      <c r="C2690" s="981"/>
      <c r="D2690" s="981"/>
      <c r="E2690" s="981"/>
      <c r="F2690" s="982"/>
      <c r="G2690" s="981"/>
      <c r="H2690" s="983"/>
      <c r="I2690" s="738"/>
    </row>
    <row r="2691" spans="1:9" s="42" customFormat="1" ht="45.75" thickBot="1" x14ac:dyDescent="0.25">
      <c r="A2691" s="354" t="s">
        <v>2044</v>
      </c>
      <c r="B2691" s="354" t="s">
        <v>265</v>
      </c>
      <c r="C2691" s="354" t="s">
        <v>402</v>
      </c>
      <c r="D2691" s="354" t="s">
        <v>346</v>
      </c>
      <c r="E2691" s="192" t="s">
        <v>2173</v>
      </c>
      <c r="F2691" s="162" t="s">
        <v>3165</v>
      </c>
      <c r="G2691" s="290" t="s">
        <v>281</v>
      </c>
      <c r="H2691" s="74" t="s">
        <v>3164</v>
      </c>
      <c r="I2691" s="738"/>
    </row>
    <row r="2692" spans="1:9" s="42" customFormat="1" ht="15" x14ac:dyDescent="0.2">
      <c r="A2692" s="67" t="s">
        <v>949</v>
      </c>
      <c r="B2692" s="571"/>
      <c r="C2692" s="388" t="s">
        <v>539</v>
      </c>
      <c r="D2692" s="389" t="s">
        <v>411</v>
      </c>
      <c r="E2692" s="395"/>
      <c r="F2692" s="391">
        <f>ROUND(SUM(H2692:H2695),0)</f>
        <v>289944</v>
      </c>
      <c r="G2692" s="392"/>
      <c r="H2692" s="393"/>
      <c r="I2692" s="738"/>
    </row>
    <row r="2693" spans="1:9" x14ac:dyDescent="0.2">
      <c r="A2693" s="82" t="s">
        <v>382</v>
      </c>
      <c r="B2693" s="570" t="s">
        <v>1585</v>
      </c>
      <c r="C2693" s="3" t="s">
        <v>188</v>
      </c>
      <c r="D2693" s="2" t="s">
        <v>411</v>
      </c>
      <c r="E2693" s="196">
        <v>1</v>
      </c>
      <c r="F2693" s="23">
        <f>VLOOKUP(B2693,'BASE DE DATOS'!$A$5:$E$997,5,FALSE)</f>
        <v>198900</v>
      </c>
      <c r="G2693" s="104">
        <v>0</v>
      </c>
      <c r="H2693" s="252">
        <f t="shared" ref="H2693:H2736" si="247">IF(G2693&gt;0,(G2693*F2693*E2693),(F2693*E2693))</f>
        <v>198900</v>
      </c>
    </row>
    <row r="2694" spans="1:9" x14ac:dyDescent="0.2">
      <c r="A2694" s="81" t="s">
        <v>2555</v>
      </c>
      <c r="B2694" s="570" t="s">
        <v>644</v>
      </c>
      <c r="C2694" s="3" t="s">
        <v>645</v>
      </c>
      <c r="D2694" s="2" t="s">
        <v>585</v>
      </c>
      <c r="E2694" s="196">
        <v>1</v>
      </c>
      <c r="F2694" s="23">
        <f>VLOOKUP(B2694,'BASE DE DATOS'!$A$5:$E$997,5,FALSE)</f>
        <v>248302</v>
      </c>
      <c r="G2694" s="104">
        <f>1/3</f>
        <v>0.33333333333333331</v>
      </c>
      <c r="H2694" s="252">
        <f t="shared" si="247"/>
        <v>82767.333333333328</v>
      </c>
    </row>
    <row r="2695" spans="1:9" ht="13.5" thickBot="1" x14ac:dyDescent="0.25">
      <c r="A2695" s="94" t="s">
        <v>293</v>
      </c>
      <c r="B2695" s="572" t="s">
        <v>269</v>
      </c>
      <c r="C2695" s="108" t="s">
        <v>284</v>
      </c>
      <c r="D2695" s="109" t="s">
        <v>586</v>
      </c>
      <c r="E2695" s="203">
        <v>0.1</v>
      </c>
      <c r="F2695" s="110">
        <f>H2694</f>
        <v>82767.333333333328</v>
      </c>
      <c r="G2695" s="156">
        <v>0</v>
      </c>
      <c r="H2695" s="479">
        <f t="shared" si="247"/>
        <v>8276.7333333333336</v>
      </c>
    </row>
    <row r="2696" spans="1:9" s="42" customFormat="1" ht="15" x14ac:dyDescent="0.2">
      <c r="A2696" s="67" t="s">
        <v>950</v>
      </c>
      <c r="B2696" s="571"/>
      <c r="C2696" s="388" t="s">
        <v>540</v>
      </c>
      <c r="D2696" s="389" t="s">
        <v>411</v>
      </c>
      <c r="E2696" s="390"/>
      <c r="F2696" s="391">
        <f>ROUND(SUM(H2696:H2699),0)</f>
        <v>410466</v>
      </c>
      <c r="G2696" s="392"/>
      <c r="H2696" s="393"/>
      <c r="I2696" s="738"/>
    </row>
    <row r="2697" spans="1:9" x14ac:dyDescent="0.2">
      <c r="A2697" s="82" t="s">
        <v>382</v>
      </c>
      <c r="B2697" s="570" t="s">
        <v>1586</v>
      </c>
      <c r="C2697" s="3" t="s">
        <v>184</v>
      </c>
      <c r="D2697" s="2" t="s">
        <v>411</v>
      </c>
      <c r="E2697" s="114">
        <v>1</v>
      </c>
      <c r="F2697" s="23">
        <f>VLOOKUP(B2697,'BASE DE DATOS'!$A$5:$E$997,5,FALSE)</f>
        <v>273900</v>
      </c>
      <c r="G2697" s="104">
        <v>0</v>
      </c>
      <c r="H2697" s="252">
        <f t="shared" si="247"/>
        <v>273900</v>
      </c>
    </row>
    <row r="2698" spans="1:9" x14ac:dyDescent="0.2">
      <c r="A2698" s="81" t="s">
        <v>2555</v>
      </c>
      <c r="B2698" s="570" t="s">
        <v>644</v>
      </c>
      <c r="C2698" s="3" t="s">
        <v>645</v>
      </c>
      <c r="D2698" s="2" t="s">
        <v>585</v>
      </c>
      <c r="E2698" s="114">
        <v>1</v>
      </c>
      <c r="F2698" s="23">
        <f>VLOOKUP(B2698,'BASE DE DATOS'!$A$5:$E$997,5,FALSE)</f>
        <v>248302</v>
      </c>
      <c r="G2698" s="104">
        <f>1/2</f>
        <v>0.5</v>
      </c>
      <c r="H2698" s="252">
        <f t="shared" si="247"/>
        <v>124151</v>
      </c>
    </row>
    <row r="2699" spans="1:9" ht="13.5" thickBot="1" x14ac:dyDescent="0.25">
      <c r="A2699" s="94" t="s">
        <v>293</v>
      </c>
      <c r="B2699" s="572" t="s">
        <v>269</v>
      </c>
      <c r="C2699" s="108" t="s">
        <v>284</v>
      </c>
      <c r="D2699" s="109" t="s">
        <v>586</v>
      </c>
      <c r="E2699" s="200">
        <v>0.1</v>
      </c>
      <c r="F2699" s="110">
        <f>H2698</f>
        <v>124151</v>
      </c>
      <c r="G2699" s="156">
        <v>0</v>
      </c>
      <c r="H2699" s="479">
        <f t="shared" si="247"/>
        <v>12415.1</v>
      </c>
    </row>
    <row r="2700" spans="1:9" s="42" customFormat="1" ht="15" x14ac:dyDescent="0.2">
      <c r="A2700" s="67" t="s">
        <v>951</v>
      </c>
      <c r="B2700" s="571"/>
      <c r="C2700" s="388" t="s">
        <v>538</v>
      </c>
      <c r="D2700" s="389" t="s">
        <v>411</v>
      </c>
      <c r="E2700" s="390"/>
      <c r="F2700" s="391">
        <f>ROUND(SUM(H2700:H2703),0)</f>
        <v>673466</v>
      </c>
      <c r="G2700" s="392"/>
      <c r="H2700" s="393"/>
      <c r="I2700" s="738"/>
    </row>
    <row r="2701" spans="1:9" x14ac:dyDescent="0.2">
      <c r="A2701" s="82" t="s">
        <v>382</v>
      </c>
      <c r="B2701" s="570" t="s">
        <v>1584</v>
      </c>
      <c r="C2701" s="3" t="s">
        <v>183</v>
      </c>
      <c r="D2701" s="2" t="s">
        <v>411</v>
      </c>
      <c r="E2701" s="114">
        <v>1</v>
      </c>
      <c r="F2701" s="23">
        <f>VLOOKUP(B2701,'BASE DE DATOS'!$A$5:$E$997,5,FALSE)</f>
        <v>536900</v>
      </c>
      <c r="G2701" s="104">
        <v>0</v>
      </c>
      <c r="H2701" s="252">
        <f t="shared" si="247"/>
        <v>536900</v>
      </c>
    </row>
    <row r="2702" spans="1:9" x14ac:dyDescent="0.2">
      <c r="A2702" s="81" t="s">
        <v>2555</v>
      </c>
      <c r="B2702" s="570" t="s">
        <v>644</v>
      </c>
      <c r="C2702" s="3" t="s">
        <v>645</v>
      </c>
      <c r="D2702" s="2" t="s">
        <v>585</v>
      </c>
      <c r="E2702" s="114">
        <v>1</v>
      </c>
      <c r="F2702" s="23">
        <f>VLOOKUP(B2702,'BASE DE DATOS'!$A$5:$E$997,5,FALSE)</f>
        <v>248302</v>
      </c>
      <c r="G2702" s="104">
        <v>0.5</v>
      </c>
      <c r="H2702" s="252">
        <f t="shared" si="247"/>
        <v>124151</v>
      </c>
    </row>
    <row r="2703" spans="1:9" ht="13.5" thickBot="1" x14ac:dyDescent="0.25">
      <c r="A2703" s="94" t="s">
        <v>293</v>
      </c>
      <c r="B2703" s="572" t="s">
        <v>269</v>
      </c>
      <c r="C2703" s="108" t="s">
        <v>284</v>
      </c>
      <c r="D2703" s="109" t="s">
        <v>586</v>
      </c>
      <c r="E2703" s="200">
        <v>0.1</v>
      </c>
      <c r="F2703" s="110">
        <f>H2702</f>
        <v>124151</v>
      </c>
      <c r="G2703" s="156">
        <v>0</v>
      </c>
      <c r="H2703" s="479">
        <f t="shared" si="247"/>
        <v>12415.1</v>
      </c>
    </row>
    <row r="2704" spans="1:9" s="42" customFormat="1" ht="15" x14ac:dyDescent="0.2">
      <c r="A2704" s="67" t="s">
        <v>952</v>
      </c>
      <c r="B2704" s="571"/>
      <c r="C2704" s="388" t="s">
        <v>480</v>
      </c>
      <c r="D2704" s="389" t="s">
        <v>411</v>
      </c>
      <c r="E2704" s="395"/>
      <c r="F2704" s="391">
        <f>ROUND(SUM(H2704:H2710),0)</f>
        <v>322272</v>
      </c>
      <c r="G2704" s="392"/>
      <c r="H2704" s="393"/>
      <c r="I2704" s="738"/>
    </row>
    <row r="2705" spans="1:9" x14ac:dyDescent="0.2">
      <c r="A2705" s="936" t="s">
        <v>382</v>
      </c>
      <c r="B2705" s="570" t="s">
        <v>1776</v>
      </c>
      <c r="C2705" s="44" t="s">
        <v>3795</v>
      </c>
      <c r="D2705" s="2" t="s">
        <v>411</v>
      </c>
      <c r="E2705" s="114">
        <v>2</v>
      </c>
      <c r="F2705" s="23">
        <f>VLOOKUP(B2705,'BASE DE DATOS'!$A$5:$E$997,5,FALSE)</f>
        <v>14900</v>
      </c>
      <c r="G2705" s="104">
        <v>0</v>
      </c>
      <c r="H2705" s="252">
        <f>IF(G2705&gt;0,(G2705*F2705*E2705),(F2705*E2705))</f>
        <v>29800</v>
      </c>
    </row>
    <row r="2706" spans="1:9" x14ac:dyDescent="0.2">
      <c r="A2706" s="936"/>
      <c r="B2706" s="570" t="s">
        <v>1318</v>
      </c>
      <c r="C2706" s="3" t="s">
        <v>677</v>
      </c>
      <c r="D2706" s="2" t="s">
        <v>406</v>
      </c>
      <c r="E2706" s="114">
        <v>0.5</v>
      </c>
      <c r="F2706" s="23">
        <f>VLOOKUP(B2706,'BASE DE DATOS'!$A$5:$E$997,5,FALSE)</f>
        <v>1675</v>
      </c>
      <c r="G2706" s="104">
        <v>1.05</v>
      </c>
      <c r="H2706" s="252">
        <f t="shared" si="247"/>
        <v>879.375</v>
      </c>
    </row>
    <row r="2707" spans="1:9" x14ac:dyDescent="0.2">
      <c r="A2707" s="936"/>
      <c r="B2707" s="570" t="s">
        <v>1414</v>
      </c>
      <c r="C2707" s="44" t="s">
        <v>3849</v>
      </c>
      <c r="D2707" s="2" t="s">
        <v>411</v>
      </c>
      <c r="E2707" s="114">
        <v>1</v>
      </c>
      <c r="F2707" s="23">
        <f>VLOOKUP(B2707,'BASE DE DATOS'!$A$5:$E$997,5,FALSE)</f>
        <v>63900</v>
      </c>
      <c r="G2707" s="104">
        <v>0</v>
      </c>
      <c r="H2707" s="252">
        <f>IF(G2707&gt;0,(G2707*F2707*E2707),(F2707*E2707))</f>
        <v>63900</v>
      </c>
    </row>
    <row r="2708" spans="1:9" x14ac:dyDescent="0.2">
      <c r="A2708" s="936"/>
      <c r="B2708" s="570" t="s">
        <v>1455</v>
      </c>
      <c r="C2708" s="3" t="s">
        <v>2728</v>
      </c>
      <c r="D2708" s="2" t="s">
        <v>411</v>
      </c>
      <c r="E2708" s="114">
        <v>1</v>
      </c>
      <c r="F2708" s="23">
        <f>VLOOKUP(B2708,'BASE DE DATOS'!$A$5:$E$997,5,FALSE)</f>
        <v>139900</v>
      </c>
      <c r="G2708" s="104">
        <v>0</v>
      </c>
      <c r="H2708" s="252">
        <f t="shared" si="247"/>
        <v>139900</v>
      </c>
    </row>
    <row r="2709" spans="1:9" x14ac:dyDescent="0.2">
      <c r="A2709" s="81" t="s">
        <v>2555</v>
      </c>
      <c r="B2709" s="570" t="s">
        <v>599</v>
      </c>
      <c r="C2709" s="3" t="s">
        <v>600</v>
      </c>
      <c r="D2709" s="2" t="s">
        <v>585</v>
      </c>
      <c r="E2709" s="114">
        <v>1</v>
      </c>
      <c r="F2709" s="23">
        <f>VLOOKUP(B2709,'BASE DE DATOS'!$A$5:$E$997,5,FALSE)</f>
        <v>159623</v>
      </c>
      <c r="G2709" s="104">
        <f>1/2</f>
        <v>0.5</v>
      </c>
      <c r="H2709" s="252">
        <f t="shared" si="247"/>
        <v>79811.5</v>
      </c>
    </row>
    <row r="2710" spans="1:9" ht="13.5" thickBot="1" x14ac:dyDescent="0.25">
      <c r="A2710" s="94" t="s">
        <v>293</v>
      </c>
      <c r="B2710" s="572" t="s">
        <v>269</v>
      </c>
      <c r="C2710" s="108" t="s">
        <v>284</v>
      </c>
      <c r="D2710" s="109" t="s">
        <v>586</v>
      </c>
      <c r="E2710" s="200">
        <v>0.1</v>
      </c>
      <c r="F2710" s="110">
        <f>H2709</f>
        <v>79811.5</v>
      </c>
      <c r="G2710" s="156">
        <v>0</v>
      </c>
      <c r="H2710" s="479">
        <f t="shared" si="247"/>
        <v>7981.1500000000005</v>
      </c>
    </row>
    <row r="2711" spans="1:9" s="42" customFormat="1" ht="15" x14ac:dyDescent="0.2">
      <c r="A2711" s="67" t="s">
        <v>953</v>
      </c>
      <c r="B2711" s="571"/>
      <c r="C2711" s="388" t="s">
        <v>2067</v>
      </c>
      <c r="D2711" s="389" t="s">
        <v>411</v>
      </c>
      <c r="E2711" s="390"/>
      <c r="F2711" s="391">
        <f>ROUND(SUM(H2711:H2717),0)</f>
        <v>251320</v>
      </c>
      <c r="G2711" s="392"/>
      <c r="H2711" s="393"/>
      <c r="I2711" s="738"/>
    </row>
    <row r="2712" spans="1:9" x14ac:dyDescent="0.2">
      <c r="A2712" s="936" t="s">
        <v>382</v>
      </c>
      <c r="B2712" s="570" t="s">
        <v>1776</v>
      </c>
      <c r="C2712" s="44" t="s">
        <v>3795</v>
      </c>
      <c r="D2712" s="2" t="s">
        <v>411</v>
      </c>
      <c r="E2712" s="114">
        <v>2</v>
      </c>
      <c r="F2712" s="23">
        <f>VLOOKUP(B2712,'BASE DE DATOS'!$A$5:$E$997,5,FALSE)</f>
        <v>14900</v>
      </c>
      <c r="G2712" s="104">
        <v>0</v>
      </c>
      <c r="H2712" s="252">
        <f>IF(G2712&gt;0,(G2712*F2712*E2712),(F2712*E2712))</f>
        <v>29800</v>
      </c>
    </row>
    <row r="2713" spans="1:9" x14ac:dyDescent="0.2">
      <c r="A2713" s="936"/>
      <c r="B2713" s="570" t="s">
        <v>1318</v>
      </c>
      <c r="C2713" s="3" t="s">
        <v>677</v>
      </c>
      <c r="D2713" s="2" t="s">
        <v>406</v>
      </c>
      <c r="E2713" s="114">
        <v>0.3</v>
      </c>
      <c r="F2713" s="23">
        <f>VLOOKUP(B2713,'BASE DE DATOS'!$A$5:$E$997,5,FALSE)</f>
        <v>1675</v>
      </c>
      <c r="G2713" s="104">
        <v>1.05</v>
      </c>
      <c r="H2713" s="252">
        <f>IF(G2713&gt;0,(G2713*F2713*E2713),(F2713*E2713))</f>
        <v>527.625</v>
      </c>
    </row>
    <row r="2714" spans="1:9" x14ac:dyDescent="0.2">
      <c r="A2714" s="936"/>
      <c r="B2714" s="570" t="s">
        <v>1413</v>
      </c>
      <c r="C2714" s="44" t="s">
        <v>1941</v>
      </c>
      <c r="D2714" s="2" t="s">
        <v>411</v>
      </c>
      <c r="E2714" s="114">
        <v>1</v>
      </c>
      <c r="F2714" s="23">
        <f>VLOOKUP(B2714,'BASE DE DATOS'!$A$5:$E$997,5,FALSE)</f>
        <v>45300</v>
      </c>
      <c r="G2714" s="104">
        <v>0</v>
      </c>
      <c r="H2714" s="252">
        <f>IF(G2714&gt;0,(G2714*F2714*E2714),(F2714*E2714))</f>
        <v>45300</v>
      </c>
    </row>
    <row r="2715" spans="1:9" x14ac:dyDescent="0.2">
      <c r="A2715" s="936"/>
      <c r="B2715" s="570" t="s">
        <v>1456</v>
      </c>
      <c r="C2715" s="3" t="s">
        <v>3846</v>
      </c>
      <c r="D2715" s="2" t="s">
        <v>411</v>
      </c>
      <c r="E2715" s="114">
        <v>1</v>
      </c>
      <c r="F2715" s="23">
        <f>VLOOKUP(B2715,'BASE DE DATOS'!$A$5:$E$997,5,FALSE)</f>
        <v>87900</v>
      </c>
      <c r="G2715" s="104">
        <v>0</v>
      </c>
      <c r="H2715" s="252">
        <f t="shared" si="247"/>
        <v>87900</v>
      </c>
    </row>
    <row r="2716" spans="1:9" x14ac:dyDescent="0.2">
      <c r="A2716" s="81" t="s">
        <v>2555</v>
      </c>
      <c r="B2716" s="570" t="s">
        <v>599</v>
      </c>
      <c r="C2716" s="3" t="s">
        <v>600</v>
      </c>
      <c r="D2716" s="2" t="s">
        <v>585</v>
      </c>
      <c r="E2716" s="114">
        <v>1</v>
      </c>
      <c r="F2716" s="23">
        <f>VLOOKUP(B2716,'BASE DE DATOS'!$A$5:$E$997,5,FALSE)</f>
        <v>159623</v>
      </c>
      <c r="G2716" s="104">
        <f>1/2</f>
        <v>0.5</v>
      </c>
      <c r="H2716" s="252">
        <f t="shared" si="247"/>
        <v>79811.5</v>
      </c>
    </row>
    <row r="2717" spans="1:9" ht="13.5" thickBot="1" x14ac:dyDescent="0.25">
      <c r="A2717" s="94" t="s">
        <v>293</v>
      </c>
      <c r="B2717" s="572" t="s">
        <v>269</v>
      </c>
      <c r="C2717" s="108" t="s">
        <v>284</v>
      </c>
      <c r="D2717" s="109" t="s">
        <v>586</v>
      </c>
      <c r="E2717" s="200">
        <v>0.1</v>
      </c>
      <c r="F2717" s="110">
        <f>H2716</f>
        <v>79811.5</v>
      </c>
      <c r="G2717" s="156">
        <v>0</v>
      </c>
      <c r="H2717" s="479">
        <f t="shared" si="247"/>
        <v>7981.1500000000005</v>
      </c>
    </row>
    <row r="2718" spans="1:9" s="42" customFormat="1" ht="15" x14ac:dyDescent="0.2">
      <c r="A2718" s="67" t="s">
        <v>954</v>
      </c>
      <c r="B2718" s="571"/>
      <c r="C2718" s="388" t="s">
        <v>1943</v>
      </c>
      <c r="D2718" s="389" t="s">
        <v>411</v>
      </c>
      <c r="E2718" s="395"/>
      <c r="F2718" s="391">
        <f>ROUND(SUM(H2718:H2724),0)</f>
        <v>306572</v>
      </c>
      <c r="G2718" s="392"/>
      <c r="H2718" s="393"/>
      <c r="I2718" s="738"/>
    </row>
    <row r="2719" spans="1:9" x14ac:dyDescent="0.2">
      <c r="A2719" s="936" t="s">
        <v>382</v>
      </c>
      <c r="B2719" s="570" t="s">
        <v>1776</v>
      </c>
      <c r="C2719" s="44" t="s">
        <v>3795</v>
      </c>
      <c r="D2719" s="2" t="s">
        <v>411</v>
      </c>
      <c r="E2719" s="114">
        <v>2</v>
      </c>
      <c r="F2719" s="23">
        <f>VLOOKUP(B2719,'BASE DE DATOS'!$A$5:$E$997,5,FALSE)</f>
        <v>14900</v>
      </c>
      <c r="G2719" s="104">
        <v>0</v>
      </c>
      <c r="H2719" s="252">
        <f>IF(G2719&gt;0,(G2719*F2719*E2719),(F2719*E2719))</f>
        <v>29800</v>
      </c>
    </row>
    <row r="2720" spans="1:9" x14ac:dyDescent="0.2">
      <c r="A2720" s="936"/>
      <c r="B2720" s="570" t="s">
        <v>1318</v>
      </c>
      <c r="C2720" s="3" t="s">
        <v>677</v>
      </c>
      <c r="D2720" s="2" t="s">
        <v>406</v>
      </c>
      <c r="E2720" s="114">
        <v>0.5</v>
      </c>
      <c r="F2720" s="23">
        <f>VLOOKUP(B2720,'BASE DE DATOS'!$A$5:$E$997,5,FALSE)</f>
        <v>1675</v>
      </c>
      <c r="G2720" s="104">
        <v>1.05</v>
      </c>
      <c r="H2720" s="252">
        <f t="shared" si="247"/>
        <v>879.375</v>
      </c>
    </row>
    <row r="2721" spans="1:9" x14ac:dyDescent="0.2">
      <c r="A2721" s="936"/>
      <c r="B2721" s="570" t="s">
        <v>1413</v>
      </c>
      <c r="C2721" s="44" t="s">
        <v>1941</v>
      </c>
      <c r="D2721" s="2" t="s">
        <v>411</v>
      </c>
      <c r="E2721" s="114">
        <v>1</v>
      </c>
      <c r="F2721" s="23">
        <f>VLOOKUP(B2721,'BASE DE DATOS'!$A$5:$E$997,5,FALSE)</f>
        <v>45300</v>
      </c>
      <c r="G2721" s="104">
        <v>0</v>
      </c>
      <c r="H2721" s="252">
        <f t="shared" si="247"/>
        <v>45300</v>
      </c>
    </row>
    <row r="2722" spans="1:9" x14ac:dyDescent="0.2">
      <c r="A2722" s="936"/>
      <c r="B2722" s="570" t="s">
        <v>1453</v>
      </c>
      <c r="C2722" s="44" t="s">
        <v>2727</v>
      </c>
      <c r="D2722" s="2" t="s">
        <v>411</v>
      </c>
      <c r="E2722" s="114">
        <v>1</v>
      </c>
      <c r="F2722" s="23">
        <f>VLOOKUP(B2722,'BASE DE DATOS'!$A$5:$E$997,5,FALSE)</f>
        <v>142800</v>
      </c>
      <c r="G2722" s="104">
        <v>0</v>
      </c>
      <c r="H2722" s="252">
        <f t="shared" si="247"/>
        <v>142800</v>
      </c>
    </row>
    <row r="2723" spans="1:9" x14ac:dyDescent="0.2">
      <c r="A2723" s="81" t="s">
        <v>2555</v>
      </c>
      <c r="B2723" s="570" t="s">
        <v>599</v>
      </c>
      <c r="C2723" s="3" t="s">
        <v>600</v>
      </c>
      <c r="D2723" s="2" t="s">
        <v>585</v>
      </c>
      <c r="E2723" s="114">
        <v>1</v>
      </c>
      <c r="F2723" s="23">
        <f>VLOOKUP(B2723,'BASE DE DATOS'!$A$5:$E$997,5,FALSE)</f>
        <v>159623</v>
      </c>
      <c r="G2723" s="104">
        <f>1/2</f>
        <v>0.5</v>
      </c>
      <c r="H2723" s="252">
        <f t="shared" si="247"/>
        <v>79811.5</v>
      </c>
    </row>
    <row r="2724" spans="1:9" ht="13.5" thickBot="1" x14ac:dyDescent="0.25">
      <c r="A2724" s="94" t="s">
        <v>293</v>
      </c>
      <c r="B2724" s="572" t="s">
        <v>269</v>
      </c>
      <c r="C2724" s="108" t="s">
        <v>284</v>
      </c>
      <c r="D2724" s="109" t="s">
        <v>586</v>
      </c>
      <c r="E2724" s="200">
        <v>0.1</v>
      </c>
      <c r="F2724" s="110">
        <f>H2723</f>
        <v>79811.5</v>
      </c>
      <c r="G2724" s="156">
        <v>0</v>
      </c>
      <c r="H2724" s="479">
        <f t="shared" si="247"/>
        <v>7981.1500000000005</v>
      </c>
    </row>
    <row r="2725" spans="1:9" s="42" customFormat="1" ht="15" x14ac:dyDescent="0.2">
      <c r="A2725" s="67" t="s">
        <v>955</v>
      </c>
      <c r="B2725" s="571"/>
      <c r="C2725" s="388" t="s">
        <v>481</v>
      </c>
      <c r="D2725" s="389" t="s">
        <v>411</v>
      </c>
      <c r="E2725" s="395"/>
      <c r="F2725" s="391">
        <f>ROUND(SUM(H2725:H2731),0)</f>
        <v>387951</v>
      </c>
      <c r="G2725" s="392"/>
      <c r="H2725" s="393"/>
      <c r="I2725" s="738"/>
    </row>
    <row r="2726" spans="1:9" x14ac:dyDescent="0.2">
      <c r="A2726" s="936" t="s">
        <v>382</v>
      </c>
      <c r="B2726" s="570" t="s">
        <v>1776</v>
      </c>
      <c r="C2726" s="44" t="s">
        <v>3795</v>
      </c>
      <c r="D2726" s="2" t="s">
        <v>411</v>
      </c>
      <c r="E2726" s="114">
        <v>2</v>
      </c>
      <c r="F2726" s="23">
        <f>VLOOKUP(B2726,'BASE DE DATOS'!$A$5:$E$997,5,FALSE)</f>
        <v>14900</v>
      </c>
      <c r="G2726" s="104">
        <v>0</v>
      </c>
      <c r="H2726" s="252">
        <f>IF(G2726&gt;0,(G2726*F2726*E2726),(F2726*E2726))</f>
        <v>29800</v>
      </c>
    </row>
    <row r="2727" spans="1:9" x14ac:dyDescent="0.2">
      <c r="A2727" s="936"/>
      <c r="B2727" s="570" t="s">
        <v>1413</v>
      </c>
      <c r="C2727" s="44" t="s">
        <v>1942</v>
      </c>
      <c r="D2727" s="2" t="s">
        <v>411</v>
      </c>
      <c r="E2727" s="114">
        <v>1</v>
      </c>
      <c r="F2727" s="23">
        <f>VLOOKUP(B2727,'BASE DE DATOS'!$A$5:$E$997,5,FALSE)</f>
        <v>45300</v>
      </c>
      <c r="G2727" s="104">
        <v>0</v>
      </c>
      <c r="H2727" s="252">
        <f>IF(G2727&gt;0,(G2727*F2727*E2727),(F2727*E2727))</f>
        <v>45300</v>
      </c>
    </row>
    <row r="2728" spans="1:9" x14ac:dyDescent="0.2">
      <c r="A2728" s="936"/>
      <c r="B2728" s="570" t="s">
        <v>1457</v>
      </c>
      <c r="C2728" s="3" t="s">
        <v>3847</v>
      </c>
      <c r="D2728" s="2" t="s">
        <v>411</v>
      </c>
      <c r="E2728" s="114">
        <v>1</v>
      </c>
      <c r="F2728" s="23">
        <f>VLOOKUP(B2728,'BASE DE DATOS'!$A$5:$E$997,5,FALSE)</f>
        <v>224900</v>
      </c>
      <c r="G2728" s="104">
        <v>0</v>
      </c>
      <c r="H2728" s="252">
        <f t="shared" si="247"/>
        <v>224900</v>
      </c>
    </row>
    <row r="2729" spans="1:9" x14ac:dyDescent="0.2">
      <c r="A2729" s="936"/>
      <c r="B2729" s="570" t="s">
        <v>1487</v>
      </c>
      <c r="C2729" s="44" t="s">
        <v>2745</v>
      </c>
      <c r="D2729" s="2" t="s">
        <v>405</v>
      </c>
      <c r="E2729" s="114">
        <f>0.432*4</f>
        <v>1.728</v>
      </c>
      <c r="F2729" s="23">
        <f>VLOOKUP(B2729,'BASE DE DATOS'!$A$5:$E$997,5,FALSE)</f>
        <v>88.928571428571431</v>
      </c>
      <c r="G2729" s="104">
        <v>1.03</v>
      </c>
      <c r="H2729" s="252">
        <f t="shared" ref="H2729" si="248">IF(G2729&gt;0,(G2729*F2729*E2729),(F2729*E2729))</f>
        <v>158.27862857142858</v>
      </c>
    </row>
    <row r="2730" spans="1:9" x14ac:dyDescent="0.2">
      <c r="A2730" s="81" t="s">
        <v>2555</v>
      </c>
      <c r="B2730" s="570" t="s">
        <v>599</v>
      </c>
      <c r="C2730" s="3" t="s">
        <v>600</v>
      </c>
      <c r="D2730" s="2" t="s">
        <v>585</v>
      </c>
      <c r="E2730" s="114">
        <v>1</v>
      </c>
      <c r="F2730" s="23">
        <f>VLOOKUP(B2730,'BASE DE DATOS'!$A$5:$E$997,5,FALSE)</f>
        <v>159623</v>
      </c>
      <c r="G2730" s="104">
        <f>1/2</f>
        <v>0.5</v>
      </c>
      <c r="H2730" s="252">
        <f t="shared" si="247"/>
        <v>79811.5</v>
      </c>
    </row>
    <row r="2731" spans="1:9" ht="13.5" thickBot="1" x14ac:dyDescent="0.25">
      <c r="A2731" s="94" t="s">
        <v>293</v>
      </c>
      <c r="B2731" s="572" t="s">
        <v>269</v>
      </c>
      <c r="C2731" s="108" t="s">
        <v>284</v>
      </c>
      <c r="D2731" s="109" t="s">
        <v>586</v>
      </c>
      <c r="E2731" s="200">
        <v>0.1</v>
      </c>
      <c r="F2731" s="110">
        <f>H2730</f>
        <v>79811.5</v>
      </c>
      <c r="G2731" s="156">
        <v>0</v>
      </c>
      <c r="H2731" s="479">
        <f t="shared" si="247"/>
        <v>7981.1500000000005</v>
      </c>
    </row>
    <row r="2732" spans="1:9" s="42" customFormat="1" ht="15" x14ac:dyDescent="0.2">
      <c r="A2732" s="67" t="s">
        <v>956</v>
      </c>
      <c r="B2732" s="571"/>
      <c r="C2732" s="388" t="s">
        <v>479</v>
      </c>
      <c r="D2732" s="389" t="s">
        <v>411</v>
      </c>
      <c r="E2732" s="390"/>
      <c r="F2732" s="391">
        <f>ROUND(SUM(H2732:H2738),0)</f>
        <v>247320</v>
      </c>
      <c r="G2732" s="392"/>
      <c r="H2732" s="393"/>
      <c r="I2732" s="738"/>
    </row>
    <row r="2733" spans="1:9" x14ac:dyDescent="0.2">
      <c r="A2733" s="936" t="s">
        <v>382</v>
      </c>
      <c r="B2733" s="570" t="s">
        <v>1776</v>
      </c>
      <c r="C2733" s="44" t="s">
        <v>3795</v>
      </c>
      <c r="D2733" s="2" t="s">
        <v>411</v>
      </c>
      <c r="E2733" s="114">
        <v>2</v>
      </c>
      <c r="F2733" s="23">
        <f>VLOOKUP(B2733,'BASE DE DATOS'!$A$5:$E$997,5,FALSE)</f>
        <v>14900</v>
      </c>
      <c r="G2733" s="104">
        <v>0</v>
      </c>
      <c r="H2733" s="252">
        <f>IF(G2733&gt;0,(G2733*F2733*E2733),(F2733*E2733))</f>
        <v>29800</v>
      </c>
    </row>
    <row r="2734" spans="1:9" x14ac:dyDescent="0.2">
      <c r="A2734" s="936"/>
      <c r="B2734" s="570" t="s">
        <v>1318</v>
      </c>
      <c r="C2734" s="3" t="s">
        <v>677</v>
      </c>
      <c r="D2734" s="2" t="s">
        <v>406</v>
      </c>
      <c r="E2734" s="114">
        <v>0.3</v>
      </c>
      <c r="F2734" s="23">
        <f>VLOOKUP(B2734,'BASE DE DATOS'!$A$5:$E$997,5,FALSE)</f>
        <v>1675</v>
      </c>
      <c r="G2734" s="104">
        <v>1.05</v>
      </c>
      <c r="H2734" s="252">
        <f>IF(G2734&gt;0,(G2734*F2734*E2734),(F2734*E2734))</f>
        <v>527.625</v>
      </c>
    </row>
    <row r="2735" spans="1:9" x14ac:dyDescent="0.2">
      <c r="A2735" s="936"/>
      <c r="B2735" s="570" t="s">
        <v>1413</v>
      </c>
      <c r="C2735" s="44" t="s">
        <v>1941</v>
      </c>
      <c r="D2735" s="2" t="s">
        <v>411</v>
      </c>
      <c r="E2735" s="114">
        <v>1</v>
      </c>
      <c r="F2735" s="23">
        <f>VLOOKUP(B2735,'BASE DE DATOS'!$A$5:$E$997,5,FALSE)</f>
        <v>45300</v>
      </c>
      <c r="G2735" s="104">
        <v>0</v>
      </c>
      <c r="H2735" s="252">
        <f>IF(G2735&gt;0,(G2735*F2735*E2735),(F2735*E2735))</f>
        <v>45300</v>
      </c>
    </row>
    <row r="2736" spans="1:9" x14ac:dyDescent="0.2">
      <c r="A2736" s="936"/>
      <c r="B2736" s="570" t="s">
        <v>1452</v>
      </c>
      <c r="C2736" s="3" t="s">
        <v>3843</v>
      </c>
      <c r="D2736" s="2" t="s">
        <v>411</v>
      </c>
      <c r="E2736" s="114">
        <v>1</v>
      </c>
      <c r="F2736" s="23">
        <f>VLOOKUP(B2736,'BASE DE DATOS'!$A$5:$E$997,5,FALSE)</f>
        <v>83900</v>
      </c>
      <c r="G2736" s="104">
        <v>0</v>
      </c>
      <c r="H2736" s="252">
        <f t="shared" si="247"/>
        <v>83900</v>
      </c>
    </row>
    <row r="2737" spans="1:9" x14ac:dyDescent="0.2">
      <c r="A2737" s="81" t="s">
        <v>2555</v>
      </c>
      <c r="B2737" s="570" t="s">
        <v>599</v>
      </c>
      <c r="C2737" s="3" t="s">
        <v>600</v>
      </c>
      <c r="D2737" s="2" t="s">
        <v>585</v>
      </c>
      <c r="E2737" s="114">
        <v>1</v>
      </c>
      <c r="F2737" s="23">
        <f>VLOOKUP(B2737,'BASE DE DATOS'!$A$5:$E$997,5,FALSE)</f>
        <v>159623</v>
      </c>
      <c r="G2737" s="104">
        <f>1/2</f>
        <v>0.5</v>
      </c>
      <c r="H2737" s="252">
        <f t="shared" ref="H2737:H2738" si="249">IF(G2737&gt;0,(G2737*F2737*E2737),(F2737*E2737))</f>
        <v>79811.5</v>
      </c>
    </row>
    <row r="2738" spans="1:9" ht="13.5" thickBot="1" x14ac:dyDescent="0.25">
      <c r="A2738" s="94" t="s">
        <v>293</v>
      </c>
      <c r="B2738" s="572" t="s">
        <v>269</v>
      </c>
      <c r="C2738" s="108" t="s">
        <v>284</v>
      </c>
      <c r="D2738" s="109" t="s">
        <v>586</v>
      </c>
      <c r="E2738" s="200">
        <v>0.1</v>
      </c>
      <c r="F2738" s="110">
        <f>H2737</f>
        <v>79811.5</v>
      </c>
      <c r="G2738" s="156">
        <v>0</v>
      </c>
      <c r="H2738" s="479">
        <f t="shared" si="249"/>
        <v>7981.1500000000005</v>
      </c>
    </row>
    <row r="2739" spans="1:9" s="42" customFormat="1" ht="15" x14ac:dyDescent="0.2">
      <c r="A2739" s="67" t="s">
        <v>957</v>
      </c>
      <c r="B2739" s="571"/>
      <c r="C2739" s="388" t="s">
        <v>99</v>
      </c>
      <c r="D2739" s="389" t="s">
        <v>411</v>
      </c>
      <c r="E2739" s="390"/>
      <c r="F2739" s="391">
        <f>ROUND(SUM(H2739:H2745),0)</f>
        <v>314920</v>
      </c>
      <c r="G2739" s="392"/>
      <c r="H2739" s="393"/>
      <c r="I2739" s="738"/>
    </row>
    <row r="2740" spans="1:9" x14ac:dyDescent="0.2">
      <c r="A2740" s="936" t="s">
        <v>382</v>
      </c>
      <c r="B2740" s="570" t="s">
        <v>1776</v>
      </c>
      <c r="C2740" s="44" t="s">
        <v>3795</v>
      </c>
      <c r="D2740" s="2" t="s">
        <v>411</v>
      </c>
      <c r="E2740" s="114">
        <v>2</v>
      </c>
      <c r="F2740" s="23">
        <f>VLOOKUP(B2740,'BASE DE DATOS'!$A$5:$E$997,5,FALSE)</f>
        <v>14900</v>
      </c>
      <c r="G2740" s="104">
        <v>0</v>
      </c>
      <c r="H2740" s="252">
        <f t="shared" ref="H2740:H2745" si="250">IF(G2740&gt;0,(G2740*F2740*E2740),(F2740*E2740))</f>
        <v>29800</v>
      </c>
    </row>
    <row r="2741" spans="1:9" x14ac:dyDescent="0.2">
      <c r="A2741" s="936"/>
      <c r="B2741" s="570" t="s">
        <v>1318</v>
      </c>
      <c r="C2741" s="3" t="s">
        <v>677</v>
      </c>
      <c r="D2741" s="2" t="s">
        <v>406</v>
      </c>
      <c r="E2741" s="114">
        <v>0.3</v>
      </c>
      <c r="F2741" s="23">
        <f>VLOOKUP(B2741,'BASE DE DATOS'!$A$5:$E$997,5,FALSE)</f>
        <v>1675</v>
      </c>
      <c r="G2741" s="104">
        <v>1.05</v>
      </c>
      <c r="H2741" s="252">
        <f>IF(G2741&gt;0,(G2741*F2741*E2741),(F2741*E2741))</f>
        <v>527.625</v>
      </c>
    </row>
    <row r="2742" spans="1:9" x14ac:dyDescent="0.2">
      <c r="A2742" s="936"/>
      <c r="B2742" s="570" t="s">
        <v>1414</v>
      </c>
      <c r="C2742" s="44" t="s">
        <v>3849</v>
      </c>
      <c r="D2742" s="2" t="s">
        <v>411</v>
      </c>
      <c r="E2742" s="114">
        <v>1</v>
      </c>
      <c r="F2742" s="23">
        <f>VLOOKUP(B2742,'BASE DE DATOS'!$A$5:$E$997,5,FALSE)</f>
        <v>63900</v>
      </c>
      <c r="G2742" s="104">
        <v>0</v>
      </c>
      <c r="H2742" s="252">
        <f t="shared" si="250"/>
        <v>63900</v>
      </c>
    </row>
    <row r="2743" spans="1:9" x14ac:dyDescent="0.2">
      <c r="A2743" s="936"/>
      <c r="B2743" s="570" t="s">
        <v>1454</v>
      </c>
      <c r="C2743" s="3" t="s">
        <v>3140</v>
      </c>
      <c r="D2743" s="2" t="s">
        <v>411</v>
      </c>
      <c r="E2743" s="114">
        <v>1</v>
      </c>
      <c r="F2743" s="23">
        <f>VLOOKUP(B2743,'BASE DE DATOS'!$A$5:$E$997,5,FALSE)</f>
        <v>132900</v>
      </c>
      <c r="G2743" s="104">
        <v>0</v>
      </c>
      <c r="H2743" s="252">
        <f>IF(G2743&gt;0,(G2743*F2743*E2743),(F2743*E2743))</f>
        <v>132900</v>
      </c>
    </row>
    <row r="2744" spans="1:9" x14ac:dyDescent="0.2">
      <c r="A2744" s="81" t="s">
        <v>2555</v>
      </c>
      <c r="B2744" s="570" t="s">
        <v>599</v>
      </c>
      <c r="C2744" s="3" t="s">
        <v>600</v>
      </c>
      <c r="D2744" s="2" t="s">
        <v>585</v>
      </c>
      <c r="E2744" s="114">
        <v>1</v>
      </c>
      <c r="F2744" s="23">
        <f>VLOOKUP(B2744,'BASE DE DATOS'!$A$5:$E$997,5,FALSE)</f>
        <v>159623</v>
      </c>
      <c r="G2744" s="104">
        <f>1/2</f>
        <v>0.5</v>
      </c>
      <c r="H2744" s="252">
        <f t="shared" si="250"/>
        <v>79811.5</v>
      </c>
    </row>
    <row r="2745" spans="1:9" ht="13.5" thickBot="1" x14ac:dyDescent="0.25">
      <c r="A2745" s="94" t="s">
        <v>293</v>
      </c>
      <c r="B2745" s="572" t="s">
        <v>269</v>
      </c>
      <c r="C2745" s="108" t="s">
        <v>284</v>
      </c>
      <c r="D2745" s="109" t="s">
        <v>586</v>
      </c>
      <c r="E2745" s="200">
        <v>0.1</v>
      </c>
      <c r="F2745" s="110">
        <f>H2744</f>
        <v>79811.5</v>
      </c>
      <c r="G2745" s="156">
        <v>0</v>
      </c>
      <c r="H2745" s="479">
        <f t="shared" si="250"/>
        <v>7981.1500000000005</v>
      </c>
    </row>
    <row r="2746" spans="1:9" s="42" customFormat="1" ht="15" x14ac:dyDescent="0.2">
      <c r="A2746" s="67" t="s">
        <v>958</v>
      </c>
      <c r="B2746" s="571"/>
      <c r="C2746" s="388" t="s">
        <v>1978</v>
      </c>
      <c r="D2746" s="389" t="s">
        <v>411</v>
      </c>
      <c r="E2746" s="395"/>
      <c r="F2746" s="391">
        <f>ROUND(SUM(H2746:H2752),0)</f>
        <v>725258</v>
      </c>
      <c r="G2746" s="392"/>
      <c r="H2746" s="393"/>
      <c r="I2746" s="738"/>
    </row>
    <row r="2747" spans="1:9" x14ac:dyDescent="0.2">
      <c r="A2747" s="936" t="s">
        <v>382</v>
      </c>
      <c r="B2747" s="570" t="s">
        <v>1318</v>
      </c>
      <c r="C2747" s="3" t="s">
        <v>677</v>
      </c>
      <c r="D2747" s="2" t="s">
        <v>406</v>
      </c>
      <c r="E2747" s="114">
        <v>0.5</v>
      </c>
      <c r="F2747" s="23">
        <f>VLOOKUP(B2747,'BASE DE DATOS'!$A$5:$E$997,5,FALSE)</f>
        <v>1675</v>
      </c>
      <c r="G2747" s="104">
        <v>1.05</v>
      </c>
      <c r="H2747" s="252">
        <f t="shared" ref="H2747:H2752" si="251">IF(G2747&gt;0,(G2747*F2747*E2747),(F2747*E2747))</f>
        <v>879.375</v>
      </c>
    </row>
    <row r="2748" spans="1:9" x14ac:dyDescent="0.2">
      <c r="A2748" s="936"/>
      <c r="B2748" s="570" t="s">
        <v>1416</v>
      </c>
      <c r="C2748" s="44" t="s">
        <v>1940</v>
      </c>
      <c r="D2748" s="2" t="s">
        <v>411</v>
      </c>
      <c r="E2748" s="114">
        <v>1</v>
      </c>
      <c r="F2748" s="23">
        <f>VLOOKUP(B2748,'BASE DE DATOS'!$A$5:$E$997,5,FALSE)</f>
        <v>354900</v>
      </c>
      <c r="G2748" s="104">
        <v>0</v>
      </c>
      <c r="H2748" s="252">
        <f t="shared" si="251"/>
        <v>354900</v>
      </c>
    </row>
    <row r="2749" spans="1:9" s="33" customFormat="1" x14ac:dyDescent="0.2">
      <c r="A2749" s="936"/>
      <c r="B2749" s="570" t="s">
        <v>1501</v>
      </c>
      <c r="C2749" s="103" t="s">
        <v>3858</v>
      </c>
      <c r="D2749" s="136" t="s">
        <v>411</v>
      </c>
      <c r="E2749" s="114">
        <v>1</v>
      </c>
      <c r="F2749" s="23">
        <f>VLOOKUP(B2749,'BASE DE DATOS'!$A$5:$E$997,5,FALSE)</f>
        <v>4522</v>
      </c>
      <c r="G2749" s="104">
        <v>0</v>
      </c>
      <c r="H2749" s="252">
        <f t="shared" si="251"/>
        <v>4522</v>
      </c>
    </row>
    <row r="2750" spans="1:9" x14ac:dyDescent="0.2">
      <c r="A2750" s="936"/>
      <c r="B2750" s="570" t="s">
        <v>1569</v>
      </c>
      <c r="C2750" s="44" t="s">
        <v>2065</v>
      </c>
      <c r="D2750" s="2" t="s">
        <v>411</v>
      </c>
      <c r="E2750" s="114">
        <v>1</v>
      </c>
      <c r="F2750" s="23">
        <f>VLOOKUP(B2750,'BASE DE DATOS'!$A$5:$E$997,5,FALSE)</f>
        <v>247900</v>
      </c>
      <c r="G2750" s="104">
        <v>0</v>
      </c>
      <c r="H2750" s="252">
        <f t="shared" si="251"/>
        <v>247900</v>
      </c>
    </row>
    <row r="2751" spans="1:9" x14ac:dyDescent="0.2">
      <c r="A2751" s="81" t="s">
        <v>2555</v>
      </c>
      <c r="B2751" s="570" t="s">
        <v>599</v>
      </c>
      <c r="C2751" s="3" t="s">
        <v>600</v>
      </c>
      <c r="D2751" s="2" t="s">
        <v>585</v>
      </c>
      <c r="E2751" s="114">
        <v>1</v>
      </c>
      <c r="F2751" s="23">
        <f>VLOOKUP(B2751,'BASE DE DATOS'!$A$5:$E$997,5,FALSE)</f>
        <v>159623</v>
      </c>
      <c r="G2751" s="104">
        <f>1/1.5</f>
        <v>0.66666666666666663</v>
      </c>
      <c r="H2751" s="252">
        <f t="shared" si="251"/>
        <v>106415.33333333333</v>
      </c>
    </row>
    <row r="2752" spans="1:9" ht="13.5" thickBot="1" x14ac:dyDescent="0.25">
      <c r="A2752" s="94" t="s">
        <v>293</v>
      </c>
      <c r="B2752" s="572" t="s">
        <v>269</v>
      </c>
      <c r="C2752" s="108" t="s">
        <v>284</v>
      </c>
      <c r="D2752" s="109" t="s">
        <v>586</v>
      </c>
      <c r="E2752" s="200">
        <v>0.1</v>
      </c>
      <c r="F2752" s="110">
        <f>H2751</f>
        <v>106415.33333333333</v>
      </c>
      <c r="G2752" s="156">
        <v>0</v>
      </c>
      <c r="H2752" s="479">
        <f t="shared" si="251"/>
        <v>10641.533333333333</v>
      </c>
    </row>
    <row r="2753" spans="1:9" s="407" customFormat="1" ht="15" x14ac:dyDescent="0.2">
      <c r="A2753" s="67" t="s">
        <v>959</v>
      </c>
      <c r="B2753" s="571"/>
      <c r="C2753" s="388" t="s">
        <v>533</v>
      </c>
      <c r="D2753" s="389" t="s">
        <v>411</v>
      </c>
      <c r="E2753" s="395"/>
      <c r="F2753" s="391">
        <f>ROUND(SUM(H2753:H2758),0)</f>
        <v>722872</v>
      </c>
      <c r="G2753" s="392"/>
      <c r="H2753" s="393"/>
      <c r="I2753" s="33"/>
    </row>
    <row r="2754" spans="1:9" x14ac:dyDescent="0.2">
      <c r="A2754" s="936" t="s">
        <v>382</v>
      </c>
      <c r="B2754" s="570" t="s">
        <v>1296</v>
      </c>
      <c r="C2754" s="44" t="s">
        <v>3813</v>
      </c>
      <c r="D2754" s="2" t="s">
        <v>411</v>
      </c>
      <c r="E2754" s="114">
        <v>1</v>
      </c>
      <c r="F2754" s="23">
        <f>VLOOKUP(B2754,'BASE DE DATOS'!$A$5:$E$997,5,FALSE)</f>
        <v>5300</v>
      </c>
      <c r="G2754" s="104">
        <v>0</v>
      </c>
      <c r="H2754" s="252">
        <f>IF(G2754&gt;0,(G2754*F2754*E2754),(F2754*E2754))</f>
        <v>5300</v>
      </c>
    </row>
    <row r="2755" spans="1:9" x14ac:dyDescent="0.2">
      <c r="A2755" s="936"/>
      <c r="B2755" s="570" t="s">
        <v>1318</v>
      </c>
      <c r="C2755" s="3" t="s">
        <v>677</v>
      </c>
      <c r="D2755" s="2" t="s">
        <v>406</v>
      </c>
      <c r="E2755" s="114">
        <v>0.5</v>
      </c>
      <c r="F2755" s="23">
        <f>VLOOKUP(B2755,'BASE DE DATOS'!$A$5:$E$997,5,FALSE)</f>
        <v>1675</v>
      </c>
      <c r="G2755" s="104">
        <v>1.05</v>
      </c>
      <c r="H2755" s="252">
        <f t="shared" ref="H2755:H2758" si="252">IF(G2755&gt;0,(G2755*F2755*E2755),(F2755*E2755))</f>
        <v>879.375</v>
      </c>
    </row>
    <row r="2756" spans="1:9" x14ac:dyDescent="0.2">
      <c r="A2756" s="936"/>
      <c r="B2756" s="570" t="s">
        <v>1568</v>
      </c>
      <c r="C2756" s="3" t="s">
        <v>44</v>
      </c>
      <c r="D2756" s="2" t="s">
        <v>411</v>
      </c>
      <c r="E2756" s="114">
        <v>1</v>
      </c>
      <c r="F2756" s="23">
        <f>VLOOKUP(B2756,'BASE DE DATOS'!$A$5:$E$997,5,FALSE)</f>
        <v>628900</v>
      </c>
      <c r="G2756" s="104">
        <v>0</v>
      </c>
      <c r="H2756" s="252">
        <f t="shared" si="252"/>
        <v>628900</v>
      </c>
    </row>
    <row r="2757" spans="1:9" s="33" customFormat="1" x14ac:dyDescent="0.2">
      <c r="A2757" s="81" t="s">
        <v>2555</v>
      </c>
      <c r="B2757" s="570" t="s">
        <v>599</v>
      </c>
      <c r="C2757" s="3" t="s">
        <v>600</v>
      </c>
      <c r="D2757" s="2" t="s">
        <v>585</v>
      </c>
      <c r="E2757" s="114">
        <v>1</v>
      </c>
      <c r="F2757" s="23">
        <f>VLOOKUP(B2757,'BASE DE DATOS'!$A$5:$E$997,5,FALSE)</f>
        <v>159623</v>
      </c>
      <c r="G2757" s="104">
        <f>1/2</f>
        <v>0.5</v>
      </c>
      <c r="H2757" s="252">
        <f t="shared" si="252"/>
        <v>79811.5</v>
      </c>
    </row>
    <row r="2758" spans="1:9" ht="13.5" thickBot="1" x14ac:dyDescent="0.25">
      <c r="A2758" s="94" t="s">
        <v>293</v>
      </c>
      <c r="B2758" s="572" t="s">
        <v>269</v>
      </c>
      <c r="C2758" s="108" t="s">
        <v>284</v>
      </c>
      <c r="D2758" s="109" t="s">
        <v>586</v>
      </c>
      <c r="E2758" s="200">
        <v>0.1</v>
      </c>
      <c r="F2758" s="110">
        <f>H2757</f>
        <v>79811.5</v>
      </c>
      <c r="G2758" s="156">
        <v>0</v>
      </c>
      <c r="H2758" s="479">
        <f t="shared" si="252"/>
        <v>7981.1500000000005</v>
      </c>
    </row>
    <row r="2759" spans="1:9" s="42" customFormat="1" ht="30" x14ac:dyDescent="0.2">
      <c r="A2759" s="67" t="s">
        <v>960</v>
      </c>
      <c r="B2759" s="571"/>
      <c r="C2759" s="388" t="s">
        <v>3755</v>
      </c>
      <c r="D2759" s="389" t="s">
        <v>411</v>
      </c>
      <c r="E2759" s="395"/>
      <c r="F2759" s="391">
        <f>ROUND(SUM(H2759:H2764),0)</f>
        <v>1423072</v>
      </c>
      <c r="G2759" s="392"/>
      <c r="H2759" s="393"/>
      <c r="I2759" s="738"/>
    </row>
    <row r="2760" spans="1:9" x14ac:dyDescent="0.2">
      <c r="A2760" s="936" t="s">
        <v>382</v>
      </c>
      <c r="B2760" s="570" t="s">
        <v>1318</v>
      </c>
      <c r="C2760" s="3" t="s">
        <v>677</v>
      </c>
      <c r="D2760" s="2" t="s">
        <v>406</v>
      </c>
      <c r="E2760" s="114">
        <v>0.5</v>
      </c>
      <c r="F2760" s="23">
        <f>VLOOKUP(B2760,'BASE DE DATOS'!$A$5:$E$997,5,FALSE)</f>
        <v>1675</v>
      </c>
      <c r="G2760" s="104">
        <v>1.05</v>
      </c>
      <c r="H2760" s="252">
        <f t="shared" ref="H2760:H2764" si="253">IF(G2760&gt;0,(G2760*F2760*E2760),(F2760*E2760))</f>
        <v>879.375</v>
      </c>
    </row>
    <row r="2761" spans="1:9" x14ac:dyDescent="0.2">
      <c r="A2761" s="936"/>
      <c r="B2761" s="570" t="s">
        <v>1373</v>
      </c>
      <c r="C2761" s="44" t="s">
        <v>2719</v>
      </c>
      <c r="D2761" s="2" t="s">
        <v>411</v>
      </c>
      <c r="E2761" s="114">
        <v>1</v>
      </c>
      <c r="F2761" s="23">
        <f>VLOOKUP(B2761,'BASE DE DATOS'!$A$5:$E$997,5,FALSE)</f>
        <v>1089400</v>
      </c>
      <c r="G2761" s="104">
        <v>0</v>
      </c>
      <c r="H2761" s="252">
        <f t="shared" si="253"/>
        <v>1089400</v>
      </c>
    </row>
    <row r="2762" spans="1:9" x14ac:dyDescent="0.2">
      <c r="A2762" s="936"/>
      <c r="B2762" s="570" t="s">
        <v>1902</v>
      </c>
      <c r="C2762" s="44" t="s">
        <v>1970</v>
      </c>
      <c r="D2762" s="2" t="s">
        <v>411</v>
      </c>
      <c r="E2762" s="114">
        <v>1</v>
      </c>
      <c r="F2762" s="23">
        <f>VLOOKUP(B2762,'BASE DE DATOS'!$A$5:$E$997,5,FALSE)</f>
        <v>245000</v>
      </c>
      <c r="G2762" s="104">
        <v>0</v>
      </c>
      <c r="H2762" s="252">
        <f t="shared" si="253"/>
        <v>245000</v>
      </c>
    </row>
    <row r="2763" spans="1:9" x14ac:dyDescent="0.2">
      <c r="A2763" s="81" t="s">
        <v>2555</v>
      </c>
      <c r="B2763" s="570" t="s">
        <v>599</v>
      </c>
      <c r="C2763" s="3" t="s">
        <v>600</v>
      </c>
      <c r="D2763" s="2" t="s">
        <v>585</v>
      </c>
      <c r="E2763" s="114">
        <v>1</v>
      </c>
      <c r="F2763" s="23">
        <f>VLOOKUP(B2763,'BASE DE DATOS'!$A$5:$E$997,5,FALSE)</f>
        <v>159623</v>
      </c>
      <c r="G2763" s="104">
        <f>1/2</f>
        <v>0.5</v>
      </c>
      <c r="H2763" s="252">
        <f t="shared" si="253"/>
        <v>79811.5</v>
      </c>
    </row>
    <row r="2764" spans="1:9" ht="13.5" thickBot="1" x14ac:dyDescent="0.25">
      <c r="A2764" s="94" t="s">
        <v>293</v>
      </c>
      <c r="B2764" s="572" t="s">
        <v>269</v>
      </c>
      <c r="C2764" s="108" t="s">
        <v>284</v>
      </c>
      <c r="D2764" s="109" t="s">
        <v>586</v>
      </c>
      <c r="E2764" s="200">
        <v>0.1</v>
      </c>
      <c r="F2764" s="110">
        <f>H2763</f>
        <v>79811.5</v>
      </c>
      <c r="G2764" s="156">
        <v>0</v>
      </c>
      <c r="H2764" s="479">
        <f t="shared" si="253"/>
        <v>7981.1500000000005</v>
      </c>
    </row>
    <row r="2765" spans="1:9" s="42" customFormat="1" ht="30" x14ac:dyDescent="0.2">
      <c r="A2765" s="67" t="s">
        <v>961</v>
      </c>
      <c r="B2765" s="571"/>
      <c r="C2765" s="388" t="s">
        <v>3154</v>
      </c>
      <c r="D2765" s="389" t="s">
        <v>411</v>
      </c>
      <c r="E2765" s="390"/>
      <c r="F2765" s="391">
        <f>ROUND(SUM(H2765:H2770),0)</f>
        <v>341872</v>
      </c>
      <c r="G2765" s="392"/>
      <c r="H2765" s="393"/>
      <c r="I2765" s="738"/>
    </row>
    <row r="2766" spans="1:9" x14ac:dyDescent="0.2">
      <c r="A2766" s="936" t="s">
        <v>382</v>
      </c>
      <c r="B2766" s="570" t="s">
        <v>1296</v>
      </c>
      <c r="C2766" s="44" t="s">
        <v>3813</v>
      </c>
      <c r="D2766" s="2" t="s">
        <v>411</v>
      </c>
      <c r="E2766" s="114">
        <v>1</v>
      </c>
      <c r="F2766" s="23">
        <f>VLOOKUP(B2766,'BASE DE DATOS'!$A$5:$E$997,5,FALSE)</f>
        <v>5300</v>
      </c>
      <c r="G2766" s="104">
        <v>0</v>
      </c>
      <c r="H2766" s="252">
        <f>IF(G2766&gt;0,(G2766*F2766*E2766),(F2766*E2766))</f>
        <v>5300</v>
      </c>
    </row>
    <row r="2767" spans="1:9" x14ac:dyDescent="0.2">
      <c r="A2767" s="936"/>
      <c r="B2767" s="570" t="s">
        <v>1318</v>
      </c>
      <c r="C2767" s="3" t="s">
        <v>677</v>
      </c>
      <c r="D2767" s="2" t="s">
        <v>406</v>
      </c>
      <c r="E2767" s="114">
        <v>0.5</v>
      </c>
      <c r="F2767" s="23">
        <f>VLOOKUP(B2767,'BASE DE DATOS'!$A$5:$E$997,5,FALSE)</f>
        <v>1675</v>
      </c>
      <c r="G2767" s="104">
        <v>1.05</v>
      </c>
      <c r="H2767" s="252">
        <f t="shared" ref="H2767:H2770" si="254">IF(G2767&gt;0,(G2767*F2767*E2767),(F2767*E2767))</f>
        <v>879.375</v>
      </c>
    </row>
    <row r="2768" spans="1:9" x14ac:dyDescent="0.2">
      <c r="A2768" s="936"/>
      <c r="B2768" s="570" t="s">
        <v>1569</v>
      </c>
      <c r="C2768" s="3" t="s">
        <v>2468</v>
      </c>
      <c r="D2768" s="2" t="s">
        <v>411</v>
      </c>
      <c r="E2768" s="114">
        <v>1</v>
      </c>
      <c r="F2768" s="23">
        <f>VLOOKUP(B2768,'BASE DE DATOS'!$A$5:$E$997,5,FALSE)</f>
        <v>247900</v>
      </c>
      <c r="G2768" s="104">
        <v>0</v>
      </c>
      <c r="H2768" s="252">
        <f t="shared" si="254"/>
        <v>247900</v>
      </c>
    </row>
    <row r="2769" spans="1:9" x14ac:dyDescent="0.2">
      <c r="A2769" s="81" t="s">
        <v>2555</v>
      </c>
      <c r="B2769" s="570" t="s">
        <v>599</v>
      </c>
      <c r="C2769" s="3" t="s">
        <v>600</v>
      </c>
      <c r="D2769" s="2" t="s">
        <v>585</v>
      </c>
      <c r="E2769" s="114">
        <v>1</v>
      </c>
      <c r="F2769" s="23">
        <f>VLOOKUP(B2769,'BASE DE DATOS'!$A$5:$E$997,5,FALSE)</f>
        <v>159623</v>
      </c>
      <c r="G2769" s="104">
        <f>1/2</f>
        <v>0.5</v>
      </c>
      <c r="H2769" s="252">
        <f t="shared" si="254"/>
        <v>79811.5</v>
      </c>
    </row>
    <row r="2770" spans="1:9" ht="13.5" thickBot="1" x14ac:dyDescent="0.25">
      <c r="A2770" s="94" t="s">
        <v>293</v>
      </c>
      <c r="B2770" s="572" t="s">
        <v>269</v>
      </c>
      <c r="C2770" s="108" t="s">
        <v>284</v>
      </c>
      <c r="D2770" s="109" t="s">
        <v>586</v>
      </c>
      <c r="E2770" s="200">
        <v>0.1</v>
      </c>
      <c r="F2770" s="110">
        <f>H2769</f>
        <v>79811.5</v>
      </c>
      <c r="G2770" s="156">
        <v>0</v>
      </c>
      <c r="H2770" s="479">
        <f t="shared" si="254"/>
        <v>7981.1500000000005</v>
      </c>
    </row>
    <row r="2771" spans="1:9" s="42" customFormat="1" ht="15" x14ac:dyDescent="0.2">
      <c r="A2771" s="67" t="s">
        <v>962</v>
      </c>
      <c r="B2771" s="571"/>
      <c r="C2771" s="388" t="s">
        <v>2469</v>
      </c>
      <c r="D2771" s="389" t="s">
        <v>411</v>
      </c>
      <c r="E2771" s="395"/>
      <c r="F2771" s="391">
        <f>ROUND(SUM(H2771:H2776),0)</f>
        <v>390872</v>
      </c>
      <c r="G2771" s="392"/>
      <c r="H2771" s="393"/>
      <c r="I2771" s="738"/>
    </row>
    <row r="2772" spans="1:9" x14ac:dyDescent="0.2">
      <c r="A2772" s="936" t="s">
        <v>382</v>
      </c>
      <c r="B2772" s="570" t="s">
        <v>1296</v>
      </c>
      <c r="C2772" s="44" t="s">
        <v>3813</v>
      </c>
      <c r="D2772" s="2" t="s">
        <v>411</v>
      </c>
      <c r="E2772" s="114">
        <v>1</v>
      </c>
      <c r="F2772" s="23">
        <f>VLOOKUP(B2772,'BASE DE DATOS'!$A$5:$E$997,5,FALSE)</f>
        <v>5300</v>
      </c>
      <c r="G2772" s="104">
        <v>0</v>
      </c>
      <c r="H2772" s="252">
        <f>IF(G2772&gt;0,(G2772*F2772*E2772),(F2772*E2772))</f>
        <v>5300</v>
      </c>
    </row>
    <row r="2773" spans="1:9" x14ac:dyDescent="0.2">
      <c r="A2773" s="936"/>
      <c r="B2773" s="570" t="s">
        <v>1318</v>
      </c>
      <c r="C2773" s="3" t="s">
        <v>677</v>
      </c>
      <c r="D2773" s="2" t="s">
        <v>406</v>
      </c>
      <c r="E2773" s="114">
        <v>0.5</v>
      </c>
      <c r="F2773" s="23">
        <f>VLOOKUP(B2773,'BASE DE DATOS'!$A$5:$E$997,5,FALSE)</f>
        <v>1675</v>
      </c>
      <c r="G2773" s="104">
        <v>1.05</v>
      </c>
      <c r="H2773" s="252">
        <f t="shared" ref="H2773:H2776" si="255">IF(G2773&gt;0,(G2773*F2773*E2773),(F2773*E2773))</f>
        <v>879.375</v>
      </c>
    </row>
    <row r="2774" spans="1:9" x14ac:dyDescent="0.2">
      <c r="A2774" s="936"/>
      <c r="B2774" s="570" t="s">
        <v>1570</v>
      </c>
      <c r="C2774" s="3" t="s">
        <v>2066</v>
      </c>
      <c r="D2774" s="2" t="s">
        <v>411</v>
      </c>
      <c r="E2774" s="114">
        <v>1</v>
      </c>
      <c r="F2774" s="23">
        <f>VLOOKUP(B2774,'BASE DE DATOS'!$A$5:$E$997,5,FALSE)</f>
        <v>296900</v>
      </c>
      <c r="G2774" s="104">
        <v>0</v>
      </c>
      <c r="H2774" s="252">
        <f t="shared" si="255"/>
        <v>296900</v>
      </c>
    </row>
    <row r="2775" spans="1:9" x14ac:dyDescent="0.2">
      <c r="A2775" s="81" t="s">
        <v>2555</v>
      </c>
      <c r="B2775" s="570" t="s">
        <v>599</v>
      </c>
      <c r="C2775" s="3" t="s">
        <v>600</v>
      </c>
      <c r="D2775" s="2" t="s">
        <v>585</v>
      </c>
      <c r="E2775" s="114">
        <v>1</v>
      </c>
      <c r="F2775" s="23">
        <f>VLOOKUP(B2775,'BASE DE DATOS'!$A$5:$E$997,5,FALSE)</f>
        <v>159623</v>
      </c>
      <c r="G2775" s="104">
        <f>1/2</f>
        <v>0.5</v>
      </c>
      <c r="H2775" s="252">
        <f t="shared" si="255"/>
        <v>79811.5</v>
      </c>
    </row>
    <row r="2776" spans="1:9" ht="13.5" thickBot="1" x14ac:dyDescent="0.25">
      <c r="A2776" s="94" t="s">
        <v>293</v>
      </c>
      <c r="B2776" s="572" t="s">
        <v>269</v>
      </c>
      <c r="C2776" s="108" t="s">
        <v>284</v>
      </c>
      <c r="D2776" s="109" t="s">
        <v>586</v>
      </c>
      <c r="E2776" s="200">
        <v>0.1</v>
      </c>
      <c r="F2776" s="110">
        <f>H2775</f>
        <v>79811.5</v>
      </c>
      <c r="G2776" s="156">
        <v>0</v>
      </c>
      <c r="H2776" s="479">
        <f t="shared" si="255"/>
        <v>7981.1500000000005</v>
      </c>
    </row>
    <row r="2777" spans="1:9" s="42" customFormat="1" ht="15" x14ac:dyDescent="0.2">
      <c r="A2777" s="67" t="s">
        <v>963</v>
      </c>
      <c r="B2777" s="571"/>
      <c r="C2777" s="388" t="s">
        <v>3644</v>
      </c>
      <c r="D2777" s="389" t="s">
        <v>411</v>
      </c>
      <c r="E2777" s="390"/>
      <c r="F2777" s="391">
        <f>ROUND(SUM(H2777:H2781),0)</f>
        <v>480921</v>
      </c>
      <c r="G2777" s="392"/>
      <c r="H2777" s="393"/>
      <c r="I2777" s="738"/>
    </row>
    <row r="2778" spans="1:9" x14ac:dyDescent="0.2">
      <c r="A2778" s="936" t="s">
        <v>382</v>
      </c>
      <c r="B2778" s="570" t="s">
        <v>1318</v>
      </c>
      <c r="C2778" s="3" t="s">
        <v>677</v>
      </c>
      <c r="D2778" s="2" t="s">
        <v>406</v>
      </c>
      <c r="E2778" s="114">
        <v>0.5</v>
      </c>
      <c r="F2778" s="23">
        <f>VLOOKUP(B2778,'BASE DE DATOS'!$A$5:$E$997,5,FALSE)</f>
        <v>1675</v>
      </c>
      <c r="G2778" s="104">
        <v>1.05</v>
      </c>
      <c r="H2778" s="252">
        <f t="shared" ref="H2778:H2781" si="256">IF(G2778&gt;0,(G2778*F2778*E2778),(F2778*E2778))</f>
        <v>879.375</v>
      </c>
    </row>
    <row r="2779" spans="1:9" x14ac:dyDescent="0.2">
      <c r="A2779" s="936"/>
      <c r="B2779" s="570" t="s">
        <v>2781</v>
      </c>
      <c r="C2779" s="140" t="s">
        <v>3645</v>
      </c>
      <c r="D2779" s="2" t="s">
        <v>411</v>
      </c>
      <c r="E2779" s="114">
        <v>1</v>
      </c>
      <c r="F2779" s="23">
        <f>VLOOKUP(B2779,'BASE DE DATOS'!$A$5:$E$997,5,FALSE)</f>
        <v>392249</v>
      </c>
      <c r="G2779" s="104">
        <v>0</v>
      </c>
      <c r="H2779" s="252">
        <f t="shared" si="256"/>
        <v>392249</v>
      </c>
    </row>
    <row r="2780" spans="1:9" x14ac:dyDescent="0.2">
      <c r="A2780" s="81" t="s">
        <v>2555</v>
      </c>
      <c r="B2780" s="570" t="s">
        <v>599</v>
      </c>
      <c r="C2780" s="3" t="s">
        <v>600</v>
      </c>
      <c r="D2780" s="2" t="s">
        <v>585</v>
      </c>
      <c r="E2780" s="114">
        <v>1</v>
      </c>
      <c r="F2780" s="23">
        <f>VLOOKUP(B2780,'BASE DE DATOS'!$A$5:$E$997,5,FALSE)</f>
        <v>159623</v>
      </c>
      <c r="G2780" s="104">
        <f>1/2</f>
        <v>0.5</v>
      </c>
      <c r="H2780" s="252">
        <f t="shared" si="256"/>
        <v>79811.5</v>
      </c>
    </row>
    <row r="2781" spans="1:9" ht="13.5" thickBot="1" x14ac:dyDescent="0.25">
      <c r="A2781" s="94" t="s">
        <v>293</v>
      </c>
      <c r="B2781" s="572" t="s">
        <v>269</v>
      </c>
      <c r="C2781" s="108" t="s">
        <v>284</v>
      </c>
      <c r="D2781" s="109" t="s">
        <v>586</v>
      </c>
      <c r="E2781" s="200">
        <v>0.1</v>
      </c>
      <c r="F2781" s="110">
        <f>H2780</f>
        <v>79811.5</v>
      </c>
      <c r="G2781" s="156">
        <v>0</v>
      </c>
      <c r="H2781" s="479">
        <f t="shared" si="256"/>
        <v>7981.1500000000005</v>
      </c>
    </row>
    <row r="2782" spans="1:9" s="42" customFormat="1" ht="15" x14ac:dyDescent="0.2">
      <c r="A2782" s="67" t="s">
        <v>964</v>
      </c>
      <c r="B2782" s="571"/>
      <c r="C2782" s="388" t="s">
        <v>3668</v>
      </c>
      <c r="D2782" s="389" t="s">
        <v>411</v>
      </c>
      <c r="E2782" s="390"/>
      <c r="F2782" s="391">
        <f>ROUND(SUM(H2782:H2787),0)</f>
        <v>1253872</v>
      </c>
      <c r="G2782" s="392"/>
      <c r="H2782" s="393"/>
      <c r="I2782" s="738"/>
    </row>
    <row r="2783" spans="1:9" x14ac:dyDescent="0.2">
      <c r="A2783" s="936" t="s">
        <v>382</v>
      </c>
      <c r="B2783" s="570" t="s">
        <v>1318</v>
      </c>
      <c r="C2783" s="3" t="s">
        <v>677</v>
      </c>
      <c r="D2783" s="2" t="s">
        <v>406</v>
      </c>
      <c r="E2783" s="114">
        <v>0.5</v>
      </c>
      <c r="F2783" s="23">
        <f>VLOOKUP(B2783,'BASE DE DATOS'!$A$5:$E$997,5,FALSE)</f>
        <v>1675</v>
      </c>
      <c r="G2783" s="104">
        <v>1.05</v>
      </c>
      <c r="H2783" s="252">
        <f t="shared" ref="H2783:H2787" si="257">IF(G2783&gt;0,(G2783*F2783*E2783),(F2783*E2783))</f>
        <v>879.375</v>
      </c>
    </row>
    <row r="2784" spans="1:9" x14ac:dyDescent="0.2">
      <c r="A2784" s="936"/>
      <c r="B2784" s="570" t="s">
        <v>1398</v>
      </c>
      <c r="C2784" s="44" t="s">
        <v>3647</v>
      </c>
      <c r="D2784" s="2" t="s">
        <v>411</v>
      </c>
      <c r="E2784" s="114">
        <v>1</v>
      </c>
      <c r="F2784" s="23">
        <f>VLOOKUP(B2784,'BASE DE DATOS'!$A$5:$E$997,5,FALSE)</f>
        <v>966300</v>
      </c>
      <c r="G2784" s="104">
        <v>0</v>
      </c>
      <c r="H2784" s="252">
        <f t="shared" si="257"/>
        <v>966300</v>
      </c>
    </row>
    <row r="2785" spans="1:9" x14ac:dyDescent="0.2">
      <c r="A2785" s="936"/>
      <c r="B2785" s="570" t="s">
        <v>2782</v>
      </c>
      <c r="C2785" s="140" t="s">
        <v>3646</v>
      </c>
      <c r="D2785" s="2" t="s">
        <v>411</v>
      </c>
      <c r="E2785" s="114">
        <v>1</v>
      </c>
      <c r="F2785" s="23">
        <f>VLOOKUP(B2785,'BASE DE DATOS'!$A$5:$E$997,5,FALSE)</f>
        <v>198900</v>
      </c>
      <c r="G2785" s="104">
        <v>0</v>
      </c>
      <c r="H2785" s="252">
        <f t="shared" si="257"/>
        <v>198900</v>
      </c>
    </row>
    <row r="2786" spans="1:9" x14ac:dyDescent="0.2">
      <c r="A2786" s="620" t="s">
        <v>2555</v>
      </c>
      <c r="B2786" s="570" t="s">
        <v>599</v>
      </c>
      <c r="C2786" s="3" t="s">
        <v>600</v>
      </c>
      <c r="D2786" s="2" t="s">
        <v>585</v>
      </c>
      <c r="E2786" s="114">
        <v>1</v>
      </c>
      <c r="F2786" s="23">
        <f>VLOOKUP(B2786,'BASE DE DATOS'!$A$5:$E$997,5,FALSE)</f>
        <v>159623</v>
      </c>
      <c r="G2786" s="104">
        <f>1/2</f>
        <v>0.5</v>
      </c>
      <c r="H2786" s="252">
        <f t="shared" si="257"/>
        <v>79811.5</v>
      </c>
    </row>
    <row r="2787" spans="1:9" ht="13.5" thickBot="1" x14ac:dyDescent="0.25">
      <c r="A2787" s="619" t="s">
        <v>293</v>
      </c>
      <c r="B2787" s="572" t="s">
        <v>269</v>
      </c>
      <c r="C2787" s="108" t="s">
        <v>284</v>
      </c>
      <c r="D2787" s="109" t="s">
        <v>586</v>
      </c>
      <c r="E2787" s="200">
        <v>0.1</v>
      </c>
      <c r="F2787" s="110">
        <f>H2786</f>
        <v>79811.5</v>
      </c>
      <c r="G2787" s="156">
        <v>0</v>
      </c>
      <c r="H2787" s="479">
        <f t="shared" si="257"/>
        <v>7981.1500000000005</v>
      </c>
    </row>
    <row r="2788" spans="1:9" s="42" customFormat="1" ht="15" x14ac:dyDescent="0.2">
      <c r="A2788" s="67" t="s">
        <v>965</v>
      </c>
      <c r="B2788" s="571"/>
      <c r="C2788" s="435" t="s">
        <v>2731</v>
      </c>
      <c r="D2788" s="389" t="s">
        <v>411</v>
      </c>
      <c r="E2788" s="390"/>
      <c r="F2788" s="391">
        <f>ROUND(SUM(H2788:H2793),0)</f>
        <v>1879850</v>
      </c>
      <c r="G2788" s="392"/>
      <c r="H2788" s="393"/>
      <c r="I2788" s="738"/>
    </row>
    <row r="2789" spans="1:9" x14ac:dyDescent="0.2">
      <c r="A2789" s="936" t="s">
        <v>382</v>
      </c>
      <c r="B2789" s="570" t="s">
        <v>1318</v>
      </c>
      <c r="C2789" s="3" t="s">
        <v>677</v>
      </c>
      <c r="D2789" s="2" t="s">
        <v>406</v>
      </c>
      <c r="E2789" s="114">
        <v>0.5</v>
      </c>
      <c r="F2789" s="23">
        <f>VLOOKUP(B2789,'BASE DE DATOS'!$A$5:$E$997,5,FALSE)</f>
        <v>1675</v>
      </c>
      <c r="G2789" s="104">
        <v>1.05</v>
      </c>
      <c r="H2789" s="252">
        <f t="shared" ref="H2789:H2793" si="258">IF(G2789&gt;0,(G2789*F2789*E2789),(F2789*E2789))</f>
        <v>879.375</v>
      </c>
    </row>
    <row r="2790" spans="1:9" x14ac:dyDescent="0.2">
      <c r="A2790" s="936"/>
      <c r="B2790" s="570" t="s">
        <v>1704</v>
      </c>
      <c r="C2790" s="44" t="s">
        <v>3648</v>
      </c>
      <c r="D2790" s="2" t="s">
        <v>411</v>
      </c>
      <c r="E2790" s="114">
        <v>1</v>
      </c>
      <c r="F2790" s="23">
        <f>VLOOKUP(B2790,'BASE DE DATOS'!$A$5:$E$997,5,FALSE)</f>
        <v>354900</v>
      </c>
      <c r="G2790" s="104">
        <v>0</v>
      </c>
      <c r="H2790" s="252">
        <f t="shared" si="258"/>
        <v>354900</v>
      </c>
    </row>
    <row r="2791" spans="1:9" x14ac:dyDescent="0.2">
      <c r="A2791" s="936"/>
      <c r="B2791" s="570" t="s">
        <v>1504</v>
      </c>
      <c r="C2791" s="44" t="s">
        <v>3864</v>
      </c>
      <c r="D2791" s="2" t="s">
        <v>411</v>
      </c>
      <c r="E2791" s="114">
        <v>1</v>
      </c>
      <c r="F2791" s="23">
        <f>VLOOKUP(B2791,'BASE DE DATOS'!$A$5:$E$997,5,FALSE)</f>
        <v>1172900</v>
      </c>
      <c r="G2791" s="104">
        <v>0</v>
      </c>
      <c r="H2791" s="252">
        <f t="shared" si="258"/>
        <v>1172900</v>
      </c>
    </row>
    <row r="2792" spans="1:9" x14ac:dyDescent="0.2">
      <c r="A2792" s="81" t="s">
        <v>2555</v>
      </c>
      <c r="B2792" s="570" t="s">
        <v>599</v>
      </c>
      <c r="C2792" s="3" t="s">
        <v>600</v>
      </c>
      <c r="D2792" s="2" t="s">
        <v>585</v>
      </c>
      <c r="E2792" s="114">
        <v>1</v>
      </c>
      <c r="F2792" s="23">
        <f>VLOOKUP(B2792,'BASE DE DATOS'!$A$5:$E$997,5,FALSE)</f>
        <v>159623</v>
      </c>
      <c r="G2792" s="104">
        <f>1/0.5</f>
        <v>2</v>
      </c>
      <c r="H2792" s="252">
        <f t="shared" si="258"/>
        <v>319246</v>
      </c>
    </row>
    <row r="2793" spans="1:9" ht="13.5" thickBot="1" x14ac:dyDescent="0.25">
      <c r="A2793" s="94" t="s">
        <v>293</v>
      </c>
      <c r="B2793" s="572" t="s">
        <v>269</v>
      </c>
      <c r="C2793" s="108" t="s">
        <v>284</v>
      </c>
      <c r="D2793" s="109" t="s">
        <v>586</v>
      </c>
      <c r="E2793" s="200">
        <v>0.1</v>
      </c>
      <c r="F2793" s="110">
        <f>H2792</f>
        <v>319246</v>
      </c>
      <c r="G2793" s="156">
        <v>0</v>
      </c>
      <c r="H2793" s="479">
        <f t="shared" si="258"/>
        <v>31924.600000000002</v>
      </c>
    </row>
    <row r="2794" spans="1:9" s="42" customFormat="1" ht="15" x14ac:dyDescent="0.2">
      <c r="A2794" s="67" t="s">
        <v>966</v>
      </c>
      <c r="B2794" s="571"/>
      <c r="C2794" s="388" t="s">
        <v>3756</v>
      </c>
      <c r="D2794" s="389" t="s">
        <v>411</v>
      </c>
      <c r="E2794" s="390"/>
      <c r="F2794" s="391">
        <f>ROUND(SUM(H2794:H2799),0)</f>
        <v>1637872</v>
      </c>
      <c r="G2794" s="392"/>
      <c r="H2794" s="393"/>
      <c r="I2794" s="738"/>
    </row>
    <row r="2795" spans="1:9" x14ac:dyDescent="0.2">
      <c r="A2795" s="936" t="s">
        <v>382</v>
      </c>
      <c r="B2795" s="570" t="s">
        <v>1318</v>
      </c>
      <c r="C2795" s="3" t="s">
        <v>677</v>
      </c>
      <c r="D2795" s="2" t="s">
        <v>406</v>
      </c>
      <c r="E2795" s="114">
        <v>0.5</v>
      </c>
      <c r="F2795" s="23">
        <f>VLOOKUP(B2795,'BASE DE DATOS'!$A$5:$E$997,5,FALSE)</f>
        <v>1675</v>
      </c>
      <c r="G2795" s="104">
        <v>1.05</v>
      </c>
      <c r="H2795" s="252">
        <f t="shared" ref="H2795:H2799" si="259">IF(G2795&gt;0,(G2795*F2795*E2795),(F2795*E2795))</f>
        <v>879.375</v>
      </c>
    </row>
    <row r="2796" spans="1:9" x14ac:dyDescent="0.2">
      <c r="A2796" s="936"/>
      <c r="B2796" s="570" t="s">
        <v>1398</v>
      </c>
      <c r="C2796" s="44" t="s">
        <v>2718</v>
      </c>
      <c r="D2796" s="2" t="s">
        <v>411</v>
      </c>
      <c r="E2796" s="114">
        <v>1</v>
      </c>
      <c r="F2796" s="23">
        <f>VLOOKUP(B2796,'BASE DE DATOS'!$A$5:$E$997,5,FALSE)</f>
        <v>966300</v>
      </c>
      <c r="G2796" s="104">
        <v>0</v>
      </c>
      <c r="H2796" s="252">
        <f t="shared" si="259"/>
        <v>966300</v>
      </c>
    </row>
    <row r="2797" spans="1:9" x14ac:dyDescent="0.2">
      <c r="A2797" s="936"/>
      <c r="B2797" s="570" t="s">
        <v>1506</v>
      </c>
      <c r="C2797" s="3" t="s">
        <v>2733</v>
      </c>
      <c r="D2797" s="2" t="s">
        <v>411</v>
      </c>
      <c r="E2797" s="114">
        <v>1</v>
      </c>
      <c r="F2797" s="23">
        <f>VLOOKUP(B2797,'BASE DE DATOS'!$A$5:$E$997,5,FALSE)</f>
        <v>582900</v>
      </c>
      <c r="G2797" s="104">
        <v>0</v>
      </c>
      <c r="H2797" s="252">
        <f t="shared" si="259"/>
        <v>582900</v>
      </c>
    </row>
    <row r="2798" spans="1:9" x14ac:dyDescent="0.2">
      <c r="A2798" s="81" t="s">
        <v>2555</v>
      </c>
      <c r="B2798" s="570" t="s">
        <v>599</v>
      </c>
      <c r="C2798" s="3" t="s">
        <v>600</v>
      </c>
      <c r="D2798" s="2" t="s">
        <v>585</v>
      </c>
      <c r="E2798" s="114">
        <v>1</v>
      </c>
      <c r="F2798" s="23">
        <f>VLOOKUP(B2798,'BASE DE DATOS'!$A$5:$E$997,5,FALSE)</f>
        <v>159623</v>
      </c>
      <c r="G2798" s="104">
        <f>1/2</f>
        <v>0.5</v>
      </c>
      <c r="H2798" s="252">
        <f t="shared" si="259"/>
        <v>79811.5</v>
      </c>
    </row>
    <row r="2799" spans="1:9" ht="13.5" thickBot="1" x14ac:dyDescent="0.25">
      <c r="A2799" s="94" t="s">
        <v>293</v>
      </c>
      <c r="B2799" s="572" t="s">
        <v>269</v>
      </c>
      <c r="C2799" s="108" t="s">
        <v>284</v>
      </c>
      <c r="D2799" s="109" t="s">
        <v>586</v>
      </c>
      <c r="E2799" s="200">
        <v>0.1</v>
      </c>
      <c r="F2799" s="110">
        <f>H2798</f>
        <v>79811.5</v>
      </c>
      <c r="G2799" s="156">
        <v>0</v>
      </c>
      <c r="H2799" s="479">
        <f t="shared" si="259"/>
        <v>7981.1500000000005</v>
      </c>
    </row>
    <row r="2800" spans="1:9" s="42" customFormat="1" ht="15" x14ac:dyDescent="0.2">
      <c r="A2800" s="67" t="s">
        <v>967</v>
      </c>
      <c r="B2800" s="573"/>
      <c r="C2800" s="403" t="s">
        <v>3582</v>
      </c>
      <c r="D2800" s="396" t="s">
        <v>411</v>
      </c>
      <c r="E2800" s="436"/>
      <c r="F2800" s="391">
        <f>ROUND(SUM(H2800:H2803),0)</f>
        <v>450697</v>
      </c>
      <c r="G2800" s="437"/>
      <c r="H2800" s="303"/>
      <c r="I2800" s="738"/>
    </row>
    <row r="2801" spans="1:9" x14ac:dyDescent="0.2">
      <c r="A2801" s="82" t="s">
        <v>382</v>
      </c>
      <c r="B2801" s="570" t="s">
        <v>1775</v>
      </c>
      <c r="C2801" s="3" t="s">
        <v>2647</v>
      </c>
      <c r="D2801" s="2" t="s">
        <v>411</v>
      </c>
      <c r="E2801" s="196">
        <v>1</v>
      </c>
      <c r="F2801" s="23">
        <f>VLOOKUP(B2801,'BASE DE DATOS'!$A$5:$E$997,5,FALSE)</f>
        <v>415580</v>
      </c>
      <c r="G2801" s="104">
        <v>0</v>
      </c>
      <c r="H2801" s="252">
        <f t="shared" ref="H2801:H2803" si="260">IF(G2801&gt;0,(G2801*F2801*E2801),(F2801*E2801))</f>
        <v>415580</v>
      </c>
    </row>
    <row r="2802" spans="1:9" x14ac:dyDescent="0.2">
      <c r="A2802" s="81" t="s">
        <v>2555</v>
      </c>
      <c r="B2802" s="570" t="s">
        <v>599</v>
      </c>
      <c r="C2802" s="3" t="s">
        <v>600</v>
      </c>
      <c r="D2802" s="2" t="s">
        <v>585</v>
      </c>
      <c r="E2802" s="196">
        <v>1</v>
      </c>
      <c r="F2802" s="23">
        <f>VLOOKUP(B2802,'BASE DE DATOS'!$A$5:$E$997,5,FALSE)</f>
        <v>159623</v>
      </c>
      <c r="G2802" s="104">
        <f>1/5</f>
        <v>0.2</v>
      </c>
      <c r="H2802" s="252">
        <f t="shared" si="260"/>
        <v>31924.600000000002</v>
      </c>
    </row>
    <row r="2803" spans="1:9" ht="13.5" thickBot="1" x14ac:dyDescent="0.25">
      <c r="A2803" s="94" t="s">
        <v>293</v>
      </c>
      <c r="B2803" s="572" t="s">
        <v>269</v>
      </c>
      <c r="C2803" s="108" t="s">
        <v>284</v>
      </c>
      <c r="D2803" s="109" t="s">
        <v>586</v>
      </c>
      <c r="E2803" s="203">
        <v>0.1</v>
      </c>
      <c r="F2803" s="110">
        <f>H2802</f>
        <v>31924.600000000002</v>
      </c>
      <c r="G2803" s="156">
        <v>0</v>
      </c>
      <c r="H2803" s="479">
        <f t="shared" si="260"/>
        <v>3192.4600000000005</v>
      </c>
    </row>
    <row r="2804" spans="1:9" s="42" customFormat="1" ht="15" x14ac:dyDescent="0.2">
      <c r="A2804" s="67" t="s">
        <v>968</v>
      </c>
      <c r="B2804" s="573"/>
      <c r="C2804" s="403" t="s">
        <v>1960</v>
      </c>
      <c r="D2804" s="447" t="s">
        <v>411</v>
      </c>
      <c r="E2804" s="436"/>
      <c r="F2804" s="391">
        <f>ROUND(SUM(H2804:H2807),0)</f>
        <v>333796</v>
      </c>
      <c r="G2804" s="437"/>
      <c r="H2804" s="303"/>
      <c r="I2804" s="738"/>
    </row>
    <row r="2805" spans="1:9" x14ac:dyDescent="0.2">
      <c r="A2805" s="82" t="s">
        <v>382</v>
      </c>
      <c r="B2805" s="570" t="s">
        <v>1703</v>
      </c>
      <c r="C2805" s="44" t="s">
        <v>1960</v>
      </c>
      <c r="D2805" s="2" t="s">
        <v>411</v>
      </c>
      <c r="E2805" s="196">
        <v>1</v>
      </c>
      <c r="F2805" s="23">
        <f>VLOOKUP(B2805,'BASE DE DATOS'!$A$5:$E$997,5,FALSE)</f>
        <v>289900</v>
      </c>
      <c r="G2805" s="104">
        <v>0</v>
      </c>
      <c r="H2805" s="252">
        <f t="shared" ref="H2805:H2807" si="261">IF(G2805&gt;0,(G2805*F2805*E2805),(F2805*E2805))</f>
        <v>289900</v>
      </c>
    </row>
    <row r="2806" spans="1:9" x14ac:dyDescent="0.2">
      <c r="A2806" s="81" t="s">
        <v>2555</v>
      </c>
      <c r="B2806" s="570" t="s">
        <v>599</v>
      </c>
      <c r="C2806" s="3" t="s">
        <v>600</v>
      </c>
      <c r="D2806" s="2" t="s">
        <v>585</v>
      </c>
      <c r="E2806" s="196">
        <v>1</v>
      </c>
      <c r="F2806" s="23">
        <f>VLOOKUP(B2806,'BASE DE DATOS'!$A$5:$E$997,5,FALSE)</f>
        <v>159623</v>
      </c>
      <c r="G2806" s="104">
        <f>1/4</f>
        <v>0.25</v>
      </c>
      <c r="H2806" s="252">
        <f t="shared" si="261"/>
        <v>39905.75</v>
      </c>
    </row>
    <row r="2807" spans="1:9" ht="13.5" thickBot="1" x14ac:dyDescent="0.25">
      <c r="A2807" s="94" t="s">
        <v>293</v>
      </c>
      <c r="B2807" s="572" t="s">
        <v>269</v>
      </c>
      <c r="C2807" s="108" t="s">
        <v>284</v>
      </c>
      <c r="D2807" s="109" t="s">
        <v>586</v>
      </c>
      <c r="E2807" s="203">
        <v>0.1</v>
      </c>
      <c r="F2807" s="110">
        <f>H2806</f>
        <v>39905.75</v>
      </c>
      <c r="G2807" s="156">
        <v>0</v>
      </c>
      <c r="H2807" s="479">
        <f t="shared" si="261"/>
        <v>3990.5750000000003</v>
      </c>
    </row>
    <row r="2808" spans="1:9" s="42" customFormat="1" ht="30" x14ac:dyDescent="0.2">
      <c r="A2808" s="67" t="s">
        <v>3380</v>
      </c>
      <c r="B2808" s="574"/>
      <c r="C2808" s="448" t="s">
        <v>1982</v>
      </c>
      <c r="D2808" s="449" t="s">
        <v>411</v>
      </c>
      <c r="E2808" s="450"/>
      <c r="F2808" s="451">
        <f>ROUND(SUM(H2808:H2811),0)</f>
        <v>565796</v>
      </c>
      <c r="G2808" s="452"/>
      <c r="H2808" s="453"/>
      <c r="I2808" s="738"/>
    </row>
    <row r="2809" spans="1:9" x14ac:dyDescent="0.2">
      <c r="A2809" s="82" t="s">
        <v>382</v>
      </c>
      <c r="B2809" s="575" t="s">
        <v>1415</v>
      </c>
      <c r="C2809" s="145" t="s">
        <v>1982</v>
      </c>
      <c r="D2809" s="14" t="s">
        <v>411</v>
      </c>
      <c r="E2809" s="207">
        <v>1</v>
      </c>
      <c r="F2809" s="23">
        <f>VLOOKUP(B2809,'BASE DE DATOS'!$A$5:$E$997,5,FALSE)</f>
        <v>521900</v>
      </c>
      <c r="G2809" s="158">
        <v>0</v>
      </c>
      <c r="H2809" s="252">
        <f t="shared" ref="H2809:H2811" si="262">IF(G2809&gt;0,(G2809*F2809*E2809),(F2809*E2809))</f>
        <v>521900</v>
      </c>
    </row>
    <row r="2810" spans="1:9" x14ac:dyDescent="0.2">
      <c r="A2810" s="81" t="s">
        <v>2555</v>
      </c>
      <c r="B2810" s="575" t="s">
        <v>599</v>
      </c>
      <c r="C2810" s="115" t="s">
        <v>600</v>
      </c>
      <c r="D2810" s="14" t="s">
        <v>585</v>
      </c>
      <c r="E2810" s="207">
        <v>1</v>
      </c>
      <c r="F2810" s="23">
        <f>VLOOKUP(B2810,'BASE DE DATOS'!$A$5:$E$997,5,FALSE)</f>
        <v>159623</v>
      </c>
      <c r="G2810" s="158">
        <f>1/4</f>
        <v>0.25</v>
      </c>
      <c r="H2810" s="252">
        <f t="shared" si="262"/>
        <v>39905.75</v>
      </c>
    </row>
    <row r="2811" spans="1:9" ht="13.5" thickBot="1" x14ac:dyDescent="0.25">
      <c r="A2811" s="94" t="s">
        <v>293</v>
      </c>
      <c r="B2811" s="576" t="s">
        <v>269</v>
      </c>
      <c r="C2811" s="116" t="s">
        <v>284</v>
      </c>
      <c r="D2811" s="117" t="s">
        <v>586</v>
      </c>
      <c r="E2811" s="208">
        <v>0.1</v>
      </c>
      <c r="F2811" s="118">
        <f>H2810</f>
        <v>39905.75</v>
      </c>
      <c r="G2811" s="159">
        <v>0</v>
      </c>
      <c r="H2811" s="479">
        <f t="shared" si="262"/>
        <v>3990.5750000000003</v>
      </c>
    </row>
    <row r="2812" spans="1:9" s="42" customFormat="1" ht="30" x14ac:dyDescent="0.2">
      <c r="A2812" s="67" t="s">
        <v>969</v>
      </c>
      <c r="B2812" s="573"/>
      <c r="C2812" s="448" t="s">
        <v>1983</v>
      </c>
      <c r="D2812" s="447" t="s">
        <v>411</v>
      </c>
      <c r="E2812" s="436"/>
      <c r="F2812" s="391">
        <f>ROUND(SUM(H2812:H2815),0)</f>
        <v>360796</v>
      </c>
      <c r="G2812" s="437"/>
      <c r="H2812" s="303"/>
      <c r="I2812" s="738"/>
    </row>
    <row r="2813" spans="1:9" x14ac:dyDescent="0.2">
      <c r="A2813" s="82" t="s">
        <v>382</v>
      </c>
      <c r="B2813" s="570" t="s">
        <v>1880</v>
      </c>
      <c r="C2813" s="3" t="s">
        <v>1984</v>
      </c>
      <c r="D2813" s="2" t="s">
        <v>411</v>
      </c>
      <c r="E2813" s="196">
        <v>1</v>
      </c>
      <c r="F2813" s="23">
        <f>VLOOKUP(B2813,'BASE DE DATOS'!$A$5:$E$997,5,FALSE)</f>
        <v>316900</v>
      </c>
      <c r="G2813" s="104">
        <v>0</v>
      </c>
      <c r="H2813" s="252">
        <f t="shared" ref="H2813:H2815" si="263">IF(G2813&gt;0,(G2813*F2813*E2813),(F2813*E2813))</f>
        <v>316900</v>
      </c>
    </row>
    <row r="2814" spans="1:9" x14ac:dyDescent="0.2">
      <c r="A2814" s="81" t="s">
        <v>2555</v>
      </c>
      <c r="B2814" s="570" t="s">
        <v>599</v>
      </c>
      <c r="C2814" s="3" t="s">
        <v>600</v>
      </c>
      <c r="D2814" s="2" t="s">
        <v>585</v>
      </c>
      <c r="E2814" s="196">
        <v>1</v>
      </c>
      <c r="F2814" s="23">
        <f>VLOOKUP(B2814,'BASE DE DATOS'!$A$5:$E$997,5,FALSE)</f>
        <v>159623</v>
      </c>
      <c r="G2814" s="104">
        <f>1/4</f>
        <v>0.25</v>
      </c>
      <c r="H2814" s="252">
        <f t="shared" si="263"/>
        <v>39905.75</v>
      </c>
    </row>
    <row r="2815" spans="1:9" ht="13.5" thickBot="1" x14ac:dyDescent="0.25">
      <c r="A2815" s="94" t="s">
        <v>293</v>
      </c>
      <c r="B2815" s="572" t="s">
        <v>269</v>
      </c>
      <c r="C2815" s="108" t="s">
        <v>284</v>
      </c>
      <c r="D2815" s="109" t="s">
        <v>586</v>
      </c>
      <c r="E2815" s="203">
        <v>0.1</v>
      </c>
      <c r="F2815" s="110">
        <f>H2814</f>
        <v>39905.75</v>
      </c>
      <c r="G2815" s="156">
        <v>0</v>
      </c>
      <c r="H2815" s="479">
        <f t="shared" si="263"/>
        <v>3990.5750000000003</v>
      </c>
    </row>
    <row r="2816" spans="1:9" s="42" customFormat="1" ht="15" x14ac:dyDescent="0.2">
      <c r="A2816" s="67" t="s">
        <v>970</v>
      </c>
      <c r="B2816" s="554"/>
      <c r="C2816" s="445" t="s">
        <v>125</v>
      </c>
      <c r="D2816" s="369" t="s">
        <v>411</v>
      </c>
      <c r="E2816" s="446"/>
      <c r="F2816" s="401">
        <f>ROUND(SUM(H2816:H2819),0)</f>
        <v>110164</v>
      </c>
      <c r="G2816" s="443"/>
      <c r="H2816" s="364"/>
      <c r="I2816" s="738"/>
    </row>
    <row r="2817" spans="1:9" x14ac:dyDescent="0.2">
      <c r="A2817" s="82" t="s">
        <v>382</v>
      </c>
      <c r="B2817" s="570" t="s">
        <v>1497</v>
      </c>
      <c r="C2817" s="44" t="s">
        <v>2730</v>
      </c>
      <c r="D2817" s="2" t="s">
        <v>411</v>
      </c>
      <c r="E2817" s="114">
        <v>1</v>
      </c>
      <c r="F2817" s="23">
        <f>VLOOKUP(B2817,'BASE DE DATOS'!$A$5:$E$997,5,FALSE)</f>
        <v>80900</v>
      </c>
      <c r="G2817" s="104">
        <v>0</v>
      </c>
      <c r="H2817" s="252">
        <f t="shared" ref="H2817:H2819" si="264">IF(G2817&gt;0,(G2817*F2817*E2817),(F2817*E2817))</f>
        <v>80900</v>
      </c>
    </row>
    <row r="2818" spans="1:9" x14ac:dyDescent="0.2">
      <c r="A2818" s="81" t="s">
        <v>2555</v>
      </c>
      <c r="B2818" s="570" t="s">
        <v>599</v>
      </c>
      <c r="C2818" s="3" t="s">
        <v>600</v>
      </c>
      <c r="D2818" s="2" t="s">
        <v>585</v>
      </c>
      <c r="E2818" s="196">
        <v>1</v>
      </c>
      <c r="F2818" s="23">
        <f>VLOOKUP(B2818,'BASE DE DATOS'!$A$5:$E$997,5,FALSE)</f>
        <v>159623</v>
      </c>
      <c r="G2818" s="104">
        <f>1/6</f>
        <v>0.16666666666666666</v>
      </c>
      <c r="H2818" s="252">
        <f t="shared" si="264"/>
        <v>26603.833333333332</v>
      </c>
    </row>
    <row r="2819" spans="1:9" ht="13.5" thickBot="1" x14ac:dyDescent="0.25">
      <c r="A2819" s="94" t="s">
        <v>293</v>
      </c>
      <c r="B2819" s="572" t="s">
        <v>269</v>
      </c>
      <c r="C2819" s="108" t="s">
        <v>284</v>
      </c>
      <c r="D2819" s="109" t="s">
        <v>586</v>
      </c>
      <c r="E2819" s="203">
        <v>0.1</v>
      </c>
      <c r="F2819" s="110">
        <f>H2818</f>
        <v>26603.833333333332</v>
      </c>
      <c r="G2819" s="156">
        <v>0</v>
      </c>
      <c r="H2819" s="479">
        <f t="shared" si="264"/>
        <v>2660.3833333333332</v>
      </c>
    </row>
    <row r="2820" spans="1:9" s="42" customFormat="1" ht="15" x14ac:dyDescent="0.2">
      <c r="A2820" s="67" t="s">
        <v>971</v>
      </c>
      <c r="B2820" s="573"/>
      <c r="C2820" s="403" t="s">
        <v>6</v>
      </c>
      <c r="D2820" s="447" t="s">
        <v>411</v>
      </c>
      <c r="E2820" s="436"/>
      <c r="F2820" s="391">
        <f>ROUND(SUM(H2820:H2823),0)</f>
        <v>1054093</v>
      </c>
      <c r="G2820" s="437"/>
      <c r="H2820" s="303"/>
      <c r="I2820" s="738"/>
    </row>
    <row r="2821" spans="1:9" x14ac:dyDescent="0.2">
      <c r="A2821" s="82" t="s">
        <v>382</v>
      </c>
      <c r="B2821" s="570" t="s">
        <v>1398</v>
      </c>
      <c r="C2821" s="44" t="s">
        <v>2718</v>
      </c>
      <c r="D2821" s="2" t="s">
        <v>411</v>
      </c>
      <c r="E2821" s="196">
        <v>1</v>
      </c>
      <c r="F2821" s="23">
        <f>VLOOKUP(B2821,'BASE DE DATOS'!$A$5:$E$997,5,FALSE)</f>
        <v>966300</v>
      </c>
      <c r="G2821" s="104">
        <v>0</v>
      </c>
      <c r="H2821" s="252">
        <f t="shared" ref="H2821:H2823" si="265">IF(G2821&gt;0,(G2821*F2821*E2821),(F2821*E2821))</f>
        <v>966300</v>
      </c>
    </row>
    <row r="2822" spans="1:9" x14ac:dyDescent="0.2">
      <c r="A2822" s="81" t="s">
        <v>2555</v>
      </c>
      <c r="B2822" s="570" t="s">
        <v>599</v>
      </c>
      <c r="C2822" s="3" t="s">
        <v>600</v>
      </c>
      <c r="D2822" s="2" t="s">
        <v>585</v>
      </c>
      <c r="E2822" s="196">
        <v>1</v>
      </c>
      <c r="F2822" s="23">
        <f>VLOOKUP(B2822,'BASE DE DATOS'!$A$5:$E$997,5,FALSE)</f>
        <v>159623</v>
      </c>
      <c r="G2822" s="104">
        <f>1/2</f>
        <v>0.5</v>
      </c>
      <c r="H2822" s="252">
        <f t="shared" si="265"/>
        <v>79811.5</v>
      </c>
    </row>
    <row r="2823" spans="1:9" ht="13.5" thickBot="1" x14ac:dyDescent="0.25">
      <c r="A2823" s="94" t="s">
        <v>293</v>
      </c>
      <c r="B2823" s="572" t="s">
        <v>269</v>
      </c>
      <c r="C2823" s="108" t="s">
        <v>284</v>
      </c>
      <c r="D2823" s="109" t="s">
        <v>586</v>
      </c>
      <c r="E2823" s="203">
        <v>0.1</v>
      </c>
      <c r="F2823" s="110">
        <f>H2822</f>
        <v>79811.5</v>
      </c>
      <c r="G2823" s="156">
        <v>0</v>
      </c>
      <c r="H2823" s="479">
        <f t="shared" si="265"/>
        <v>7981.1500000000005</v>
      </c>
    </row>
    <row r="2824" spans="1:9" s="42" customFormat="1" ht="15" x14ac:dyDescent="0.2">
      <c r="A2824" s="67" t="s">
        <v>972</v>
      </c>
      <c r="B2824" s="571"/>
      <c r="C2824" s="388" t="s">
        <v>155</v>
      </c>
      <c r="D2824" s="389" t="s">
        <v>411</v>
      </c>
      <c r="E2824" s="390"/>
      <c r="F2824" s="391">
        <f>ROUND(SUM(H2824:H2827),0)</f>
        <v>177984</v>
      </c>
      <c r="G2824" s="392"/>
      <c r="H2824" s="393"/>
      <c r="I2824" s="738"/>
    </row>
    <row r="2825" spans="1:9" x14ac:dyDescent="0.2">
      <c r="A2825" s="82" t="s">
        <v>382</v>
      </c>
      <c r="B2825" s="570" t="s">
        <v>1561</v>
      </c>
      <c r="C2825" s="3" t="s">
        <v>3870</v>
      </c>
      <c r="D2825" s="2" t="s">
        <v>411</v>
      </c>
      <c r="E2825" s="114">
        <v>1</v>
      </c>
      <c r="F2825" s="23">
        <f>VLOOKUP(B2825,'BASE DE DATOS'!$A$5:$E$997,5,FALSE)</f>
        <v>152900</v>
      </c>
      <c r="G2825" s="104">
        <v>0</v>
      </c>
      <c r="H2825" s="252">
        <f t="shared" ref="H2825:H2827" si="266">IF(G2825&gt;0,(G2825*F2825*E2825),(F2825*E2825))</f>
        <v>152900</v>
      </c>
    </row>
    <row r="2826" spans="1:9" x14ac:dyDescent="0.2">
      <c r="A2826" s="81" t="s">
        <v>2555</v>
      </c>
      <c r="B2826" s="570" t="s">
        <v>599</v>
      </c>
      <c r="C2826" s="3" t="s">
        <v>600</v>
      </c>
      <c r="D2826" s="2" t="s">
        <v>585</v>
      </c>
      <c r="E2826" s="114">
        <v>1</v>
      </c>
      <c r="F2826" s="23">
        <f>VLOOKUP(B2826,'BASE DE DATOS'!$A$5:$E$997,5,FALSE)</f>
        <v>159623</v>
      </c>
      <c r="G2826" s="104">
        <f>1/7</f>
        <v>0.14285714285714285</v>
      </c>
      <c r="H2826" s="252">
        <f t="shared" si="266"/>
        <v>22803.285714285714</v>
      </c>
    </row>
    <row r="2827" spans="1:9" ht="13.5" thickBot="1" x14ac:dyDescent="0.25">
      <c r="A2827" s="94" t="s">
        <v>293</v>
      </c>
      <c r="B2827" s="572" t="s">
        <v>269</v>
      </c>
      <c r="C2827" s="108" t="s">
        <v>284</v>
      </c>
      <c r="D2827" s="109" t="s">
        <v>586</v>
      </c>
      <c r="E2827" s="200">
        <v>0.1</v>
      </c>
      <c r="F2827" s="110">
        <f>H2826</f>
        <v>22803.285714285714</v>
      </c>
      <c r="G2827" s="156">
        <v>0</v>
      </c>
      <c r="H2827" s="479">
        <f t="shared" si="266"/>
        <v>2280.3285714285716</v>
      </c>
    </row>
    <row r="2828" spans="1:9" s="42" customFormat="1" ht="15" x14ac:dyDescent="0.2">
      <c r="A2828" s="67" t="s">
        <v>973</v>
      </c>
      <c r="B2828" s="573"/>
      <c r="C2828" s="403" t="s">
        <v>1980</v>
      </c>
      <c r="D2828" s="396" t="s">
        <v>411</v>
      </c>
      <c r="E2828" s="436"/>
      <c r="F2828" s="391">
        <f>ROUND(SUM(H2828:H2831),0)</f>
        <v>659128</v>
      </c>
      <c r="G2828" s="437"/>
      <c r="H2828" s="303"/>
      <c r="I2828" s="738"/>
    </row>
    <row r="2829" spans="1:9" x14ac:dyDescent="0.2">
      <c r="A2829" s="82" t="s">
        <v>382</v>
      </c>
      <c r="B2829" s="570" t="s">
        <v>1378</v>
      </c>
      <c r="C2829" s="236" t="s">
        <v>1981</v>
      </c>
      <c r="D2829" s="2" t="s">
        <v>411</v>
      </c>
      <c r="E2829" s="196">
        <v>1</v>
      </c>
      <c r="F2829" s="23">
        <f>VLOOKUP(B2829,'BASE DE DATOS'!$A$5:$E$997,5,FALSE)</f>
        <v>600600</v>
      </c>
      <c r="G2829" s="104">
        <v>0</v>
      </c>
      <c r="H2829" s="252">
        <f t="shared" ref="H2829:H2831" si="267">IF(G2829&gt;0,(G2829*F2829*E2829),(F2829*E2829))</f>
        <v>600600</v>
      </c>
    </row>
    <row r="2830" spans="1:9" x14ac:dyDescent="0.2">
      <c r="A2830" s="81" t="s">
        <v>2555</v>
      </c>
      <c r="B2830" s="570" t="s">
        <v>599</v>
      </c>
      <c r="C2830" s="3" t="s">
        <v>600</v>
      </c>
      <c r="D2830" s="2" t="s">
        <v>585</v>
      </c>
      <c r="E2830" s="196">
        <v>1</v>
      </c>
      <c r="F2830" s="23">
        <f>VLOOKUP(B2830,'BASE DE DATOS'!$A$5:$E$997,5,FALSE)</f>
        <v>159623</v>
      </c>
      <c r="G2830" s="104">
        <f>1/3</f>
        <v>0.33333333333333331</v>
      </c>
      <c r="H2830" s="252">
        <f t="shared" si="267"/>
        <v>53207.666666666664</v>
      </c>
    </row>
    <row r="2831" spans="1:9" ht="13.5" thickBot="1" x14ac:dyDescent="0.25">
      <c r="A2831" s="94" t="s">
        <v>293</v>
      </c>
      <c r="B2831" s="572" t="s">
        <v>269</v>
      </c>
      <c r="C2831" s="108" t="s">
        <v>284</v>
      </c>
      <c r="D2831" s="109" t="s">
        <v>586</v>
      </c>
      <c r="E2831" s="203">
        <v>0.1</v>
      </c>
      <c r="F2831" s="110">
        <f>H2830</f>
        <v>53207.666666666664</v>
      </c>
      <c r="G2831" s="156">
        <v>0</v>
      </c>
      <c r="H2831" s="479">
        <f t="shared" si="267"/>
        <v>5320.7666666666664</v>
      </c>
    </row>
    <row r="2832" spans="1:9" s="42" customFormat="1" ht="15" x14ac:dyDescent="0.2">
      <c r="A2832" s="67" t="s">
        <v>974</v>
      </c>
      <c r="B2832" s="571"/>
      <c r="C2832" s="388" t="s">
        <v>131</v>
      </c>
      <c r="D2832" s="389" t="s">
        <v>411</v>
      </c>
      <c r="E2832" s="390"/>
      <c r="F2832" s="391">
        <f>ROUND(SUM(H2832:H2835),0)</f>
        <v>47459</v>
      </c>
      <c r="G2832" s="392"/>
      <c r="H2832" s="393"/>
      <c r="I2832" s="738"/>
    </row>
    <row r="2833" spans="1:9" x14ac:dyDescent="0.2">
      <c r="A2833" s="82" t="s">
        <v>382</v>
      </c>
      <c r="B2833" s="570" t="s">
        <v>1562</v>
      </c>
      <c r="C2833" s="3" t="s">
        <v>2069</v>
      </c>
      <c r="D2833" s="2" t="s">
        <v>411</v>
      </c>
      <c r="E2833" s="114">
        <v>1</v>
      </c>
      <c r="F2833" s="23">
        <f>VLOOKUP(B2833,'BASE DE DATOS'!$A$5:$E$997,5,FALSE)</f>
        <v>29900</v>
      </c>
      <c r="G2833" s="104">
        <v>0</v>
      </c>
      <c r="H2833" s="252">
        <f t="shared" ref="H2833:H2835" si="268">IF(G2833&gt;0,(G2833*F2833*E2833),(F2833*E2833))</f>
        <v>29900</v>
      </c>
    </row>
    <row r="2834" spans="1:9" x14ac:dyDescent="0.2">
      <c r="A2834" s="81" t="s">
        <v>2555</v>
      </c>
      <c r="B2834" s="570" t="s">
        <v>599</v>
      </c>
      <c r="C2834" s="3" t="s">
        <v>600</v>
      </c>
      <c r="D2834" s="2" t="s">
        <v>585</v>
      </c>
      <c r="E2834" s="114">
        <v>1</v>
      </c>
      <c r="F2834" s="23">
        <f>VLOOKUP(B2834,'BASE DE DATOS'!$A$5:$E$997,5,FALSE)</f>
        <v>159623</v>
      </c>
      <c r="G2834" s="104">
        <f>1/10</f>
        <v>0.1</v>
      </c>
      <c r="H2834" s="252">
        <f t="shared" si="268"/>
        <v>15962.300000000001</v>
      </c>
    </row>
    <row r="2835" spans="1:9" ht="13.5" thickBot="1" x14ac:dyDescent="0.25">
      <c r="A2835" s="94" t="s">
        <v>293</v>
      </c>
      <c r="B2835" s="572" t="s">
        <v>269</v>
      </c>
      <c r="C2835" s="108" t="s">
        <v>284</v>
      </c>
      <c r="D2835" s="109" t="s">
        <v>586</v>
      </c>
      <c r="E2835" s="200">
        <v>0.1</v>
      </c>
      <c r="F2835" s="110">
        <f>H2834</f>
        <v>15962.300000000001</v>
      </c>
      <c r="G2835" s="156">
        <v>0</v>
      </c>
      <c r="H2835" s="479">
        <f t="shared" si="268"/>
        <v>1596.2300000000002</v>
      </c>
    </row>
    <row r="2836" spans="1:9" s="42" customFormat="1" ht="15" x14ac:dyDescent="0.2">
      <c r="A2836" s="67" t="s">
        <v>975</v>
      </c>
      <c r="B2836" s="571"/>
      <c r="C2836" s="388" t="s">
        <v>165</v>
      </c>
      <c r="D2836" s="389" t="s">
        <v>166</v>
      </c>
      <c r="E2836" s="395"/>
      <c r="F2836" s="391">
        <f>ROUND(SUM(H2836:H2838),0)</f>
        <v>30862</v>
      </c>
      <c r="G2836" s="392"/>
      <c r="H2836" s="393"/>
      <c r="I2836" s="738"/>
    </row>
    <row r="2837" spans="1:9" x14ac:dyDescent="0.2">
      <c r="A2837" s="82" t="s">
        <v>382</v>
      </c>
      <c r="B2837" s="570" t="s">
        <v>1790</v>
      </c>
      <c r="C2837" s="3" t="s">
        <v>165</v>
      </c>
      <c r="D2837" s="2" t="s">
        <v>166</v>
      </c>
      <c r="E2837" s="114">
        <v>1</v>
      </c>
      <c r="F2837" s="23">
        <f>VLOOKUP(B2837,'BASE DE DATOS'!$A$5:$E$997,5,FALSE)</f>
        <v>14900</v>
      </c>
      <c r="G2837" s="104">
        <v>0</v>
      </c>
      <c r="H2837" s="252">
        <f t="shared" ref="H2837:H2838" si="269">IF(G2837&gt;0,(G2837*F2837*E2837),(F2837*E2837))</f>
        <v>14900</v>
      </c>
    </row>
    <row r="2838" spans="1:9" ht="13.5" thickBot="1" x14ac:dyDescent="0.25">
      <c r="A2838" s="122" t="s">
        <v>2555</v>
      </c>
      <c r="B2838" s="572" t="s">
        <v>599</v>
      </c>
      <c r="C2838" s="108" t="s">
        <v>600</v>
      </c>
      <c r="D2838" s="109" t="s">
        <v>585</v>
      </c>
      <c r="E2838" s="200">
        <v>1</v>
      </c>
      <c r="F2838" s="110">
        <f>VLOOKUP(B2838,'BASE DE DATOS'!$A$5:$E$997,5,FALSE)</f>
        <v>159623</v>
      </c>
      <c r="G2838" s="156">
        <f>1/10</f>
        <v>0.1</v>
      </c>
      <c r="H2838" s="479">
        <f t="shared" si="269"/>
        <v>15962.300000000001</v>
      </c>
    </row>
    <row r="2839" spans="1:9" s="42" customFormat="1" ht="30.75" thickBot="1" x14ac:dyDescent="0.25">
      <c r="A2839" s="387" t="s">
        <v>976</v>
      </c>
      <c r="B2839" s="571"/>
      <c r="C2839" s="388" t="s">
        <v>2622</v>
      </c>
      <c r="D2839" s="389" t="s">
        <v>411</v>
      </c>
      <c r="E2839" s="390"/>
      <c r="F2839" s="391">
        <f>ROUND(SUM(H2839:H2842),0)</f>
        <v>41660</v>
      </c>
      <c r="G2839" s="392"/>
      <c r="H2839" s="393"/>
      <c r="I2839" s="738"/>
    </row>
    <row r="2840" spans="1:9" ht="25.5" x14ac:dyDescent="0.2">
      <c r="A2840" s="183" t="s">
        <v>382</v>
      </c>
      <c r="B2840" s="570" t="s">
        <v>2623</v>
      </c>
      <c r="C2840" s="3" t="s">
        <v>2621</v>
      </c>
      <c r="D2840" s="2" t="s">
        <v>411</v>
      </c>
      <c r="E2840" s="114">
        <v>1</v>
      </c>
      <c r="F2840" s="23">
        <f>VLOOKUP(B2840,'BASE DE DATOS'!$A$5:$E$997,5,FALSE)</f>
        <v>24900</v>
      </c>
      <c r="G2840" s="104">
        <v>0</v>
      </c>
      <c r="H2840" s="252">
        <f t="shared" ref="H2840:H2842" si="270">IF(G2840&gt;0,(G2840*F2840*E2840),(F2840*E2840))</f>
        <v>24900</v>
      </c>
    </row>
    <row r="2841" spans="1:9" x14ac:dyDescent="0.2">
      <c r="A2841" s="185" t="s">
        <v>2555</v>
      </c>
      <c r="B2841" s="547" t="s">
        <v>599</v>
      </c>
      <c r="C2841" s="20" t="s">
        <v>600</v>
      </c>
      <c r="D2841" s="19" t="s">
        <v>585</v>
      </c>
      <c r="E2841" s="194">
        <v>1</v>
      </c>
      <c r="F2841" s="23">
        <f>VLOOKUP(B2841,'BASE DE DATOS'!$A$5:$E$997,5,FALSE)</f>
        <v>159623</v>
      </c>
      <c r="G2841" s="58">
        <f>1/10</f>
        <v>0.1</v>
      </c>
      <c r="H2841" s="252">
        <f t="shared" si="270"/>
        <v>15962.300000000001</v>
      </c>
    </row>
    <row r="2842" spans="1:9" ht="13.5" thickBot="1" x14ac:dyDescent="0.25">
      <c r="A2842" s="184" t="s">
        <v>293</v>
      </c>
      <c r="B2842" s="577" t="s">
        <v>269</v>
      </c>
      <c r="C2842" s="111" t="s">
        <v>284</v>
      </c>
      <c r="D2842" s="112" t="s">
        <v>586</v>
      </c>
      <c r="E2842" s="201">
        <v>0.05</v>
      </c>
      <c r="F2842" s="113">
        <f>H2841</f>
        <v>15962.300000000001</v>
      </c>
      <c r="G2842" s="157">
        <v>0</v>
      </c>
      <c r="H2842" s="479">
        <f t="shared" si="270"/>
        <v>798.11500000000012</v>
      </c>
    </row>
    <row r="2843" spans="1:9" s="42" customFormat="1" ht="45.75" thickBot="1" x14ac:dyDescent="0.25">
      <c r="A2843" s="387" t="s">
        <v>977</v>
      </c>
      <c r="B2843" s="571"/>
      <c r="C2843" s="388" t="s">
        <v>2625</v>
      </c>
      <c r="D2843" s="389" t="s">
        <v>411</v>
      </c>
      <c r="E2843" s="390"/>
      <c r="F2843" s="391">
        <f>ROUND(SUM(H2843:H2846),0)</f>
        <v>400401</v>
      </c>
      <c r="G2843" s="392"/>
      <c r="H2843" s="393"/>
      <c r="I2843" s="738"/>
    </row>
    <row r="2844" spans="1:9" ht="25.5" x14ac:dyDescent="0.2">
      <c r="A2844" s="183" t="s">
        <v>382</v>
      </c>
      <c r="B2844" s="570" t="s">
        <v>2715</v>
      </c>
      <c r="C2844" s="3" t="s">
        <v>2624</v>
      </c>
      <c r="D2844" s="2" t="s">
        <v>411</v>
      </c>
      <c r="E2844" s="114">
        <v>1</v>
      </c>
      <c r="F2844" s="23">
        <f>VLOOKUP(B2844,'BASE DE DATOS'!$A$5:$E$997,5,FALSE)</f>
        <v>358500</v>
      </c>
      <c r="G2844" s="104">
        <v>0</v>
      </c>
      <c r="H2844" s="252">
        <f t="shared" ref="H2844:H2846" si="271">IF(G2844&gt;0,(G2844*F2844*E2844),(F2844*E2844))</f>
        <v>358500</v>
      </c>
    </row>
    <row r="2845" spans="1:9" x14ac:dyDescent="0.2">
      <c r="A2845" s="185" t="s">
        <v>2555</v>
      </c>
      <c r="B2845" s="547" t="s">
        <v>599</v>
      </c>
      <c r="C2845" s="20" t="s">
        <v>600</v>
      </c>
      <c r="D2845" s="19" t="s">
        <v>585</v>
      </c>
      <c r="E2845" s="194">
        <v>1</v>
      </c>
      <c r="F2845" s="23">
        <f>VLOOKUP(B2845,'BASE DE DATOS'!$A$5:$E$997,5,FALSE)</f>
        <v>159623</v>
      </c>
      <c r="G2845" s="58">
        <f>1/4</f>
        <v>0.25</v>
      </c>
      <c r="H2845" s="252">
        <f t="shared" si="271"/>
        <v>39905.75</v>
      </c>
    </row>
    <row r="2846" spans="1:9" ht="13.5" thickBot="1" x14ac:dyDescent="0.25">
      <c r="A2846" s="184" t="s">
        <v>293</v>
      </c>
      <c r="B2846" s="577" t="s">
        <v>269</v>
      </c>
      <c r="C2846" s="111" t="s">
        <v>284</v>
      </c>
      <c r="D2846" s="112" t="s">
        <v>586</v>
      </c>
      <c r="E2846" s="201">
        <v>0.05</v>
      </c>
      <c r="F2846" s="113">
        <f>H2845</f>
        <v>39905.75</v>
      </c>
      <c r="G2846" s="157">
        <v>0</v>
      </c>
      <c r="H2846" s="479">
        <f t="shared" si="271"/>
        <v>1995.2875000000001</v>
      </c>
    </row>
    <row r="2847" spans="1:9" s="42" customFormat="1" ht="15.75" thickBot="1" x14ac:dyDescent="0.25">
      <c r="A2847" s="387" t="s">
        <v>978</v>
      </c>
      <c r="B2847" s="571"/>
      <c r="C2847" s="388" t="s">
        <v>2626</v>
      </c>
      <c r="D2847" s="389" t="s">
        <v>411</v>
      </c>
      <c r="E2847" s="390"/>
      <c r="F2847" s="391">
        <f>ROUND(SUM(H2847:H2850),0)</f>
        <v>65843</v>
      </c>
      <c r="G2847" s="392"/>
      <c r="H2847" s="393"/>
      <c r="I2847" s="738"/>
    </row>
    <row r="2848" spans="1:9" x14ac:dyDescent="0.2">
      <c r="A2848" s="183" t="s">
        <v>382</v>
      </c>
      <c r="B2848" s="570" t="s">
        <v>2627</v>
      </c>
      <c r="C2848" s="3" t="s">
        <v>2626</v>
      </c>
      <c r="D2848" s="2" t="s">
        <v>411</v>
      </c>
      <c r="E2848" s="114">
        <v>1</v>
      </c>
      <c r="F2848" s="23">
        <f>VLOOKUP(B2848,'BASE DE DATOS'!$A$5:$E$997,5,FALSE)</f>
        <v>41900</v>
      </c>
      <c r="G2848" s="104">
        <v>0</v>
      </c>
      <c r="H2848" s="252">
        <f t="shared" ref="H2848:H2850" si="272">IF(G2848&gt;0,(G2848*F2848*E2848),(F2848*E2848))</f>
        <v>41900</v>
      </c>
    </row>
    <row r="2849" spans="1:9" x14ac:dyDescent="0.2">
      <c r="A2849" s="185" t="s">
        <v>2555</v>
      </c>
      <c r="B2849" s="547" t="s">
        <v>599</v>
      </c>
      <c r="C2849" s="20" t="s">
        <v>600</v>
      </c>
      <c r="D2849" s="19" t="s">
        <v>585</v>
      </c>
      <c r="E2849" s="194">
        <v>1</v>
      </c>
      <c r="F2849" s="23">
        <f>VLOOKUP(B2849,'BASE DE DATOS'!$A$5:$E$997,5,FALSE)</f>
        <v>159623</v>
      </c>
      <c r="G2849" s="58">
        <f>1/7</f>
        <v>0.14285714285714285</v>
      </c>
      <c r="H2849" s="252">
        <f t="shared" si="272"/>
        <v>22803.285714285714</v>
      </c>
    </row>
    <row r="2850" spans="1:9" ht="13.5" thickBot="1" x14ac:dyDescent="0.25">
      <c r="A2850" s="184" t="s">
        <v>293</v>
      </c>
      <c r="B2850" s="577" t="s">
        <v>269</v>
      </c>
      <c r="C2850" s="111" t="s">
        <v>284</v>
      </c>
      <c r="D2850" s="112" t="s">
        <v>586</v>
      </c>
      <c r="E2850" s="201">
        <v>0.05</v>
      </c>
      <c r="F2850" s="113">
        <f>H2849</f>
        <v>22803.285714285714</v>
      </c>
      <c r="G2850" s="157">
        <v>0</v>
      </c>
      <c r="H2850" s="479">
        <f t="shared" si="272"/>
        <v>1140.1642857142858</v>
      </c>
    </row>
    <row r="2851" spans="1:9" s="42" customFormat="1" ht="30.75" thickBot="1" x14ac:dyDescent="0.25">
      <c r="A2851" s="387" t="s">
        <v>979</v>
      </c>
      <c r="B2851" s="571"/>
      <c r="C2851" s="388" t="s">
        <v>2629</v>
      </c>
      <c r="D2851" s="389" t="s">
        <v>411</v>
      </c>
      <c r="E2851" s="390"/>
      <c r="F2851" s="391">
        <f>ROUND(SUM(H2851:H2854),0)</f>
        <v>40672</v>
      </c>
      <c r="G2851" s="392"/>
      <c r="H2851" s="393"/>
      <c r="I2851" s="738"/>
    </row>
    <row r="2852" spans="1:9" ht="25.5" x14ac:dyDescent="0.2">
      <c r="A2852" s="183" t="s">
        <v>382</v>
      </c>
      <c r="B2852" s="570" t="s">
        <v>2630</v>
      </c>
      <c r="C2852" s="3" t="s">
        <v>2628</v>
      </c>
      <c r="D2852" s="2" t="s">
        <v>411</v>
      </c>
      <c r="E2852" s="114">
        <v>1</v>
      </c>
      <c r="F2852" s="23">
        <f>VLOOKUP(B2852,'BASE DE DATOS'!$A$5:$E$997,5,FALSE)</f>
        <v>28700</v>
      </c>
      <c r="G2852" s="104">
        <v>0</v>
      </c>
      <c r="H2852" s="252">
        <f t="shared" ref="H2852:H2854" si="273">IF(G2852&gt;0,(G2852*F2852*E2852),(F2852*E2852))</f>
        <v>28700</v>
      </c>
    </row>
    <row r="2853" spans="1:9" x14ac:dyDescent="0.2">
      <c r="A2853" s="185" t="s">
        <v>2555</v>
      </c>
      <c r="B2853" s="547" t="s">
        <v>599</v>
      </c>
      <c r="C2853" s="20" t="s">
        <v>600</v>
      </c>
      <c r="D2853" s="19" t="s">
        <v>585</v>
      </c>
      <c r="E2853" s="194">
        <v>1</v>
      </c>
      <c r="F2853" s="23">
        <f>VLOOKUP(B2853,'BASE DE DATOS'!$A$5:$E$997,5,FALSE)</f>
        <v>159623</v>
      </c>
      <c r="G2853" s="58">
        <f>1/14</f>
        <v>7.1428571428571425E-2</v>
      </c>
      <c r="H2853" s="252">
        <f t="shared" si="273"/>
        <v>11401.642857142857</v>
      </c>
    </row>
    <row r="2854" spans="1:9" ht="13.5" thickBot="1" x14ac:dyDescent="0.25">
      <c r="A2854" s="184" t="s">
        <v>293</v>
      </c>
      <c r="B2854" s="577" t="s">
        <v>269</v>
      </c>
      <c r="C2854" s="111" t="s">
        <v>284</v>
      </c>
      <c r="D2854" s="112" t="s">
        <v>586</v>
      </c>
      <c r="E2854" s="201">
        <v>0.05</v>
      </c>
      <c r="F2854" s="113">
        <f>H2853</f>
        <v>11401.642857142857</v>
      </c>
      <c r="G2854" s="157">
        <v>0</v>
      </c>
      <c r="H2854" s="479">
        <f t="shared" si="273"/>
        <v>570.08214285714291</v>
      </c>
    </row>
    <row r="2855" spans="1:9" s="42" customFormat="1" ht="15.75" thickBot="1" x14ac:dyDescent="0.25">
      <c r="A2855" s="387" t="s">
        <v>980</v>
      </c>
      <c r="B2855" s="571"/>
      <c r="C2855" s="388" t="s">
        <v>2631</v>
      </c>
      <c r="D2855" s="389" t="s">
        <v>411</v>
      </c>
      <c r="E2855" s="390"/>
      <c r="F2855" s="391">
        <f>ROUND(SUM(H2855:H2858),0)</f>
        <v>37172</v>
      </c>
      <c r="G2855" s="392"/>
      <c r="H2855" s="393"/>
      <c r="I2855" s="738"/>
    </row>
    <row r="2856" spans="1:9" x14ac:dyDescent="0.2">
      <c r="A2856" s="183" t="s">
        <v>382</v>
      </c>
      <c r="B2856" s="570" t="s">
        <v>2632</v>
      </c>
      <c r="C2856" s="3" t="s">
        <v>2631</v>
      </c>
      <c r="D2856" s="2" t="s">
        <v>411</v>
      </c>
      <c r="E2856" s="114">
        <v>1</v>
      </c>
      <c r="F2856" s="23">
        <f>VLOOKUP(B2856,'BASE DE DATOS'!$A$5:$E$997,5,FALSE)</f>
        <v>25200</v>
      </c>
      <c r="G2856" s="104">
        <v>0</v>
      </c>
      <c r="H2856" s="252">
        <f t="shared" ref="H2856:H2858" si="274">IF(G2856&gt;0,(G2856*F2856*E2856),(F2856*E2856))</f>
        <v>25200</v>
      </c>
      <c r="I2856" s="745"/>
    </row>
    <row r="2857" spans="1:9" x14ac:dyDescent="0.2">
      <c r="A2857" s="185" t="s">
        <v>2555</v>
      </c>
      <c r="B2857" s="547" t="s">
        <v>599</v>
      </c>
      <c r="C2857" s="20" t="s">
        <v>600</v>
      </c>
      <c r="D2857" s="19" t="s">
        <v>585</v>
      </c>
      <c r="E2857" s="194">
        <v>1</v>
      </c>
      <c r="F2857" s="23">
        <f>VLOOKUP(B2857,'BASE DE DATOS'!$A$5:$E$997,5,FALSE)</f>
        <v>159623</v>
      </c>
      <c r="G2857" s="58">
        <f>1/14</f>
        <v>7.1428571428571425E-2</v>
      </c>
      <c r="H2857" s="252">
        <f t="shared" si="274"/>
        <v>11401.642857142857</v>
      </c>
    </row>
    <row r="2858" spans="1:9" ht="13.5" thickBot="1" x14ac:dyDescent="0.25">
      <c r="A2858" s="184" t="s">
        <v>293</v>
      </c>
      <c r="B2858" s="577" t="s">
        <v>269</v>
      </c>
      <c r="C2858" s="111" t="s">
        <v>284</v>
      </c>
      <c r="D2858" s="112" t="s">
        <v>586</v>
      </c>
      <c r="E2858" s="201">
        <v>0.05</v>
      </c>
      <c r="F2858" s="113">
        <f>H2857</f>
        <v>11401.642857142857</v>
      </c>
      <c r="G2858" s="157">
        <v>0</v>
      </c>
      <c r="H2858" s="479">
        <f t="shared" si="274"/>
        <v>570.08214285714291</v>
      </c>
    </row>
    <row r="2859" spans="1:9" s="42" customFormat="1" ht="30.75" thickBot="1" x14ac:dyDescent="0.25">
      <c r="A2859" s="387" t="s">
        <v>981</v>
      </c>
      <c r="B2859" s="571"/>
      <c r="C2859" s="388" t="s">
        <v>3583</v>
      </c>
      <c r="D2859" s="389" t="s">
        <v>411</v>
      </c>
      <c r="E2859" s="390"/>
      <c r="F2859" s="391">
        <f>ROUND(SUM(H2859:H2862),0)</f>
        <v>36872</v>
      </c>
      <c r="G2859" s="392"/>
      <c r="H2859" s="393"/>
      <c r="I2859" s="738"/>
    </row>
    <row r="2860" spans="1:9" ht="25.5" x14ac:dyDescent="0.2">
      <c r="A2860" s="183" t="s">
        <v>382</v>
      </c>
      <c r="B2860" s="570" t="s">
        <v>2633</v>
      </c>
      <c r="C2860" s="3" t="s">
        <v>3915</v>
      </c>
      <c r="D2860" s="2" t="s">
        <v>411</v>
      </c>
      <c r="E2860" s="114">
        <v>1</v>
      </c>
      <c r="F2860" s="23">
        <f>VLOOKUP(B2860,'BASE DE DATOS'!$A$5:$E$997,5,FALSE)</f>
        <v>24900</v>
      </c>
      <c r="G2860" s="104">
        <v>0</v>
      </c>
      <c r="H2860" s="252">
        <f t="shared" ref="H2860:H2862" si="275">IF(G2860&gt;0,(G2860*F2860*E2860),(F2860*E2860))</f>
        <v>24900</v>
      </c>
      <c r="I2860" s="745"/>
    </row>
    <row r="2861" spans="1:9" x14ac:dyDescent="0.2">
      <c r="A2861" s="185" t="s">
        <v>2555</v>
      </c>
      <c r="B2861" s="547" t="s">
        <v>599</v>
      </c>
      <c r="C2861" s="20" t="s">
        <v>600</v>
      </c>
      <c r="D2861" s="19" t="s">
        <v>585</v>
      </c>
      <c r="E2861" s="194">
        <v>1</v>
      </c>
      <c r="F2861" s="23">
        <f>VLOOKUP(B2861,'BASE DE DATOS'!$A$5:$E$997,5,FALSE)</f>
        <v>159623</v>
      </c>
      <c r="G2861" s="58">
        <f>1/14</f>
        <v>7.1428571428571425E-2</v>
      </c>
      <c r="H2861" s="252">
        <f t="shared" si="275"/>
        <v>11401.642857142857</v>
      </c>
    </row>
    <row r="2862" spans="1:9" ht="13.5" thickBot="1" x14ac:dyDescent="0.25">
      <c r="A2862" s="184" t="s">
        <v>293</v>
      </c>
      <c r="B2862" s="577" t="s">
        <v>269</v>
      </c>
      <c r="C2862" s="111" t="s">
        <v>284</v>
      </c>
      <c r="D2862" s="112" t="s">
        <v>586</v>
      </c>
      <c r="E2862" s="201">
        <v>0.05</v>
      </c>
      <c r="F2862" s="113">
        <f>H2861</f>
        <v>11401.642857142857</v>
      </c>
      <c r="G2862" s="157">
        <v>0</v>
      </c>
      <c r="H2862" s="479">
        <f t="shared" si="275"/>
        <v>570.08214285714291</v>
      </c>
    </row>
    <row r="2863" spans="1:9" s="42" customFormat="1" ht="15.75" thickBot="1" x14ac:dyDescent="0.25">
      <c r="A2863" s="387" t="s">
        <v>982</v>
      </c>
      <c r="B2863" s="571"/>
      <c r="C2863" s="388" t="s">
        <v>2634</v>
      </c>
      <c r="D2863" s="389" t="s">
        <v>411</v>
      </c>
      <c r="E2863" s="390"/>
      <c r="F2863" s="391">
        <f>ROUND(SUM(H2863:H2866),0)</f>
        <v>44693</v>
      </c>
      <c r="G2863" s="392"/>
      <c r="H2863" s="393"/>
      <c r="I2863" s="738"/>
    </row>
    <row r="2864" spans="1:9" x14ac:dyDescent="0.2">
      <c r="A2864" s="183" t="s">
        <v>382</v>
      </c>
      <c r="B2864" s="570" t="s">
        <v>2636</v>
      </c>
      <c r="C2864" s="3" t="s">
        <v>2635</v>
      </c>
      <c r="D2864" s="2" t="s">
        <v>411</v>
      </c>
      <c r="E2864" s="114">
        <v>1</v>
      </c>
      <c r="F2864" s="23">
        <f>VLOOKUP(B2864,'BASE DE DATOS'!$A$5:$E$997,5,FALSE)</f>
        <v>31800</v>
      </c>
      <c r="G2864" s="104">
        <v>0</v>
      </c>
      <c r="H2864" s="252">
        <f t="shared" ref="H2864:H2866" si="276">IF(G2864&gt;0,(G2864*F2864*E2864),(F2864*E2864))</f>
        <v>31800</v>
      </c>
      <c r="I2864" s="745"/>
    </row>
    <row r="2865" spans="1:9" x14ac:dyDescent="0.2">
      <c r="A2865" s="185" t="s">
        <v>2555</v>
      </c>
      <c r="B2865" s="547" t="s">
        <v>599</v>
      </c>
      <c r="C2865" s="20" t="s">
        <v>600</v>
      </c>
      <c r="D2865" s="19" t="s">
        <v>585</v>
      </c>
      <c r="E2865" s="194">
        <v>1</v>
      </c>
      <c r="F2865" s="23">
        <f>VLOOKUP(B2865,'BASE DE DATOS'!$A$5:$E$997,5,FALSE)</f>
        <v>159623</v>
      </c>
      <c r="G2865" s="58">
        <f>1/13</f>
        <v>7.6923076923076927E-2</v>
      </c>
      <c r="H2865" s="252">
        <f t="shared" si="276"/>
        <v>12278.692307692309</v>
      </c>
    </row>
    <row r="2866" spans="1:9" ht="13.5" thickBot="1" x14ac:dyDescent="0.25">
      <c r="A2866" s="184" t="s">
        <v>293</v>
      </c>
      <c r="B2866" s="577" t="s">
        <v>269</v>
      </c>
      <c r="C2866" s="111" t="s">
        <v>284</v>
      </c>
      <c r="D2866" s="112" t="s">
        <v>586</v>
      </c>
      <c r="E2866" s="201">
        <v>0.05</v>
      </c>
      <c r="F2866" s="113">
        <f>H2865</f>
        <v>12278.692307692309</v>
      </c>
      <c r="G2866" s="157">
        <v>0</v>
      </c>
      <c r="H2866" s="479">
        <f t="shared" si="276"/>
        <v>613.93461538461543</v>
      </c>
    </row>
    <row r="2867" spans="1:9" s="42" customFormat="1" ht="30.75" thickBot="1" x14ac:dyDescent="0.25">
      <c r="A2867" s="387" t="s">
        <v>983</v>
      </c>
      <c r="B2867" s="571"/>
      <c r="C2867" s="388" t="s">
        <v>2639</v>
      </c>
      <c r="D2867" s="389" t="s">
        <v>411</v>
      </c>
      <c r="E2867" s="390"/>
      <c r="F2867" s="391">
        <f>ROUND(SUM(H2867:H2870),0)</f>
        <v>51872</v>
      </c>
      <c r="G2867" s="392"/>
      <c r="H2867" s="393"/>
      <c r="I2867" s="738"/>
    </row>
    <row r="2868" spans="1:9" ht="25.5" x14ac:dyDescent="0.2">
      <c r="A2868" s="183" t="s">
        <v>382</v>
      </c>
      <c r="B2868" s="570" t="s">
        <v>2638</v>
      </c>
      <c r="C2868" s="3" t="s">
        <v>2637</v>
      </c>
      <c r="D2868" s="2" t="s">
        <v>411</v>
      </c>
      <c r="E2868" s="114">
        <v>1</v>
      </c>
      <c r="F2868" s="23">
        <f>VLOOKUP(B2868,'BASE DE DATOS'!$A$5:$E$997,5,FALSE)</f>
        <v>39900</v>
      </c>
      <c r="G2868" s="104">
        <v>0</v>
      </c>
      <c r="H2868" s="252">
        <f t="shared" ref="H2868:H2870" si="277">IF(G2868&gt;0,(G2868*F2868*E2868),(F2868*E2868))</f>
        <v>39900</v>
      </c>
      <c r="I2868" s="745"/>
    </row>
    <row r="2869" spans="1:9" x14ac:dyDescent="0.2">
      <c r="A2869" s="185" t="s">
        <v>2555</v>
      </c>
      <c r="B2869" s="547" t="s">
        <v>599</v>
      </c>
      <c r="C2869" s="20" t="s">
        <v>600</v>
      </c>
      <c r="D2869" s="19" t="s">
        <v>585</v>
      </c>
      <c r="E2869" s="194">
        <v>1</v>
      </c>
      <c r="F2869" s="23">
        <f>VLOOKUP(B2869,'BASE DE DATOS'!$A$5:$E$997,5,FALSE)</f>
        <v>159623</v>
      </c>
      <c r="G2869" s="58">
        <f>1/14</f>
        <v>7.1428571428571425E-2</v>
      </c>
      <c r="H2869" s="252">
        <f t="shared" si="277"/>
        <v>11401.642857142857</v>
      </c>
    </row>
    <row r="2870" spans="1:9" ht="13.5" thickBot="1" x14ac:dyDescent="0.25">
      <c r="A2870" s="184" t="s">
        <v>293</v>
      </c>
      <c r="B2870" s="577" t="s">
        <v>269</v>
      </c>
      <c r="C2870" s="111" t="s">
        <v>284</v>
      </c>
      <c r="D2870" s="112" t="s">
        <v>586</v>
      </c>
      <c r="E2870" s="201">
        <v>0.05</v>
      </c>
      <c r="F2870" s="113">
        <f>H2869</f>
        <v>11401.642857142857</v>
      </c>
      <c r="G2870" s="157">
        <v>0</v>
      </c>
      <c r="H2870" s="479">
        <f t="shared" si="277"/>
        <v>570.08214285714291</v>
      </c>
    </row>
    <row r="2871" spans="1:9" s="42" customFormat="1" ht="18" thickBot="1" x14ac:dyDescent="0.25">
      <c r="A2871" s="434" t="s">
        <v>984</v>
      </c>
      <c r="B2871" s="571"/>
      <c r="C2871" s="388" t="s">
        <v>3650</v>
      </c>
      <c r="D2871" s="389" t="s">
        <v>3251</v>
      </c>
      <c r="E2871" s="395"/>
      <c r="F2871" s="391">
        <f>ROUND(SUM(H2871:H2874),0)</f>
        <v>293036</v>
      </c>
      <c r="G2871" s="392"/>
      <c r="H2871" s="393"/>
      <c r="I2871" s="738"/>
    </row>
    <row r="2872" spans="1:9" ht="14.25" x14ac:dyDescent="0.2">
      <c r="A2872" s="492" t="s">
        <v>382</v>
      </c>
      <c r="B2872" s="570" t="s">
        <v>2642</v>
      </c>
      <c r="C2872" s="237" t="s">
        <v>3649</v>
      </c>
      <c r="D2872" s="2" t="s">
        <v>288</v>
      </c>
      <c r="E2872" s="114">
        <v>1</v>
      </c>
      <c r="F2872" s="23">
        <f>VLOOKUP(B2872,'BASE DE DATOS'!$A$5:$E$997,5,FALSE)</f>
        <v>249583.33333333334</v>
      </c>
      <c r="G2872" s="104">
        <v>0</v>
      </c>
      <c r="H2872" s="252">
        <f t="shared" ref="H2872:H2874" si="278">IF(G2872&gt;0,(G2872*F2872*E2872),(F2872*E2872))</f>
        <v>249583.33333333334</v>
      </c>
    </row>
    <row r="2873" spans="1:9" x14ac:dyDescent="0.2">
      <c r="A2873" s="493" t="s">
        <v>2555</v>
      </c>
      <c r="B2873" s="570" t="s">
        <v>644</v>
      </c>
      <c r="C2873" s="3" t="s">
        <v>600</v>
      </c>
      <c r="D2873" s="2" t="s">
        <v>585</v>
      </c>
      <c r="E2873" s="114">
        <v>1</v>
      </c>
      <c r="F2873" s="23">
        <f>VLOOKUP(B2873,'BASE DE DATOS'!$A$5:$E$997,5,FALSE)</f>
        <v>248302</v>
      </c>
      <c r="G2873" s="104">
        <f>1/6</f>
        <v>0.16666666666666666</v>
      </c>
      <c r="H2873" s="252">
        <f t="shared" si="278"/>
        <v>41383.666666666664</v>
      </c>
    </row>
    <row r="2874" spans="1:9" ht="13.5" thickBot="1" x14ac:dyDescent="0.25">
      <c r="A2874" s="489" t="s">
        <v>293</v>
      </c>
      <c r="B2874" s="572" t="s">
        <v>269</v>
      </c>
      <c r="C2874" s="108" t="s">
        <v>284</v>
      </c>
      <c r="D2874" s="109" t="s">
        <v>586</v>
      </c>
      <c r="E2874" s="200">
        <v>0.05</v>
      </c>
      <c r="F2874" s="110">
        <f>H2873</f>
        <v>41383.666666666664</v>
      </c>
      <c r="G2874" s="156">
        <v>0</v>
      </c>
      <c r="H2874" s="479">
        <f t="shared" si="278"/>
        <v>2069.1833333333334</v>
      </c>
    </row>
    <row r="2875" spans="1:9" s="42" customFormat="1" ht="30" x14ac:dyDescent="0.2">
      <c r="A2875" s="67" t="s">
        <v>985</v>
      </c>
      <c r="B2875" s="571"/>
      <c r="C2875" s="388" t="s">
        <v>511</v>
      </c>
      <c r="D2875" s="389" t="s">
        <v>411</v>
      </c>
      <c r="E2875" s="395"/>
      <c r="F2875" s="391">
        <f>ROUND(SUM(H2875:H2879),0)</f>
        <v>301366</v>
      </c>
      <c r="G2875" s="392"/>
      <c r="H2875" s="393"/>
      <c r="I2875" s="738"/>
    </row>
    <row r="2876" spans="1:9" x14ac:dyDescent="0.2">
      <c r="A2876" s="936" t="s">
        <v>382</v>
      </c>
      <c r="B2876" s="570" t="s">
        <v>1789</v>
      </c>
      <c r="C2876" s="3" t="s">
        <v>2720</v>
      </c>
      <c r="D2876" s="2" t="s">
        <v>411</v>
      </c>
      <c r="E2876" s="114">
        <v>1</v>
      </c>
      <c r="F2876" s="23">
        <f>VLOOKUP(B2876,'BASE DE DATOS'!$A$5:$E$997,5,FALSE)</f>
        <v>59900</v>
      </c>
      <c r="G2876" s="104">
        <v>0</v>
      </c>
      <c r="H2876" s="252">
        <f>IF(G2876&gt;0,(G2876*F2876*E2876),(F2876*E2876))</f>
        <v>59900</v>
      </c>
    </row>
    <row r="2877" spans="1:9" ht="25.5" x14ac:dyDescent="0.2">
      <c r="A2877" s="936"/>
      <c r="B2877" s="570" t="s">
        <v>1458</v>
      </c>
      <c r="C2877" s="3" t="s">
        <v>3848</v>
      </c>
      <c r="D2877" s="2" t="s">
        <v>411</v>
      </c>
      <c r="E2877" s="114">
        <v>1</v>
      </c>
      <c r="F2877" s="23">
        <f>VLOOKUP(B2877,'BASE DE DATOS'!$A$5:$E$997,5,FALSE)</f>
        <v>104900</v>
      </c>
      <c r="G2877" s="104">
        <v>0</v>
      </c>
      <c r="H2877" s="252">
        <f t="shared" ref="H2877:H2879" si="279">IF(G2877&gt;0,(G2877*F2877*E2877),(F2877*E2877))</f>
        <v>104900</v>
      </c>
    </row>
    <row r="2878" spans="1:9" x14ac:dyDescent="0.2">
      <c r="A2878" s="81" t="s">
        <v>2555</v>
      </c>
      <c r="B2878" s="570" t="s">
        <v>644</v>
      </c>
      <c r="C2878" s="3" t="s">
        <v>645</v>
      </c>
      <c r="D2878" s="2" t="s">
        <v>585</v>
      </c>
      <c r="E2878" s="114">
        <v>1</v>
      </c>
      <c r="F2878" s="23">
        <f>VLOOKUP(B2878,'BASE DE DATOS'!$A$5:$E$997,5,FALSE)</f>
        <v>248302</v>
      </c>
      <c r="G2878" s="104">
        <f>1/2</f>
        <v>0.5</v>
      </c>
      <c r="H2878" s="252">
        <f t="shared" si="279"/>
        <v>124151</v>
      </c>
    </row>
    <row r="2879" spans="1:9" ht="13.5" thickBot="1" x14ac:dyDescent="0.25">
      <c r="A2879" s="94" t="s">
        <v>293</v>
      </c>
      <c r="B2879" s="572" t="s">
        <v>269</v>
      </c>
      <c r="C2879" s="108" t="s">
        <v>284</v>
      </c>
      <c r="D2879" s="109" t="s">
        <v>586</v>
      </c>
      <c r="E2879" s="200">
        <v>0.1</v>
      </c>
      <c r="F2879" s="110">
        <f>H2878</f>
        <v>124151</v>
      </c>
      <c r="G2879" s="156">
        <v>0</v>
      </c>
      <c r="H2879" s="479">
        <f t="shared" si="279"/>
        <v>12415.1</v>
      </c>
    </row>
    <row r="2880" spans="1:9" s="42" customFormat="1" ht="30" x14ac:dyDescent="0.2">
      <c r="A2880" s="67" t="s">
        <v>986</v>
      </c>
      <c r="B2880" s="571"/>
      <c r="C2880" s="359" t="s">
        <v>3757</v>
      </c>
      <c r="D2880" s="389" t="s">
        <v>405</v>
      </c>
      <c r="E2880" s="395"/>
      <c r="F2880" s="391">
        <f>ROUND(SUM(H2880:H2884),0)</f>
        <v>923782</v>
      </c>
      <c r="G2880" s="392"/>
      <c r="H2880" s="393"/>
      <c r="I2880" s="738"/>
    </row>
    <row r="2881" spans="1:9" ht="25.5" x14ac:dyDescent="0.2">
      <c r="A2881" s="936" t="s">
        <v>382</v>
      </c>
      <c r="B2881" s="570" t="s">
        <v>1804</v>
      </c>
      <c r="C2881" s="3" t="s">
        <v>3624</v>
      </c>
      <c r="D2881" s="2" t="s">
        <v>405</v>
      </c>
      <c r="E2881" s="114">
        <v>1</v>
      </c>
      <c r="F2881" s="23">
        <f>VLOOKUP(B2881,'BASE DE DATOS'!$A$5:$E$997,5,FALSE)</f>
        <v>620700</v>
      </c>
      <c r="G2881" s="104">
        <v>0</v>
      </c>
      <c r="H2881" s="252">
        <f t="shared" ref="H2881:H2884" si="280">IF(G2881&gt;0,(G2881*F2881*E2881),(F2881*E2881))</f>
        <v>620700</v>
      </c>
    </row>
    <row r="2882" spans="1:9" x14ac:dyDescent="0.2">
      <c r="A2882" s="936"/>
      <c r="B2882" s="570" t="s">
        <v>1789</v>
      </c>
      <c r="C2882" s="3" t="s">
        <v>2720</v>
      </c>
      <c r="D2882" s="2" t="s">
        <v>411</v>
      </c>
      <c r="E2882" s="114">
        <v>0.5</v>
      </c>
      <c r="F2882" s="23">
        <f>VLOOKUP(B2882,'BASE DE DATOS'!$A$5:$E$997,5,FALSE)</f>
        <v>59900</v>
      </c>
      <c r="G2882" s="104">
        <v>0</v>
      </c>
      <c r="H2882" s="252">
        <f t="shared" si="280"/>
        <v>29950</v>
      </c>
    </row>
    <row r="2883" spans="1:9" x14ac:dyDescent="0.2">
      <c r="A2883" s="81" t="s">
        <v>2555</v>
      </c>
      <c r="B2883" s="570" t="s">
        <v>644</v>
      </c>
      <c r="C2883" s="3" t="s">
        <v>645</v>
      </c>
      <c r="D2883" s="2" t="s">
        <v>585</v>
      </c>
      <c r="E2883" s="114">
        <v>1</v>
      </c>
      <c r="F2883" s="23">
        <f>VLOOKUP(B2883,'BASE DE DATOS'!$A$5:$E$997,5,FALSE)</f>
        <v>248302</v>
      </c>
      <c r="G2883" s="104">
        <f>1/1</f>
        <v>1</v>
      </c>
      <c r="H2883" s="252">
        <f t="shared" si="280"/>
        <v>248302</v>
      </c>
    </row>
    <row r="2884" spans="1:9" ht="13.5" thickBot="1" x14ac:dyDescent="0.25">
      <c r="A2884" s="94" t="s">
        <v>293</v>
      </c>
      <c r="B2884" s="572" t="s">
        <v>269</v>
      </c>
      <c r="C2884" s="108" t="s">
        <v>284</v>
      </c>
      <c r="D2884" s="109" t="s">
        <v>586</v>
      </c>
      <c r="E2884" s="200">
        <v>0.1</v>
      </c>
      <c r="F2884" s="110">
        <f>H2883</f>
        <v>248302</v>
      </c>
      <c r="G2884" s="156">
        <v>0</v>
      </c>
      <c r="H2884" s="479">
        <f t="shared" si="280"/>
        <v>24830.2</v>
      </c>
    </row>
    <row r="2885" spans="1:9" s="42" customFormat="1" ht="30" x14ac:dyDescent="0.2">
      <c r="A2885" s="67" t="s">
        <v>987</v>
      </c>
      <c r="B2885" s="571"/>
      <c r="C2885" s="388" t="s">
        <v>3758</v>
      </c>
      <c r="D2885" s="389" t="s">
        <v>405</v>
      </c>
      <c r="E2885" s="395"/>
      <c r="F2885" s="391">
        <f>ROUND(SUM(H2885:H2888),0)</f>
        <v>623032</v>
      </c>
      <c r="G2885" s="392"/>
      <c r="H2885" s="393"/>
      <c r="I2885" s="738"/>
    </row>
    <row r="2886" spans="1:9" x14ac:dyDescent="0.2">
      <c r="A2886" s="82" t="s">
        <v>382</v>
      </c>
      <c r="B2886" s="570" t="s">
        <v>1730</v>
      </c>
      <c r="C2886" s="3" t="s">
        <v>3147</v>
      </c>
      <c r="D2886" s="2" t="s">
        <v>405</v>
      </c>
      <c r="E2886" s="114">
        <v>1</v>
      </c>
      <c r="F2886" s="23">
        <f>VLOOKUP(B2886,'BASE DE DATOS'!$A$5:$E$997,5,FALSE)</f>
        <v>349900</v>
      </c>
      <c r="G2886" s="104">
        <v>0</v>
      </c>
      <c r="H2886" s="252">
        <f t="shared" ref="H2886:H2888" si="281">IF(G2886&gt;0,(G2886*F2886*E2886),(F2886*E2886))</f>
        <v>349900</v>
      </c>
    </row>
    <row r="2887" spans="1:9" x14ac:dyDescent="0.2">
      <c r="A2887" s="81" t="s">
        <v>2555</v>
      </c>
      <c r="B2887" s="570" t="s">
        <v>644</v>
      </c>
      <c r="C2887" s="3" t="s">
        <v>645</v>
      </c>
      <c r="D2887" s="2" t="s">
        <v>585</v>
      </c>
      <c r="E2887" s="114">
        <v>1</v>
      </c>
      <c r="F2887" s="23">
        <f>VLOOKUP(B2887,'BASE DE DATOS'!$A$5:$E$997,5,FALSE)</f>
        <v>248302</v>
      </c>
      <c r="G2887" s="104">
        <v>1</v>
      </c>
      <c r="H2887" s="252">
        <f t="shared" si="281"/>
        <v>248302</v>
      </c>
    </row>
    <row r="2888" spans="1:9" ht="13.5" thickBot="1" x14ac:dyDescent="0.25">
      <c r="A2888" s="94" t="s">
        <v>293</v>
      </c>
      <c r="B2888" s="572" t="s">
        <v>269</v>
      </c>
      <c r="C2888" s="108" t="s">
        <v>284</v>
      </c>
      <c r="D2888" s="109" t="s">
        <v>586</v>
      </c>
      <c r="E2888" s="200">
        <v>0.1</v>
      </c>
      <c r="F2888" s="110">
        <f>H2887</f>
        <v>248302</v>
      </c>
      <c r="G2888" s="156">
        <v>0</v>
      </c>
      <c r="H2888" s="479">
        <f t="shared" si="281"/>
        <v>24830.2</v>
      </c>
    </row>
    <row r="2889" spans="1:9" s="42" customFormat="1" ht="15" x14ac:dyDescent="0.2">
      <c r="A2889" s="67" t="s">
        <v>988</v>
      </c>
      <c r="B2889" s="571"/>
      <c r="C2889" s="388" t="s">
        <v>156</v>
      </c>
      <c r="D2889" s="389" t="s">
        <v>411</v>
      </c>
      <c r="E2889" s="395"/>
      <c r="F2889" s="391">
        <f>ROUND(SUM(H2889:H2893),0)</f>
        <v>65623</v>
      </c>
      <c r="G2889" s="392"/>
      <c r="H2889" s="393"/>
      <c r="I2889" s="738"/>
    </row>
    <row r="2890" spans="1:9" x14ac:dyDescent="0.2">
      <c r="A2890" s="936" t="s">
        <v>382</v>
      </c>
      <c r="B2890" s="570" t="s">
        <v>1318</v>
      </c>
      <c r="C2890" s="3" t="s">
        <v>677</v>
      </c>
      <c r="D2890" s="2" t="s">
        <v>406</v>
      </c>
      <c r="E2890" s="114">
        <v>0.01</v>
      </c>
      <c r="F2890" s="23">
        <f>VLOOKUP(B2890,'BASE DE DATOS'!$A$5:$E$997,5,FALSE)</f>
        <v>1675</v>
      </c>
      <c r="G2890" s="104">
        <v>1.05</v>
      </c>
      <c r="H2890" s="252">
        <f>IF(G2890&gt;0,(G2890*F2890*E2890),(F2890*E2890))</f>
        <v>17.587500000000002</v>
      </c>
    </row>
    <row r="2891" spans="1:9" x14ac:dyDescent="0.2">
      <c r="A2891" s="936"/>
      <c r="B2891" s="570" t="s">
        <v>1566</v>
      </c>
      <c r="C2891" s="3" t="s">
        <v>3869</v>
      </c>
      <c r="D2891" s="2" t="s">
        <v>411</v>
      </c>
      <c r="E2891" s="114">
        <v>1</v>
      </c>
      <c r="F2891" s="23">
        <f>VLOOKUP(B2891,'BASE DE DATOS'!$A$5:$E$997,5,FALSE)</f>
        <v>53900</v>
      </c>
      <c r="G2891" s="104">
        <v>0</v>
      </c>
      <c r="H2891" s="252">
        <f t="shared" ref="H2891:H2893" si="282">IF(G2891&gt;0,(G2891*F2891*E2891),(F2891*E2891))</f>
        <v>53900</v>
      </c>
    </row>
    <row r="2892" spans="1:9" x14ac:dyDescent="0.2">
      <c r="A2892" s="81" t="s">
        <v>2555</v>
      </c>
      <c r="B2892" s="570" t="s">
        <v>599</v>
      </c>
      <c r="C2892" s="3" t="s">
        <v>600</v>
      </c>
      <c r="D2892" s="2" t="s">
        <v>585</v>
      </c>
      <c r="E2892" s="114">
        <v>1</v>
      </c>
      <c r="F2892" s="23">
        <f>VLOOKUP(B2892,'BASE DE DATOS'!$A$5:$E$997,5,FALSE)</f>
        <v>159623</v>
      </c>
      <c r="G2892" s="104">
        <f>1/15</f>
        <v>6.6666666666666666E-2</v>
      </c>
      <c r="H2892" s="252">
        <f t="shared" si="282"/>
        <v>10641.533333333333</v>
      </c>
    </row>
    <row r="2893" spans="1:9" ht="13.5" thickBot="1" x14ac:dyDescent="0.25">
      <c r="A2893" s="84" t="s">
        <v>293</v>
      </c>
      <c r="B2893" s="572" t="s">
        <v>269</v>
      </c>
      <c r="C2893" s="108" t="s">
        <v>284</v>
      </c>
      <c r="D2893" s="109" t="s">
        <v>586</v>
      </c>
      <c r="E2893" s="200">
        <v>0.1</v>
      </c>
      <c r="F2893" s="110">
        <f>H2892</f>
        <v>10641.533333333333</v>
      </c>
      <c r="G2893" s="156">
        <v>0</v>
      </c>
      <c r="H2893" s="479">
        <f t="shared" si="282"/>
        <v>1064.1533333333334</v>
      </c>
    </row>
    <row r="2894" spans="1:9" s="42" customFormat="1" ht="30" x14ac:dyDescent="0.2">
      <c r="A2894" s="67" t="s">
        <v>989</v>
      </c>
      <c r="B2894" s="578"/>
      <c r="C2894" s="388" t="s">
        <v>3626</v>
      </c>
      <c r="D2894" s="389" t="s">
        <v>411</v>
      </c>
      <c r="E2894" s="390"/>
      <c r="F2894" s="391">
        <f>ROUND(SUM(H2894:H2901),0)</f>
        <v>679604</v>
      </c>
      <c r="G2894" s="392"/>
      <c r="H2894" s="393"/>
      <c r="I2894" s="738"/>
    </row>
    <row r="2895" spans="1:9" x14ac:dyDescent="0.2">
      <c r="A2895" s="936" t="s">
        <v>382</v>
      </c>
      <c r="B2895" s="570" t="s">
        <v>1318</v>
      </c>
      <c r="C2895" s="3" t="s">
        <v>677</v>
      </c>
      <c r="D2895" s="2" t="s">
        <v>406</v>
      </c>
      <c r="E2895" s="114">
        <v>20</v>
      </c>
      <c r="F2895" s="23">
        <f>VLOOKUP(B2895,'BASE DE DATOS'!$A$5:$E$997,5,FALSE)</f>
        <v>1675</v>
      </c>
      <c r="G2895" s="104">
        <v>1.05</v>
      </c>
      <c r="H2895" s="252">
        <f>IF(G2895&gt;0,(G2895*F2895*E2895),(F2895*E2895))</f>
        <v>35175</v>
      </c>
    </row>
    <row r="2896" spans="1:9" x14ac:dyDescent="0.2">
      <c r="A2896" s="936"/>
      <c r="B2896" s="570" t="s">
        <v>1360</v>
      </c>
      <c r="C2896" s="3" t="s">
        <v>171</v>
      </c>
      <c r="D2896" s="2" t="s">
        <v>411</v>
      </c>
      <c r="E2896" s="114">
        <v>1</v>
      </c>
      <c r="F2896" s="23">
        <f>VLOOKUP(B2896,'BASE DE DATOS'!$A$5:$E$997,5,FALSE)</f>
        <v>37800</v>
      </c>
      <c r="G2896" s="104">
        <v>0</v>
      </c>
      <c r="H2896" s="252">
        <f>IF(G2896&gt;0,(G2896*F2896*E2896),(F2896*E2896))</f>
        <v>37800</v>
      </c>
    </row>
    <row r="2897" spans="1:9" x14ac:dyDescent="0.2">
      <c r="A2897" s="936"/>
      <c r="B2897" s="570" t="s">
        <v>1774</v>
      </c>
      <c r="C2897" s="3" t="s">
        <v>1961</v>
      </c>
      <c r="D2897" s="2" t="s">
        <v>411</v>
      </c>
      <c r="E2897" s="114">
        <v>1</v>
      </c>
      <c r="F2897" s="23">
        <f>VLOOKUP(B2897,'BASE DE DATOS'!$A$5:$E$997,5,FALSE)</f>
        <v>199900</v>
      </c>
      <c r="G2897" s="104">
        <v>0</v>
      </c>
      <c r="H2897" s="252">
        <f t="shared" ref="H2897:H2901" si="283">IF(G2897&gt;0,(G2897*F2897*E2897),(F2897*E2897))</f>
        <v>199900</v>
      </c>
    </row>
    <row r="2898" spans="1:9" ht="25.5" x14ac:dyDescent="0.2">
      <c r="A2898" s="940" t="s">
        <v>3252</v>
      </c>
      <c r="B2898" s="570" t="s">
        <v>3327</v>
      </c>
      <c r="C2898" s="3" t="s">
        <v>3625</v>
      </c>
      <c r="D2898" s="2" t="s">
        <v>288</v>
      </c>
      <c r="E2898" s="114">
        <f>1.34*2+0.9*2*0.12</f>
        <v>2.8960000000000004</v>
      </c>
      <c r="F2898" s="23">
        <f>F1855</f>
        <v>75713</v>
      </c>
      <c r="G2898" s="104">
        <v>0</v>
      </c>
      <c r="H2898" s="252">
        <f t="shared" si="283"/>
        <v>219264.84800000003</v>
      </c>
    </row>
    <row r="2899" spans="1:9" ht="14.25" x14ac:dyDescent="0.2">
      <c r="A2899" s="940"/>
      <c r="B2899" s="570" t="s">
        <v>872</v>
      </c>
      <c r="C2899" s="3" t="s">
        <v>3507</v>
      </c>
      <c r="D2899" s="2" t="s">
        <v>288</v>
      </c>
      <c r="E2899" s="114">
        <v>1.34</v>
      </c>
      <c r="F2899" s="23">
        <f>F1230</f>
        <v>71955</v>
      </c>
      <c r="G2899" s="104">
        <v>0</v>
      </c>
      <c r="H2899" s="252">
        <f t="shared" ref="H2899" si="284">IF(G2899&gt;0,(G2899*F2899*E2899),(F2899*E2899))</f>
        <v>96419.700000000012</v>
      </c>
    </row>
    <row r="2900" spans="1:9" x14ac:dyDescent="0.2">
      <c r="A2900" s="81" t="s">
        <v>2555</v>
      </c>
      <c r="B2900" s="570" t="s">
        <v>644</v>
      </c>
      <c r="C2900" s="3" t="s">
        <v>645</v>
      </c>
      <c r="D2900" s="2" t="s">
        <v>585</v>
      </c>
      <c r="E2900" s="114">
        <v>1</v>
      </c>
      <c r="F2900" s="23">
        <f>VLOOKUP(B2900,'BASE DE DATOS'!$A$5:$E$997,5,FALSE)</f>
        <v>248302</v>
      </c>
      <c r="G2900" s="104">
        <f>1/3</f>
        <v>0.33333333333333331</v>
      </c>
      <c r="H2900" s="252">
        <f t="shared" si="283"/>
        <v>82767.333333333328</v>
      </c>
    </row>
    <row r="2901" spans="1:9" s="33" customFormat="1" ht="13.5" thickBot="1" x14ac:dyDescent="0.25">
      <c r="A2901" s="94" t="s">
        <v>293</v>
      </c>
      <c r="B2901" s="572" t="s">
        <v>269</v>
      </c>
      <c r="C2901" s="108" t="s">
        <v>284</v>
      </c>
      <c r="D2901" s="109" t="s">
        <v>586</v>
      </c>
      <c r="E2901" s="200">
        <v>0.1</v>
      </c>
      <c r="F2901" s="110">
        <f>H2900</f>
        <v>82767.333333333328</v>
      </c>
      <c r="G2901" s="156">
        <v>0</v>
      </c>
      <c r="H2901" s="479">
        <f t="shared" si="283"/>
        <v>8276.7333333333336</v>
      </c>
    </row>
    <row r="2902" spans="1:9" s="42" customFormat="1" ht="30" x14ac:dyDescent="0.2">
      <c r="A2902" s="67" t="s">
        <v>990</v>
      </c>
      <c r="B2902" s="571"/>
      <c r="C2902" s="388" t="s">
        <v>3627</v>
      </c>
      <c r="D2902" s="389" t="s">
        <v>411</v>
      </c>
      <c r="E2902" s="390"/>
      <c r="F2902" s="391">
        <f>ROUND(SUM(H2902:H2909),0)</f>
        <v>508226</v>
      </c>
      <c r="G2902" s="392"/>
      <c r="H2902" s="393"/>
      <c r="I2902" s="738"/>
    </row>
    <row r="2903" spans="1:9" x14ac:dyDescent="0.2">
      <c r="A2903" s="936" t="s">
        <v>382</v>
      </c>
      <c r="B2903" s="570" t="s">
        <v>1318</v>
      </c>
      <c r="C2903" s="3" t="s">
        <v>677</v>
      </c>
      <c r="D2903" s="2" t="s">
        <v>406</v>
      </c>
      <c r="E2903" s="114">
        <v>2</v>
      </c>
      <c r="F2903" s="23">
        <f>VLOOKUP(B2903,'BASE DE DATOS'!$A$5:$E$997,5,FALSE)</f>
        <v>1675</v>
      </c>
      <c r="G2903" s="104">
        <v>1.05</v>
      </c>
      <c r="H2903" s="252">
        <f>IF(G2903&gt;0,(G2903*F2903*E2903),(F2903*E2903))</f>
        <v>3517.5</v>
      </c>
    </row>
    <row r="2904" spans="1:9" x14ac:dyDescent="0.2">
      <c r="A2904" s="936"/>
      <c r="B2904" s="570" t="s">
        <v>1360</v>
      </c>
      <c r="C2904" s="3" t="s">
        <v>171</v>
      </c>
      <c r="D2904" s="2" t="s">
        <v>411</v>
      </c>
      <c r="E2904" s="114">
        <v>1</v>
      </c>
      <c r="F2904" s="23">
        <f>VLOOKUP(B2904,'BASE DE DATOS'!$A$5:$E$997,5,FALSE)</f>
        <v>37800</v>
      </c>
      <c r="G2904" s="104">
        <v>0</v>
      </c>
      <c r="H2904" s="252">
        <f>IF(G2904&gt;0,(G2904*F2904*E2904),(F2904*E2904))</f>
        <v>37800</v>
      </c>
    </row>
    <row r="2905" spans="1:9" ht="25.5" x14ac:dyDescent="0.2">
      <c r="A2905" s="936"/>
      <c r="B2905" s="570" t="s">
        <v>1451</v>
      </c>
      <c r="C2905" s="3" t="s">
        <v>3139</v>
      </c>
      <c r="D2905" s="2" t="s">
        <v>411</v>
      </c>
      <c r="E2905" s="114">
        <v>1</v>
      </c>
      <c r="F2905" s="23">
        <f>VLOOKUP(B2905,'BASE DE DATOS'!$A$5:$E$997,5,FALSE)</f>
        <v>327900</v>
      </c>
      <c r="G2905" s="104">
        <v>0</v>
      </c>
      <c r="H2905" s="252">
        <f t="shared" ref="H2905:H2909" si="285">IF(G2905&gt;0,(G2905*F2905*E2905),(F2905*E2905))</f>
        <v>327900</v>
      </c>
    </row>
    <row r="2906" spans="1:9" ht="25.5" x14ac:dyDescent="0.2">
      <c r="A2906" s="940" t="s">
        <v>3252</v>
      </c>
      <c r="B2906" s="570" t="s">
        <v>3327</v>
      </c>
      <c r="C2906" s="3" t="s">
        <v>3625</v>
      </c>
      <c r="D2906" s="2" t="s">
        <v>288</v>
      </c>
      <c r="E2906" s="114">
        <f>1.34*2+0.9*2*0.12</f>
        <v>2.8960000000000004</v>
      </c>
      <c r="F2906" s="23">
        <f>F1863</f>
        <v>16553.466666666667</v>
      </c>
      <c r="G2906" s="104">
        <v>0</v>
      </c>
      <c r="H2906" s="252">
        <f t="shared" si="285"/>
        <v>47938.839466666672</v>
      </c>
    </row>
    <row r="2907" spans="1:9" ht="14.25" x14ac:dyDescent="0.2">
      <c r="A2907" s="940"/>
      <c r="B2907" s="570" t="s">
        <v>872</v>
      </c>
      <c r="C2907" s="3" t="s">
        <v>3507</v>
      </c>
      <c r="D2907" s="2" t="s">
        <v>288</v>
      </c>
      <c r="E2907" s="114">
        <v>1.34</v>
      </c>
      <c r="F2907" s="23">
        <f>F1238</f>
        <v>19</v>
      </c>
      <c r="G2907" s="104">
        <v>0</v>
      </c>
      <c r="H2907" s="252">
        <f t="shared" si="285"/>
        <v>25.46</v>
      </c>
    </row>
    <row r="2908" spans="1:9" x14ac:dyDescent="0.2">
      <c r="A2908" s="81" t="s">
        <v>2555</v>
      </c>
      <c r="B2908" s="570" t="s">
        <v>644</v>
      </c>
      <c r="C2908" s="3" t="s">
        <v>645</v>
      </c>
      <c r="D2908" s="2" t="s">
        <v>585</v>
      </c>
      <c r="E2908" s="114">
        <v>1</v>
      </c>
      <c r="F2908" s="23">
        <f>VLOOKUP(B2908,'BASE DE DATOS'!$A$5:$E$997,5,FALSE)</f>
        <v>248302</v>
      </c>
      <c r="G2908" s="104">
        <f>1/3</f>
        <v>0.33333333333333331</v>
      </c>
      <c r="H2908" s="252">
        <f t="shared" si="285"/>
        <v>82767.333333333328</v>
      </c>
    </row>
    <row r="2909" spans="1:9" ht="13.5" thickBot="1" x14ac:dyDescent="0.25">
      <c r="A2909" s="94" t="s">
        <v>293</v>
      </c>
      <c r="B2909" s="572" t="s">
        <v>269</v>
      </c>
      <c r="C2909" s="108" t="s">
        <v>284</v>
      </c>
      <c r="D2909" s="109" t="s">
        <v>586</v>
      </c>
      <c r="E2909" s="200">
        <v>0.1</v>
      </c>
      <c r="F2909" s="110">
        <f>H2908</f>
        <v>82767.333333333328</v>
      </c>
      <c r="G2909" s="156">
        <v>0</v>
      </c>
      <c r="H2909" s="479">
        <f t="shared" si="285"/>
        <v>8276.7333333333336</v>
      </c>
    </row>
    <row r="2910" spans="1:9" s="42" customFormat="1" ht="15" x14ac:dyDescent="0.2">
      <c r="A2910" s="67" t="s">
        <v>3381</v>
      </c>
      <c r="B2910" s="571"/>
      <c r="C2910" s="388" t="s">
        <v>1990</v>
      </c>
      <c r="D2910" s="389" t="s">
        <v>411</v>
      </c>
      <c r="E2910" s="390"/>
      <c r="F2910" s="391">
        <f>ROUND(SUM(H2910:H2921),0)</f>
        <v>8636753</v>
      </c>
      <c r="G2910" s="392"/>
      <c r="H2910" s="393"/>
      <c r="I2910" s="738"/>
    </row>
    <row r="2911" spans="1:9" ht="25.5" x14ac:dyDescent="0.2">
      <c r="A2911" s="936" t="s">
        <v>382</v>
      </c>
      <c r="B2911" s="547" t="s">
        <v>1393</v>
      </c>
      <c r="C2911" s="20" t="s">
        <v>2010</v>
      </c>
      <c r="D2911" s="19" t="s">
        <v>411</v>
      </c>
      <c r="E2911" s="194">
        <v>1</v>
      </c>
      <c r="F2911" s="23">
        <f>VLOOKUP(B2911,'BASE DE DATOS'!$A$5:$E$997,5,FALSE)</f>
        <v>4155900</v>
      </c>
      <c r="G2911" s="58">
        <v>0</v>
      </c>
      <c r="H2911" s="252">
        <f>IF(G2911&gt;0,(G2911*F2911*E2911),(F2911*E2911))</f>
        <v>4155900</v>
      </c>
    </row>
    <row r="2912" spans="1:9" x14ac:dyDescent="0.2">
      <c r="A2912" s="936"/>
      <c r="B2912" s="547" t="s">
        <v>1438</v>
      </c>
      <c r="C2912" s="20" t="s">
        <v>1992</v>
      </c>
      <c r="D2912" s="19" t="s">
        <v>411</v>
      </c>
      <c r="E2912" s="194">
        <v>1</v>
      </c>
      <c r="F2912" s="23">
        <f>VLOOKUP(B2912,'BASE DE DATOS'!$A$5:$E$997,5,FALSE)</f>
        <v>298900</v>
      </c>
      <c r="G2912" s="58">
        <v>0</v>
      </c>
      <c r="H2912" s="252">
        <f>IF(G2912&gt;0,(G2912*F2912*E2912),(F2912*E2912))</f>
        <v>298900</v>
      </c>
    </row>
    <row r="2913" spans="1:9" x14ac:dyDescent="0.2">
      <c r="A2913" s="936"/>
      <c r="B2913" s="570" t="s">
        <v>1440</v>
      </c>
      <c r="C2913" s="26" t="s">
        <v>2610</v>
      </c>
      <c r="D2913" s="2" t="s">
        <v>411</v>
      </c>
      <c r="E2913" s="114">
        <v>1</v>
      </c>
      <c r="F2913" s="23">
        <f>VLOOKUP(B2913,'BASE DE DATOS'!$A$5:$E$997,5,FALSE)</f>
        <v>2203950</v>
      </c>
      <c r="G2913" s="104">
        <v>0</v>
      </c>
      <c r="H2913" s="252">
        <f t="shared" ref="H2913:H2921" si="286">IF(G2913&gt;0,(G2913*F2913*E2913),(F2913*E2913))</f>
        <v>2203950</v>
      </c>
    </row>
    <row r="2914" spans="1:9" x14ac:dyDescent="0.2">
      <c r="A2914" s="936"/>
      <c r="B2914" s="547" t="s">
        <v>1610</v>
      </c>
      <c r="C2914" s="20" t="s">
        <v>1991</v>
      </c>
      <c r="D2914" s="19" t="s">
        <v>411</v>
      </c>
      <c r="E2914" s="194">
        <v>1</v>
      </c>
      <c r="F2914" s="23">
        <f>VLOOKUP(B2914,'BASE DE DATOS'!$A$5:$E$997,5,FALSE)</f>
        <v>284900</v>
      </c>
      <c r="G2914" s="58">
        <v>0</v>
      </c>
      <c r="H2914" s="252">
        <f t="shared" si="286"/>
        <v>284900</v>
      </c>
    </row>
    <row r="2915" spans="1:9" ht="14.25" x14ac:dyDescent="0.2">
      <c r="A2915" s="948" t="s">
        <v>3252</v>
      </c>
      <c r="B2915" s="547" t="s">
        <v>766</v>
      </c>
      <c r="C2915" s="142" t="s">
        <v>133</v>
      </c>
      <c r="D2915" s="19" t="s">
        <v>285</v>
      </c>
      <c r="E2915" s="194">
        <v>15</v>
      </c>
      <c r="F2915" s="23">
        <f>F472</f>
        <v>43205</v>
      </c>
      <c r="G2915" s="58">
        <v>0</v>
      </c>
      <c r="H2915" s="252">
        <f>IF(G2915&gt;0,(G2915*F2915*E2915),(F2915*E2915))</f>
        <v>648075</v>
      </c>
    </row>
    <row r="2916" spans="1:9" ht="14.25" x14ac:dyDescent="0.2">
      <c r="A2916" s="948"/>
      <c r="B2916" s="547" t="s">
        <v>785</v>
      </c>
      <c r="C2916" s="142" t="s">
        <v>381</v>
      </c>
      <c r="D2916" s="19" t="s">
        <v>285</v>
      </c>
      <c r="E2916" s="194">
        <v>10</v>
      </c>
      <c r="F2916" s="23">
        <f>F567</f>
        <v>39349</v>
      </c>
      <c r="G2916" s="58">
        <v>0</v>
      </c>
      <c r="H2916" s="252">
        <f>IF(G2916&gt;0,(G2916*F2916*E2916),(F2916*E2916))</f>
        <v>393490</v>
      </c>
    </row>
    <row r="2917" spans="1:9" x14ac:dyDescent="0.2">
      <c r="A2917" s="948"/>
      <c r="B2917" s="547" t="s">
        <v>1056</v>
      </c>
      <c r="C2917" s="20" t="s">
        <v>48</v>
      </c>
      <c r="D2917" s="19" t="s">
        <v>405</v>
      </c>
      <c r="E2917" s="194">
        <v>1</v>
      </c>
      <c r="F2917" s="23">
        <f>F3420</f>
        <v>24683</v>
      </c>
      <c r="G2917" s="58">
        <v>0</v>
      </c>
      <c r="H2917" s="252">
        <f t="shared" si="286"/>
        <v>24683</v>
      </c>
    </row>
    <row r="2918" spans="1:9" x14ac:dyDescent="0.2">
      <c r="A2918" s="948"/>
      <c r="B2918" s="547" t="s">
        <v>1058</v>
      </c>
      <c r="C2918" s="20" t="s">
        <v>1993</v>
      </c>
      <c r="D2918" s="19" t="s">
        <v>405</v>
      </c>
      <c r="E2918" s="194">
        <v>1</v>
      </c>
      <c r="F2918" s="23">
        <f>F3434</f>
        <v>36872</v>
      </c>
      <c r="G2918" s="58">
        <v>0</v>
      </c>
      <c r="H2918" s="252">
        <f t="shared" si="286"/>
        <v>36872</v>
      </c>
    </row>
    <row r="2919" spans="1:9" x14ac:dyDescent="0.2">
      <c r="A2919" s="948"/>
      <c r="B2919" s="547" t="s">
        <v>1064</v>
      </c>
      <c r="C2919" s="20" t="s">
        <v>47</v>
      </c>
      <c r="D2919" s="19" t="s">
        <v>405</v>
      </c>
      <c r="E2919" s="194">
        <v>1</v>
      </c>
      <c r="F2919" s="23">
        <f>F3493</f>
        <v>24210</v>
      </c>
      <c r="G2919" s="58">
        <v>0</v>
      </c>
      <c r="H2919" s="252">
        <f t="shared" si="286"/>
        <v>24210</v>
      </c>
    </row>
    <row r="2920" spans="1:9" x14ac:dyDescent="0.2">
      <c r="A2920" s="81" t="s">
        <v>2555</v>
      </c>
      <c r="B2920" s="547" t="s">
        <v>587</v>
      </c>
      <c r="C2920" s="20" t="s">
        <v>588</v>
      </c>
      <c r="D2920" s="19" t="s">
        <v>585</v>
      </c>
      <c r="E2920" s="194">
        <v>1</v>
      </c>
      <c r="F2920" s="23">
        <f>VLOOKUP(B2920,'BASE DE DATOS'!$A$5:$E$997,5,FALSE)</f>
        <v>514339</v>
      </c>
      <c r="G2920" s="58">
        <v>1</v>
      </c>
      <c r="H2920" s="252">
        <f t="shared" si="286"/>
        <v>514339</v>
      </c>
    </row>
    <row r="2921" spans="1:9" ht="13.5" thickBot="1" x14ac:dyDescent="0.25">
      <c r="A2921" s="94" t="s">
        <v>293</v>
      </c>
      <c r="B2921" s="577" t="s">
        <v>269</v>
      </c>
      <c r="C2921" s="111" t="s">
        <v>284</v>
      </c>
      <c r="D2921" s="112" t="s">
        <v>586</v>
      </c>
      <c r="E2921" s="201">
        <v>0.1</v>
      </c>
      <c r="F2921" s="113">
        <f>H2920</f>
        <v>514339</v>
      </c>
      <c r="G2921" s="157">
        <v>0</v>
      </c>
      <c r="H2921" s="479">
        <f t="shared" si="286"/>
        <v>51433.9</v>
      </c>
    </row>
    <row r="2922" spans="1:9" s="42" customFormat="1" ht="15" x14ac:dyDescent="0.2">
      <c r="A2922" s="67" t="s">
        <v>3382</v>
      </c>
      <c r="B2922" s="579"/>
      <c r="C2922" s="399" t="s">
        <v>1994</v>
      </c>
      <c r="D2922" s="326" t="s">
        <v>411</v>
      </c>
      <c r="E2922" s="414"/>
      <c r="F2922" s="401">
        <f>ROUND(SUM(H2922:H2933),0)</f>
        <v>15409703</v>
      </c>
      <c r="G2922" s="402"/>
      <c r="H2922" s="330"/>
      <c r="I2922" s="738"/>
    </row>
    <row r="2923" spans="1:9" ht="25.5" x14ac:dyDescent="0.2">
      <c r="A2923" s="939" t="s">
        <v>295</v>
      </c>
      <c r="B2923" s="547" t="s">
        <v>1394</v>
      </c>
      <c r="C2923" s="20" t="s">
        <v>2011</v>
      </c>
      <c r="D2923" s="19" t="s">
        <v>411</v>
      </c>
      <c r="E2923" s="194">
        <v>1</v>
      </c>
      <c r="F2923" s="23">
        <f>VLOOKUP(B2923,'BASE DE DATOS'!$A$5:$E$997,5,FALSE)</f>
        <v>7456900</v>
      </c>
      <c r="G2923" s="58">
        <v>0</v>
      </c>
      <c r="H2923" s="252">
        <f t="shared" ref="H2923:H2933" si="287">IF(G2923&gt;0,(G2923*F2923*E2923),(F2923*E2923))</f>
        <v>7456900</v>
      </c>
    </row>
    <row r="2924" spans="1:9" x14ac:dyDescent="0.2">
      <c r="A2924" s="939"/>
      <c r="B2924" s="547" t="s">
        <v>1439</v>
      </c>
      <c r="C2924" s="20" t="s">
        <v>1995</v>
      </c>
      <c r="D2924" s="19" t="s">
        <v>411</v>
      </c>
      <c r="E2924" s="194">
        <v>1</v>
      </c>
      <c r="F2924" s="23">
        <f>VLOOKUP(B2924,'BASE DE DATOS'!$A$5:$E$997,5,FALSE)</f>
        <v>366900</v>
      </c>
      <c r="G2924" s="58">
        <v>0</v>
      </c>
      <c r="H2924" s="252">
        <f>IF(G2924&gt;0,(G2924*F2924*E2924),(F2924*E2924))</f>
        <v>366900</v>
      </c>
    </row>
    <row r="2925" spans="1:9" ht="18.600000000000001" customHeight="1" x14ac:dyDescent="0.2">
      <c r="A2925" s="939"/>
      <c r="B2925" s="547" t="s">
        <v>1744</v>
      </c>
      <c r="C2925" s="62" t="s">
        <v>3484</v>
      </c>
      <c r="D2925" s="19" t="s">
        <v>411</v>
      </c>
      <c r="E2925" s="194">
        <v>1</v>
      </c>
      <c r="F2925" s="23">
        <f>VLOOKUP(B2925,'BASE DE DATOS'!$A$5:$E$997,5,FALSE)</f>
        <v>5607900</v>
      </c>
      <c r="G2925" s="58">
        <v>0</v>
      </c>
      <c r="H2925" s="252">
        <f>IF(G2925&gt;0,(G2925*F2925*E2925),(F2925*E2925))</f>
        <v>5607900</v>
      </c>
    </row>
    <row r="2926" spans="1:9" x14ac:dyDescent="0.2">
      <c r="A2926" s="939"/>
      <c r="B2926" s="547" t="s">
        <v>1610</v>
      </c>
      <c r="C2926" s="20" t="s">
        <v>1991</v>
      </c>
      <c r="D2926" s="19" t="s">
        <v>411</v>
      </c>
      <c r="E2926" s="194">
        <v>1</v>
      </c>
      <c r="F2926" s="23">
        <f>VLOOKUP(B2926,'BASE DE DATOS'!$A$5:$E$997,5,FALSE)</f>
        <v>284900</v>
      </c>
      <c r="G2926" s="58">
        <v>0</v>
      </c>
      <c r="H2926" s="252">
        <f t="shared" si="287"/>
        <v>284900</v>
      </c>
    </row>
    <row r="2927" spans="1:9" ht="14.25" x14ac:dyDescent="0.2">
      <c r="A2927" s="948" t="s">
        <v>3252</v>
      </c>
      <c r="B2927" s="570" t="s">
        <v>766</v>
      </c>
      <c r="C2927" s="147" t="s">
        <v>133</v>
      </c>
      <c r="D2927" s="19" t="s">
        <v>285</v>
      </c>
      <c r="E2927" s="114">
        <v>15</v>
      </c>
      <c r="F2927" s="23">
        <f>F472</f>
        <v>43205</v>
      </c>
      <c r="G2927" s="104">
        <v>0</v>
      </c>
      <c r="H2927" s="252">
        <f>IF(G2927&gt;0,(G2927*F2927*E2927),(F2927*E2927))</f>
        <v>648075</v>
      </c>
    </row>
    <row r="2928" spans="1:9" ht="14.25" x14ac:dyDescent="0.2">
      <c r="A2928" s="948"/>
      <c r="B2928" s="570" t="s">
        <v>785</v>
      </c>
      <c r="C2928" s="147" t="s">
        <v>381</v>
      </c>
      <c r="D2928" s="19" t="s">
        <v>285</v>
      </c>
      <c r="E2928" s="114">
        <v>10</v>
      </c>
      <c r="F2928" s="23">
        <f>+$F$567</f>
        <v>39349</v>
      </c>
      <c r="G2928" s="104">
        <v>0</v>
      </c>
      <c r="H2928" s="252">
        <f>IF(G2928&gt;0,(G2928*F2928*E2928),(F2928*E2928))</f>
        <v>393490</v>
      </c>
    </row>
    <row r="2929" spans="1:9" x14ac:dyDescent="0.2">
      <c r="A2929" s="948"/>
      <c r="B2929" s="547" t="s">
        <v>1056</v>
      </c>
      <c r="C2929" s="20" t="s">
        <v>48</v>
      </c>
      <c r="D2929" s="19" t="s">
        <v>405</v>
      </c>
      <c r="E2929" s="194">
        <v>1</v>
      </c>
      <c r="F2929" s="23">
        <f>F3420</f>
        <v>24683</v>
      </c>
      <c r="G2929" s="58">
        <v>0</v>
      </c>
      <c r="H2929" s="252">
        <f t="shared" si="287"/>
        <v>24683</v>
      </c>
    </row>
    <row r="2930" spans="1:9" x14ac:dyDescent="0.2">
      <c r="A2930" s="948"/>
      <c r="B2930" s="547" t="s">
        <v>1058</v>
      </c>
      <c r="C2930" s="20" t="s">
        <v>1993</v>
      </c>
      <c r="D2930" s="19" t="s">
        <v>405</v>
      </c>
      <c r="E2930" s="194">
        <v>1</v>
      </c>
      <c r="F2930" s="23">
        <f>F3434</f>
        <v>36872</v>
      </c>
      <c r="G2930" s="58">
        <v>0</v>
      </c>
      <c r="H2930" s="252">
        <f t="shared" si="287"/>
        <v>36872</v>
      </c>
    </row>
    <row r="2931" spans="1:9" x14ac:dyDescent="0.2">
      <c r="A2931" s="948"/>
      <c r="B2931" s="547" t="s">
        <v>1064</v>
      </c>
      <c r="C2931" s="20" t="s">
        <v>47</v>
      </c>
      <c r="D2931" s="19" t="s">
        <v>405</v>
      </c>
      <c r="E2931" s="194">
        <v>1</v>
      </c>
      <c r="F2931" s="23">
        <f>F3493</f>
        <v>24210</v>
      </c>
      <c r="G2931" s="58">
        <v>0</v>
      </c>
      <c r="H2931" s="252">
        <f t="shared" si="287"/>
        <v>24210</v>
      </c>
    </row>
    <row r="2932" spans="1:9" x14ac:dyDescent="0.2">
      <c r="A2932" s="81" t="s">
        <v>2555</v>
      </c>
      <c r="B2932" s="570" t="s">
        <v>587</v>
      </c>
      <c r="C2932" s="3" t="s">
        <v>588</v>
      </c>
      <c r="D2932" s="2" t="s">
        <v>585</v>
      </c>
      <c r="E2932" s="114">
        <v>1</v>
      </c>
      <c r="F2932" s="23">
        <f>VLOOKUP(B2932,'BASE DE DATOS'!$A$5:$E$997,5,FALSE)</f>
        <v>514339</v>
      </c>
      <c r="G2932" s="104">
        <v>1</v>
      </c>
      <c r="H2932" s="252">
        <f t="shared" si="287"/>
        <v>514339</v>
      </c>
    </row>
    <row r="2933" spans="1:9" ht="13.5" thickBot="1" x14ac:dyDescent="0.25">
      <c r="A2933" s="94" t="s">
        <v>293</v>
      </c>
      <c r="B2933" s="572" t="s">
        <v>269</v>
      </c>
      <c r="C2933" s="108" t="s">
        <v>284</v>
      </c>
      <c r="D2933" s="109" t="s">
        <v>586</v>
      </c>
      <c r="E2933" s="200">
        <v>0.1</v>
      </c>
      <c r="F2933" s="110">
        <f>H2932</f>
        <v>514339</v>
      </c>
      <c r="G2933" s="156">
        <v>0</v>
      </c>
      <c r="H2933" s="479">
        <f t="shared" si="287"/>
        <v>51433.9</v>
      </c>
    </row>
    <row r="2934" spans="1:9" s="42" customFormat="1" ht="15" x14ac:dyDescent="0.2">
      <c r="A2934" s="67" t="s">
        <v>3383</v>
      </c>
      <c r="B2934" s="573"/>
      <c r="C2934" s="435" t="s">
        <v>1991</v>
      </c>
      <c r="D2934" s="396" t="s">
        <v>411</v>
      </c>
      <c r="E2934" s="436"/>
      <c r="F2934" s="391">
        <f>ROUND(SUM(H2934:H2937),0)</f>
        <v>375944</v>
      </c>
      <c r="G2934" s="437"/>
      <c r="H2934" s="303"/>
      <c r="I2934" s="738"/>
    </row>
    <row r="2935" spans="1:9" x14ac:dyDescent="0.2">
      <c r="A2935" s="82" t="s">
        <v>382</v>
      </c>
      <c r="B2935" s="570" t="s">
        <v>1610</v>
      </c>
      <c r="C2935" s="44" t="s">
        <v>1991</v>
      </c>
      <c r="D2935" s="2" t="s">
        <v>411</v>
      </c>
      <c r="E2935" s="196">
        <v>1</v>
      </c>
      <c r="F2935" s="23">
        <f>VLOOKUP(B2935,'BASE DE DATOS'!$A$5:$E$997,5,FALSE)</f>
        <v>284900</v>
      </c>
      <c r="G2935" s="104">
        <v>0</v>
      </c>
      <c r="H2935" s="252">
        <f t="shared" ref="H2935:H2937" si="288">IF(G2935&gt;0,(G2935*F2935*E2935),(F2935*E2935))</f>
        <v>284900</v>
      </c>
    </row>
    <row r="2936" spans="1:9" x14ac:dyDescent="0.2">
      <c r="A2936" s="81" t="s">
        <v>2555</v>
      </c>
      <c r="B2936" s="570" t="s">
        <v>644</v>
      </c>
      <c r="C2936" s="3" t="s">
        <v>645</v>
      </c>
      <c r="D2936" s="2" t="s">
        <v>585</v>
      </c>
      <c r="E2936" s="196">
        <v>1</v>
      </c>
      <c r="F2936" s="23">
        <f>VLOOKUP(B2936,'BASE DE DATOS'!$A$5:$E$997,5,FALSE)</f>
        <v>248302</v>
      </c>
      <c r="G2936" s="104">
        <f>1/3</f>
        <v>0.33333333333333331</v>
      </c>
      <c r="H2936" s="252">
        <f t="shared" si="288"/>
        <v>82767.333333333328</v>
      </c>
    </row>
    <row r="2937" spans="1:9" ht="13.5" thickBot="1" x14ac:dyDescent="0.25">
      <c r="A2937" s="94" t="s">
        <v>293</v>
      </c>
      <c r="B2937" s="572" t="s">
        <v>269</v>
      </c>
      <c r="C2937" s="108" t="s">
        <v>284</v>
      </c>
      <c r="D2937" s="109" t="s">
        <v>586</v>
      </c>
      <c r="E2937" s="203">
        <v>0.1</v>
      </c>
      <c r="F2937" s="110">
        <f>H2936</f>
        <v>82767.333333333328</v>
      </c>
      <c r="G2937" s="156">
        <v>0</v>
      </c>
      <c r="H2937" s="479">
        <f t="shared" si="288"/>
        <v>8276.7333333333336</v>
      </c>
    </row>
    <row r="2938" spans="1:9" s="42" customFormat="1" ht="33" customHeight="1" x14ac:dyDescent="0.2">
      <c r="A2938" s="67" t="s">
        <v>3669</v>
      </c>
      <c r="B2938" s="571"/>
      <c r="C2938" s="388" t="s">
        <v>494</v>
      </c>
      <c r="D2938" s="389" t="s">
        <v>411</v>
      </c>
      <c r="E2938" s="390"/>
      <c r="F2938" s="391">
        <f>ROUND(SUM(H2938:H2940),0)</f>
        <v>370679</v>
      </c>
      <c r="G2938" s="392"/>
      <c r="H2938" s="393"/>
      <c r="I2938" s="738">
        <v>47</v>
      </c>
    </row>
    <row r="2939" spans="1:9" x14ac:dyDescent="0.2">
      <c r="A2939" s="81" t="s">
        <v>2555</v>
      </c>
      <c r="B2939" s="570" t="s">
        <v>607</v>
      </c>
      <c r="C2939" s="3" t="s">
        <v>608</v>
      </c>
      <c r="D2939" s="2" t="s">
        <v>585</v>
      </c>
      <c r="E2939" s="114">
        <v>1</v>
      </c>
      <c r="F2939" s="23">
        <f>VLOOKUP(B2939,'BASE DE DATOS'!$A$5:$E$997,5,FALSE)</f>
        <v>336981</v>
      </c>
      <c r="G2939" s="104">
        <f>1/1</f>
        <v>1</v>
      </c>
      <c r="H2939" s="252">
        <f t="shared" ref="H2939:H2940" si="289">IF(G2939&gt;0,(G2939*F2939*E2939),(F2939*E2939))</f>
        <v>336981</v>
      </c>
    </row>
    <row r="2940" spans="1:9" ht="13.5" thickBot="1" x14ac:dyDescent="0.25">
      <c r="A2940" s="94" t="s">
        <v>293</v>
      </c>
      <c r="B2940" s="572" t="s">
        <v>269</v>
      </c>
      <c r="C2940" s="108" t="s">
        <v>284</v>
      </c>
      <c r="D2940" s="109" t="s">
        <v>586</v>
      </c>
      <c r="E2940" s="200">
        <v>0.1</v>
      </c>
      <c r="F2940" s="110">
        <f>H2939</f>
        <v>336981</v>
      </c>
      <c r="G2940" s="156">
        <v>0</v>
      </c>
      <c r="H2940" s="252">
        <f t="shared" si="289"/>
        <v>33698.1</v>
      </c>
    </row>
    <row r="2941" spans="1:9" ht="15.75" thickBot="1" x14ac:dyDescent="0.25">
      <c r="A2941" s="1025" t="s">
        <v>3365</v>
      </c>
      <c r="B2941" s="1025"/>
      <c r="C2941" s="1025"/>
      <c r="D2941" s="1025"/>
      <c r="E2941" s="1025"/>
      <c r="F2941" s="975"/>
      <c r="G2941" s="1025"/>
      <c r="H2941" s="976"/>
    </row>
    <row r="2942" spans="1:9" ht="45.75" thickBot="1" x14ac:dyDescent="0.25">
      <c r="A2942" s="72" t="s">
        <v>2044</v>
      </c>
      <c r="B2942" s="72" t="s">
        <v>265</v>
      </c>
      <c r="C2942" s="72" t="s">
        <v>402</v>
      </c>
      <c r="D2942" s="354" t="s">
        <v>346</v>
      </c>
      <c r="E2942" s="192" t="s">
        <v>2173</v>
      </c>
      <c r="F2942" s="162" t="s">
        <v>3165</v>
      </c>
      <c r="G2942" s="290" t="s">
        <v>281</v>
      </c>
      <c r="H2942" s="74" t="s">
        <v>3164</v>
      </c>
    </row>
    <row r="2943" spans="1:9" ht="16.5" thickBot="1" x14ac:dyDescent="0.25">
      <c r="A2943" s="1031" t="s">
        <v>3473</v>
      </c>
      <c r="B2943" s="1032"/>
      <c r="C2943" s="1032"/>
      <c r="D2943" s="1032"/>
      <c r="E2943" s="1032"/>
      <c r="F2943" s="1032"/>
      <c r="G2943" s="1032"/>
      <c r="H2943" s="1033"/>
    </row>
    <row r="2944" spans="1:9" s="42" customFormat="1" ht="15" x14ac:dyDescent="0.2">
      <c r="A2944" s="67" t="s">
        <v>991</v>
      </c>
      <c r="B2944" s="560"/>
      <c r="C2944" s="415" t="s">
        <v>91</v>
      </c>
      <c r="D2944" s="441" t="s">
        <v>405</v>
      </c>
      <c r="E2944" s="390"/>
      <c r="F2944" s="391">
        <f>ROUND(SUM(H2944:H2948),0)</f>
        <v>172509</v>
      </c>
      <c r="G2944" s="437"/>
      <c r="H2944" s="442"/>
      <c r="I2944" s="738"/>
    </row>
    <row r="2945" spans="1:9" x14ac:dyDescent="0.2">
      <c r="A2945" s="936" t="s">
        <v>382</v>
      </c>
      <c r="B2945" s="241" t="s">
        <v>1635</v>
      </c>
      <c r="C2945" s="3" t="s">
        <v>2077</v>
      </c>
      <c r="D2945" s="2" t="s">
        <v>405</v>
      </c>
      <c r="E2945" s="114">
        <v>1</v>
      </c>
      <c r="F2945" s="23">
        <f>VLOOKUP(B2945,'BASE DE DATOS'!$A$5:$E$997,5,FALSE)</f>
        <v>144084</v>
      </c>
      <c r="G2945" s="104">
        <v>1.05</v>
      </c>
      <c r="H2945" s="252">
        <f t="shared" ref="H2945:H3008" si="290">IF(G2945&gt;0,(G2945*F2945*E2945),(F2945*E2945))</f>
        <v>151288.20000000001</v>
      </c>
    </row>
    <row r="2946" spans="1:9" x14ac:dyDescent="0.2">
      <c r="A2946" s="936"/>
      <c r="B2946" s="241" t="s">
        <v>1256</v>
      </c>
      <c r="C2946" s="3" t="s">
        <v>216</v>
      </c>
      <c r="D2946" s="2" t="s">
        <v>217</v>
      </c>
      <c r="E2946" s="114">
        <v>0.05</v>
      </c>
      <c r="F2946" s="23">
        <f>H2945</f>
        <v>151288.20000000001</v>
      </c>
      <c r="G2946" s="104">
        <v>0</v>
      </c>
      <c r="H2946" s="252">
        <f>IF(G2946&gt;0,(G2946*F2946*E2946),(F2946*E2946))</f>
        <v>7564.4100000000008</v>
      </c>
    </row>
    <row r="2947" spans="1:9" x14ac:dyDescent="0.2">
      <c r="A2947" s="81" t="s">
        <v>2555</v>
      </c>
      <c r="B2947" s="241" t="s">
        <v>644</v>
      </c>
      <c r="C2947" s="3" t="s">
        <v>645</v>
      </c>
      <c r="D2947" s="2" t="s">
        <v>585</v>
      </c>
      <c r="E2947" s="114">
        <v>1</v>
      </c>
      <c r="F2947" s="23">
        <f>VLOOKUP(B2947,'BASE DE DATOS'!$A$5:$E$997,5,FALSE)</f>
        <v>248302</v>
      </c>
      <c r="G2947" s="104">
        <f>1/20</f>
        <v>0.05</v>
      </c>
      <c r="H2947" s="252">
        <f t="shared" si="290"/>
        <v>12415.1</v>
      </c>
    </row>
    <row r="2948" spans="1:9" ht="13.5" thickBot="1" x14ac:dyDescent="0.25">
      <c r="A2948" s="94" t="s">
        <v>293</v>
      </c>
      <c r="B2948" s="528" t="s">
        <v>269</v>
      </c>
      <c r="C2948" s="108" t="s">
        <v>284</v>
      </c>
      <c r="D2948" s="109" t="s">
        <v>586</v>
      </c>
      <c r="E2948" s="200">
        <v>0.1</v>
      </c>
      <c r="F2948" s="110">
        <f>H2947</f>
        <v>12415.1</v>
      </c>
      <c r="G2948" s="156">
        <v>0</v>
      </c>
      <c r="H2948" s="479">
        <f t="shared" si="290"/>
        <v>1241.5100000000002</v>
      </c>
    </row>
    <row r="2949" spans="1:9" s="42" customFormat="1" ht="15" x14ac:dyDescent="0.2">
      <c r="A2949" s="67" t="s">
        <v>992</v>
      </c>
      <c r="B2949" s="560"/>
      <c r="C2949" s="415" t="s">
        <v>92</v>
      </c>
      <c r="D2949" s="441" t="s">
        <v>405</v>
      </c>
      <c r="E2949" s="390"/>
      <c r="F2949" s="391">
        <f>ROUND(SUM(H2949:H2953),0)</f>
        <v>113598</v>
      </c>
      <c r="G2949" s="437"/>
      <c r="H2949" s="442"/>
      <c r="I2949" s="738"/>
    </row>
    <row r="2950" spans="1:9" x14ac:dyDescent="0.2">
      <c r="A2950" s="936" t="s">
        <v>382</v>
      </c>
      <c r="B2950" s="241" t="s">
        <v>1634</v>
      </c>
      <c r="C2950" s="3" t="s">
        <v>2078</v>
      </c>
      <c r="D2950" s="2" t="s">
        <v>405</v>
      </c>
      <c r="E2950" s="114">
        <v>1</v>
      </c>
      <c r="F2950" s="23">
        <f>VLOOKUP(B2950,'BASE DE DATOS'!$A$5:$E$997,5,FALSE)</f>
        <v>90650</v>
      </c>
      <c r="G2950" s="104">
        <v>1.05</v>
      </c>
      <c r="H2950" s="252">
        <f t="shared" si="290"/>
        <v>95182.5</v>
      </c>
    </row>
    <row r="2951" spans="1:9" x14ac:dyDescent="0.2">
      <c r="A2951" s="936"/>
      <c r="B2951" s="241" t="s">
        <v>1256</v>
      </c>
      <c r="C2951" s="3" t="s">
        <v>216</v>
      </c>
      <c r="D2951" s="2" t="s">
        <v>217</v>
      </c>
      <c r="E2951" s="114">
        <v>0.05</v>
      </c>
      <c r="F2951" s="23">
        <f>H2950</f>
        <v>95182.5</v>
      </c>
      <c r="G2951" s="104">
        <v>0</v>
      </c>
      <c r="H2951" s="252">
        <f t="shared" si="290"/>
        <v>4759.125</v>
      </c>
    </row>
    <row r="2952" spans="1:9" x14ac:dyDescent="0.2">
      <c r="A2952" s="81" t="s">
        <v>2555</v>
      </c>
      <c r="B2952" s="241" t="s">
        <v>644</v>
      </c>
      <c r="C2952" s="3" t="s">
        <v>645</v>
      </c>
      <c r="D2952" s="2" t="s">
        <v>585</v>
      </c>
      <c r="E2952" s="114">
        <v>1</v>
      </c>
      <c r="F2952" s="23">
        <f>VLOOKUP(B2952,'BASE DE DATOS'!$A$5:$E$997,5,FALSE)</f>
        <v>248302</v>
      </c>
      <c r="G2952" s="104">
        <f>1/20</f>
        <v>0.05</v>
      </c>
      <c r="H2952" s="252">
        <f t="shared" si="290"/>
        <v>12415.1</v>
      </c>
    </row>
    <row r="2953" spans="1:9" ht="13.5" thickBot="1" x14ac:dyDescent="0.25">
      <c r="A2953" s="94" t="s">
        <v>293</v>
      </c>
      <c r="B2953" s="528" t="s">
        <v>269</v>
      </c>
      <c r="C2953" s="108" t="s">
        <v>284</v>
      </c>
      <c r="D2953" s="109" t="s">
        <v>586</v>
      </c>
      <c r="E2953" s="200">
        <v>0.1</v>
      </c>
      <c r="F2953" s="110">
        <f>H2952</f>
        <v>12415.1</v>
      </c>
      <c r="G2953" s="156">
        <v>0</v>
      </c>
      <c r="H2953" s="479">
        <f t="shared" si="290"/>
        <v>1241.5100000000002</v>
      </c>
    </row>
    <row r="2954" spans="1:9" s="42" customFormat="1" ht="15" x14ac:dyDescent="0.2">
      <c r="A2954" s="67" t="s">
        <v>993</v>
      </c>
      <c r="B2954" s="560"/>
      <c r="C2954" s="415" t="s">
        <v>93</v>
      </c>
      <c r="D2954" s="441" t="s">
        <v>405</v>
      </c>
      <c r="E2954" s="390"/>
      <c r="F2954" s="391">
        <f>ROUND(SUM(H2954:H2958),0)</f>
        <v>90764</v>
      </c>
      <c r="G2954" s="437"/>
      <c r="H2954" s="442"/>
      <c r="I2954" s="738"/>
    </row>
    <row r="2955" spans="1:9" x14ac:dyDescent="0.2">
      <c r="A2955" s="936" t="s">
        <v>382</v>
      </c>
      <c r="B2955" s="241" t="s">
        <v>1633</v>
      </c>
      <c r="C2955" s="3" t="s">
        <v>2079</v>
      </c>
      <c r="D2955" s="2" t="s">
        <v>405</v>
      </c>
      <c r="E2955" s="114">
        <v>1</v>
      </c>
      <c r="F2955" s="23">
        <f>VLOOKUP(B2955,'BASE DE DATOS'!$A$5:$E$997,5,FALSE)</f>
        <v>73150</v>
      </c>
      <c r="G2955" s="104">
        <v>1.05</v>
      </c>
      <c r="H2955" s="252">
        <f t="shared" si="290"/>
        <v>76807.5</v>
      </c>
    </row>
    <row r="2956" spans="1:9" x14ac:dyDescent="0.2">
      <c r="A2956" s="936"/>
      <c r="B2956" s="241" t="s">
        <v>1256</v>
      </c>
      <c r="C2956" s="3" t="s">
        <v>216</v>
      </c>
      <c r="D2956" s="2" t="s">
        <v>217</v>
      </c>
      <c r="E2956" s="114">
        <v>0.05</v>
      </c>
      <c r="F2956" s="23">
        <f>H2955</f>
        <v>76807.5</v>
      </c>
      <c r="G2956" s="104">
        <v>0</v>
      </c>
      <c r="H2956" s="252">
        <f t="shared" si="290"/>
        <v>3840.375</v>
      </c>
    </row>
    <row r="2957" spans="1:9" x14ac:dyDescent="0.2">
      <c r="A2957" s="81" t="s">
        <v>2555</v>
      </c>
      <c r="B2957" s="241" t="s">
        <v>644</v>
      </c>
      <c r="C2957" s="3" t="s">
        <v>645</v>
      </c>
      <c r="D2957" s="2" t="s">
        <v>585</v>
      </c>
      <c r="E2957" s="114">
        <v>1</v>
      </c>
      <c r="F2957" s="23">
        <f>VLOOKUP(B2957,'BASE DE DATOS'!$A$5:$E$997,5,FALSE)</f>
        <v>248302</v>
      </c>
      <c r="G2957" s="104">
        <f>1/27</f>
        <v>3.7037037037037035E-2</v>
      </c>
      <c r="H2957" s="252">
        <f t="shared" si="290"/>
        <v>9196.3703703703704</v>
      </c>
    </row>
    <row r="2958" spans="1:9" ht="13.5" thickBot="1" x14ac:dyDescent="0.25">
      <c r="A2958" s="94" t="s">
        <v>293</v>
      </c>
      <c r="B2958" s="528" t="s">
        <v>269</v>
      </c>
      <c r="C2958" s="108" t="s">
        <v>284</v>
      </c>
      <c r="D2958" s="109" t="s">
        <v>586</v>
      </c>
      <c r="E2958" s="200">
        <v>0.1</v>
      </c>
      <c r="F2958" s="110">
        <f>H2957</f>
        <v>9196.3703703703704</v>
      </c>
      <c r="G2958" s="156">
        <v>0</v>
      </c>
      <c r="H2958" s="479">
        <f t="shared" si="290"/>
        <v>919.63703703703709</v>
      </c>
    </row>
    <row r="2959" spans="1:9" s="42" customFormat="1" ht="15" x14ac:dyDescent="0.2">
      <c r="A2959" s="67" t="s">
        <v>994</v>
      </c>
      <c r="B2959" s="560"/>
      <c r="C2959" s="415" t="s">
        <v>94</v>
      </c>
      <c r="D2959" s="441" t="s">
        <v>405</v>
      </c>
      <c r="E2959" s="390"/>
      <c r="F2959" s="391">
        <f>ROUND(SUM(H2959:H2963),0)</f>
        <v>48686</v>
      </c>
      <c r="G2959" s="437"/>
      <c r="H2959" s="442"/>
      <c r="I2959" s="738"/>
    </row>
    <row r="2960" spans="1:9" x14ac:dyDescent="0.2">
      <c r="A2960" s="936" t="s">
        <v>382</v>
      </c>
      <c r="B2960" s="241" t="s">
        <v>1632</v>
      </c>
      <c r="C2960" s="3" t="s">
        <v>2080</v>
      </c>
      <c r="D2960" s="2" t="s">
        <v>405</v>
      </c>
      <c r="E2960" s="114">
        <v>1</v>
      </c>
      <c r="F2960" s="23">
        <f>VLOOKUP(B2960,'BASE DE DATOS'!$A$5:$E$997,5,FALSE)</f>
        <v>34984</v>
      </c>
      <c r="G2960" s="104">
        <v>1.05</v>
      </c>
      <c r="H2960" s="252">
        <f t="shared" si="290"/>
        <v>36733.200000000004</v>
      </c>
    </row>
    <row r="2961" spans="1:9" x14ac:dyDescent="0.2">
      <c r="A2961" s="936"/>
      <c r="B2961" s="241" t="s">
        <v>1256</v>
      </c>
      <c r="C2961" s="3" t="s">
        <v>216</v>
      </c>
      <c r="D2961" s="2" t="s">
        <v>217</v>
      </c>
      <c r="E2961" s="114">
        <v>0.05</v>
      </c>
      <c r="F2961" s="23">
        <f>H2960</f>
        <v>36733.200000000004</v>
      </c>
      <c r="G2961" s="104">
        <v>0</v>
      </c>
      <c r="H2961" s="252">
        <f t="shared" si="290"/>
        <v>1836.6600000000003</v>
      </c>
    </row>
    <row r="2962" spans="1:9" x14ac:dyDescent="0.2">
      <c r="A2962" s="81" t="s">
        <v>2555</v>
      </c>
      <c r="B2962" s="241" t="s">
        <v>644</v>
      </c>
      <c r="C2962" s="3" t="s">
        <v>645</v>
      </c>
      <c r="D2962" s="2" t="s">
        <v>585</v>
      </c>
      <c r="E2962" s="114">
        <v>1</v>
      </c>
      <c r="F2962" s="23">
        <f>VLOOKUP(B2962,'BASE DE DATOS'!$A$5:$E$997,5,FALSE)</f>
        <v>248302</v>
      </c>
      <c r="G2962" s="104">
        <f>1/27</f>
        <v>3.7037037037037035E-2</v>
      </c>
      <c r="H2962" s="252">
        <f t="shared" si="290"/>
        <v>9196.3703703703704</v>
      </c>
    </row>
    <row r="2963" spans="1:9" ht="13.5" thickBot="1" x14ac:dyDescent="0.25">
      <c r="A2963" s="94" t="s">
        <v>293</v>
      </c>
      <c r="B2963" s="528" t="s">
        <v>269</v>
      </c>
      <c r="C2963" s="108" t="s">
        <v>284</v>
      </c>
      <c r="D2963" s="109" t="s">
        <v>586</v>
      </c>
      <c r="E2963" s="200">
        <v>0.1</v>
      </c>
      <c r="F2963" s="110">
        <f>H2962</f>
        <v>9196.3703703703704</v>
      </c>
      <c r="G2963" s="156">
        <v>0</v>
      </c>
      <c r="H2963" s="479">
        <f t="shared" si="290"/>
        <v>919.63703703703709</v>
      </c>
    </row>
    <row r="2964" spans="1:9" s="42" customFormat="1" ht="15" x14ac:dyDescent="0.2">
      <c r="A2964" s="67" t="s">
        <v>995</v>
      </c>
      <c r="B2964" s="560"/>
      <c r="C2964" s="415" t="s">
        <v>95</v>
      </c>
      <c r="D2964" s="441" t="s">
        <v>405</v>
      </c>
      <c r="E2964" s="390"/>
      <c r="F2964" s="391">
        <f>ROUND(SUM(H2964:H2968),0)</f>
        <v>21383</v>
      </c>
      <c r="G2964" s="437"/>
      <c r="H2964" s="442"/>
      <c r="I2964" s="738"/>
    </row>
    <row r="2965" spans="1:9" x14ac:dyDescent="0.2">
      <c r="A2965" s="936" t="s">
        <v>382</v>
      </c>
      <c r="B2965" s="241" t="s">
        <v>1631</v>
      </c>
      <c r="C2965" s="3" t="s">
        <v>2081</v>
      </c>
      <c r="D2965" s="2" t="s">
        <v>405</v>
      </c>
      <c r="E2965" s="114">
        <v>1</v>
      </c>
      <c r="F2965" s="23">
        <f>VLOOKUP(B2965,'BASE DE DATOS'!$A$5:$E$997,5,FALSE)</f>
        <v>12317</v>
      </c>
      <c r="G2965" s="104">
        <v>1.05</v>
      </c>
      <c r="H2965" s="252">
        <f t="shared" si="290"/>
        <v>12932.85</v>
      </c>
    </row>
    <row r="2966" spans="1:9" x14ac:dyDescent="0.2">
      <c r="A2966" s="936"/>
      <c r="B2966" s="241" t="s">
        <v>1256</v>
      </c>
      <c r="C2966" s="3" t="s">
        <v>216</v>
      </c>
      <c r="D2966" s="2" t="s">
        <v>217</v>
      </c>
      <c r="E2966" s="114">
        <v>0.05</v>
      </c>
      <c r="F2966" s="23">
        <f>H2965</f>
        <v>12932.85</v>
      </c>
      <c r="G2966" s="104">
        <v>0</v>
      </c>
      <c r="H2966" s="252">
        <f t="shared" si="290"/>
        <v>646.64250000000004</v>
      </c>
    </row>
    <row r="2967" spans="1:9" x14ac:dyDescent="0.2">
      <c r="A2967" s="81" t="s">
        <v>2555</v>
      </c>
      <c r="B2967" s="241" t="s">
        <v>644</v>
      </c>
      <c r="C2967" s="3" t="s">
        <v>645</v>
      </c>
      <c r="D2967" s="2" t="s">
        <v>585</v>
      </c>
      <c r="E2967" s="114">
        <v>1</v>
      </c>
      <c r="F2967" s="23">
        <f>VLOOKUP(B2967,'BASE DE DATOS'!$A$5:$E$997,5,FALSE)</f>
        <v>248302</v>
      </c>
      <c r="G2967" s="104">
        <f>1/35</f>
        <v>2.8571428571428571E-2</v>
      </c>
      <c r="H2967" s="252">
        <f t="shared" si="290"/>
        <v>7094.3428571428567</v>
      </c>
    </row>
    <row r="2968" spans="1:9" ht="13.5" thickBot="1" x14ac:dyDescent="0.25">
      <c r="A2968" s="94" t="s">
        <v>293</v>
      </c>
      <c r="B2968" s="528" t="s">
        <v>269</v>
      </c>
      <c r="C2968" s="108" t="s">
        <v>284</v>
      </c>
      <c r="D2968" s="109" t="s">
        <v>586</v>
      </c>
      <c r="E2968" s="200">
        <v>0.1</v>
      </c>
      <c r="F2968" s="110">
        <f>H2967</f>
        <v>7094.3428571428567</v>
      </c>
      <c r="G2968" s="156">
        <v>0</v>
      </c>
      <c r="H2968" s="479">
        <f t="shared" si="290"/>
        <v>709.43428571428569</v>
      </c>
    </row>
    <row r="2969" spans="1:9" s="42" customFormat="1" ht="15" x14ac:dyDescent="0.2">
      <c r="A2969" s="67" t="s">
        <v>996</v>
      </c>
      <c r="B2969" s="541"/>
      <c r="C2969" s="412" t="s">
        <v>433</v>
      </c>
      <c r="D2969" s="333" t="s">
        <v>411</v>
      </c>
      <c r="E2969" s="414"/>
      <c r="F2969" s="401">
        <f>ROUND(SUM(H2969:H2971),0)</f>
        <v>33554</v>
      </c>
      <c r="G2969" s="443"/>
      <c r="H2969" s="444"/>
      <c r="I2969" s="738"/>
    </row>
    <row r="2970" spans="1:9" x14ac:dyDescent="0.2">
      <c r="A2970" s="82" t="s">
        <v>382</v>
      </c>
      <c r="B2970" s="241" t="s">
        <v>1356</v>
      </c>
      <c r="C2970" s="3" t="s">
        <v>220</v>
      </c>
      <c r="D2970" s="2" t="s">
        <v>411</v>
      </c>
      <c r="E2970" s="114">
        <v>1</v>
      </c>
      <c r="F2970" s="23">
        <f>VLOOKUP(B2970,'BASE DE DATOS'!$A$5:$E$997,5,FALSE)</f>
        <v>21139</v>
      </c>
      <c r="G2970" s="104">
        <v>0</v>
      </c>
      <c r="H2970" s="252">
        <f t="shared" si="290"/>
        <v>21139</v>
      </c>
    </row>
    <row r="2971" spans="1:9" ht="13.5" thickBot="1" x14ac:dyDescent="0.25">
      <c r="A2971" s="122" t="s">
        <v>2555</v>
      </c>
      <c r="B2971" s="528" t="s">
        <v>644</v>
      </c>
      <c r="C2971" s="108" t="s">
        <v>645</v>
      </c>
      <c r="D2971" s="109" t="s">
        <v>585</v>
      </c>
      <c r="E2971" s="200">
        <v>1</v>
      </c>
      <c r="F2971" s="110">
        <f>VLOOKUP(B2971,'BASE DE DATOS'!$A$5:$E$997,5,FALSE)</f>
        <v>248302</v>
      </c>
      <c r="G2971" s="156">
        <f>1/20</f>
        <v>0.05</v>
      </c>
      <c r="H2971" s="479">
        <f t="shared" si="290"/>
        <v>12415.1</v>
      </c>
    </row>
    <row r="2972" spans="1:9" s="42" customFormat="1" ht="15" x14ac:dyDescent="0.2">
      <c r="A2972" s="67" t="s">
        <v>997</v>
      </c>
      <c r="B2972" s="560"/>
      <c r="C2972" s="415" t="s">
        <v>432</v>
      </c>
      <c r="D2972" s="441" t="s">
        <v>411</v>
      </c>
      <c r="E2972" s="390"/>
      <c r="F2972" s="391">
        <f>ROUND(SUM(H2972:H2974),0)</f>
        <v>31031</v>
      </c>
      <c r="G2972" s="437"/>
      <c r="H2972" s="442"/>
      <c r="I2972" s="738"/>
    </row>
    <row r="2973" spans="1:9" x14ac:dyDescent="0.2">
      <c r="A2973" s="82" t="s">
        <v>382</v>
      </c>
      <c r="B2973" s="241" t="s">
        <v>1355</v>
      </c>
      <c r="C2973" s="3" t="s">
        <v>221</v>
      </c>
      <c r="D2973" s="2" t="s">
        <v>411</v>
      </c>
      <c r="E2973" s="114">
        <v>1</v>
      </c>
      <c r="F2973" s="23">
        <f>VLOOKUP(B2973,'BASE DE DATOS'!$A$5:$E$997,5,FALSE)</f>
        <v>18616</v>
      </c>
      <c r="G2973" s="104">
        <v>0</v>
      </c>
      <c r="H2973" s="252">
        <f t="shared" si="290"/>
        <v>18616</v>
      </c>
    </row>
    <row r="2974" spans="1:9" ht="13.5" thickBot="1" x14ac:dyDescent="0.25">
      <c r="A2974" s="122" t="s">
        <v>2555</v>
      </c>
      <c r="B2974" s="528" t="s">
        <v>644</v>
      </c>
      <c r="C2974" s="108" t="s">
        <v>645</v>
      </c>
      <c r="D2974" s="109" t="s">
        <v>585</v>
      </c>
      <c r="E2974" s="200">
        <v>1</v>
      </c>
      <c r="F2974" s="110">
        <f>VLOOKUP(B2974,'BASE DE DATOS'!$A$5:$E$997,5,FALSE)</f>
        <v>248302</v>
      </c>
      <c r="G2974" s="156">
        <f>1/20</f>
        <v>0.05</v>
      </c>
      <c r="H2974" s="479">
        <f t="shared" si="290"/>
        <v>12415.1</v>
      </c>
    </row>
    <row r="2975" spans="1:9" s="42" customFormat="1" ht="15" x14ac:dyDescent="0.2">
      <c r="A2975" s="67" t="s">
        <v>998</v>
      </c>
      <c r="B2975" s="560"/>
      <c r="C2975" s="415" t="s">
        <v>430</v>
      </c>
      <c r="D2975" s="441" t="s">
        <v>411</v>
      </c>
      <c r="E2975" s="390"/>
      <c r="F2975" s="391">
        <f>ROUND(SUM(H2975:H2977),0)</f>
        <v>35320</v>
      </c>
      <c r="G2975" s="437"/>
      <c r="H2975" s="442"/>
      <c r="I2975" s="738"/>
    </row>
    <row r="2976" spans="1:9" x14ac:dyDescent="0.2">
      <c r="A2976" s="82" t="s">
        <v>382</v>
      </c>
      <c r="B2976" s="241" t="s">
        <v>1353</v>
      </c>
      <c r="C2976" s="3" t="s">
        <v>222</v>
      </c>
      <c r="D2976" s="2" t="s">
        <v>411</v>
      </c>
      <c r="E2976" s="114">
        <v>1</v>
      </c>
      <c r="F2976" s="23">
        <f>VLOOKUP(B2976,'BASE DE DATOS'!$A$5:$E$997,5,FALSE)</f>
        <v>22905</v>
      </c>
      <c r="G2976" s="104">
        <v>0</v>
      </c>
      <c r="H2976" s="252">
        <f t="shared" si="290"/>
        <v>22905</v>
      </c>
    </row>
    <row r="2977" spans="1:9" ht="13.5" thickBot="1" x14ac:dyDescent="0.25">
      <c r="A2977" s="122" t="s">
        <v>2555</v>
      </c>
      <c r="B2977" s="528" t="s">
        <v>644</v>
      </c>
      <c r="C2977" s="108" t="s">
        <v>645</v>
      </c>
      <c r="D2977" s="109" t="s">
        <v>585</v>
      </c>
      <c r="E2977" s="200">
        <v>1</v>
      </c>
      <c r="F2977" s="110">
        <f>VLOOKUP(B2977,'BASE DE DATOS'!$A$5:$E$997,5,FALSE)</f>
        <v>248302</v>
      </c>
      <c r="G2977" s="156">
        <f>1/20</f>
        <v>0.05</v>
      </c>
      <c r="H2977" s="479">
        <f t="shared" si="290"/>
        <v>12415.1</v>
      </c>
    </row>
    <row r="2978" spans="1:9" s="42" customFormat="1" ht="15" x14ac:dyDescent="0.2">
      <c r="A2978" s="67" t="s">
        <v>999</v>
      </c>
      <c r="B2978" s="560"/>
      <c r="C2978" s="415" t="s">
        <v>431</v>
      </c>
      <c r="D2978" s="441" t="s">
        <v>411</v>
      </c>
      <c r="E2978" s="390"/>
      <c r="F2978" s="391">
        <f>ROUND(SUM(H2978:H2980),0)</f>
        <v>24972</v>
      </c>
      <c r="G2978" s="437"/>
      <c r="H2978" s="442"/>
      <c r="I2978" s="738"/>
    </row>
    <row r="2979" spans="1:9" x14ac:dyDescent="0.2">
      <c r="A2979" s="82" t="s">
        <v>382</v>
      </c>
      <c r="B2979" s="241" t="s">
        <v>1354</v>
      </c>
      <c r="C2979" s="3" t="s">
        <v>223</v>
      </c>
      <c r="D2979" s="2" t="s">
        <v>411</v>
      </c>
      <c r="E2979" s="114">
        <v>1</v>
      </c>
      <c r="F2979" s="23">
        <f>VLOOKUP(B2979,'BASE DE DATOS'!$A$5:$E$997,5,FALSE)</f>
        <v>12557</v>
      </c>
      <c r="G2979" s="104">
        <v>0</v>
      </c>
      <c r="H2979" s="252">
        <f t="shared" si="290"/>
        <v>12557</v>
      </c>
    </row>
    <row r="2980" spans="1:9" ht="13.5" thickBot="1" x14ac:dyDescent="0.25">
      <c r="A2980" s="122" t="s">
        <v>2555</v>
      </c>
      <c r="B2980" s="528" t="s">
        <v>644</v>
      </c>
      <c r="C2980" s="108" t="s">
        <v>645</v>
      </c>
      <c r="D2980" s="109" t="s">
        <v>585</v>
      </c>
      <c r="E2980" s="200">
        <v>1</v>
      </c>
      <c r="F2980" s="110">
        <f>VLOOKUP(B2980,'BASE DE DATOS'!$A$5:$E$997,5,FALSE)</f>
        <v>248302</v>
      </c>
      <c r="G2980" s="156">
        <f>1/20</f>
        <v>0.05</v>
      </c>
      <c r="H2980" s="479">
        <f t="shared" si="290"/>
        <v>12415.1</v>
      </c>
    </row>
    <row r="2981" spans="1:9" s="42" customFormat="1" ht="15" x14ac:dyDescent="0.2">
      <c r="A2981" s="67" t="s">
        <v>1000</v>
      </c>
      <c r="B2981" s="560"/>
      <c r="C2981" s="415" t="s">
        <v>581</v>
      </c>
      <c r="D2981" s="441" t="s">
        <v>411</v>
      </c>
      <c r="E2981" s="390"/>
      <c r="F2981" s="391">
        <f>ROUND(SUM(H2981:H2983),0)</f>
        <v>310891</v>
      </c>
      <c r="G2981" s="437"/>
      <c r="H2981" s="442"/>
      <c r="I2981" s="738"/>
    </row>
    <row r="2982" spans="1:9" x14ac:dyDescent="0.2">
      <c r="A2982" s="82" t="s">
        <v>382</v>
      </c>
      <c r="B2982" s="241" t="s">
        <v>1679</v>
      </c>
      <c r="C2982" s="3" t="s">
        <v>581</v>
      </c>
      <c r="D2982" s="2" t="s">
        <v>411</v>
      </c>
      <c r="E2982" s="114">
        <v>1</v>
      </c>
      <c r="F2982" s="23">
        <f>VLOOKUP(B2982,'BASE DE DATOS'!$A$5:$E$997,5,FALSE)</f>
        <v>286061</v>
      </c>
      <c r="G2982" s="104">
        <v>0</v>
      </c>
      <c r="H2982" s="252">
        <f t="shared" si="290"/>
        <v>286061</v>
      </c>
    </row>
    <row r="2983" spans="1:9" ht="13.5" thickBot="1" x14ac:dyDescent="0.25">
      <c r="A2983" s="122" t="s">
        <v>2555</v>
      </c>
      <c r="B2983" s="543" t="s">
        <v>644</v>
      </c>
      <c r="C2983" s="111" t="s">
        <v>645</v>
      </c>
      <c r="D2983" s="112" t="s">
        <v>585</v>
      </c>
      <c r="E2983" s="201">
        <v>1</v>
      </c>
      <c r="F2983" s="110">
        <f>VLOOKUP(B2983,'BASE DE DATOS'!$A$5:$E$997,5,FALSE)</f>
        <v>248302</v>
      </c>
      <c r="G2983" s="157">
        <f>1/10</f>
        <v>0.1</v>
      </c>
      <c r="H2983" s="479">
        <f t="shared" si="290"/>
        <v>24830.2</v>
      </c>
    </row>
    <row r="2984" spans="1:9" s="42" customFormat="1" ht="15" x14ac:dyDescent="0.2">
      <c r="A2984" s="67" t="s">
        <v>1001</v>
      </c>
      <c r="B2984" s="541"/>
      <c r="C2984" s="412" t="s">
        <v>580</v>
      </c>
      <c r="D2984" s="333" t="s">
        <v>411</v>
      </c>
      <c r="E2984" s="414"/>
      <c r="F2984" s="401">
        <f>ROUND(SUM(H2984:H2986),0)</f>
        <v>213592</v>
      </c>
      <c r="G2984" s="443"/>
      <c r="H2984" s="444"/>
      <c r="I2984" s="738"/>
    </row>
    <row r="2985" spans="1:9" x14ac:dyDescent="0.2">
      <c r="A2985" s="82" t="s">
        <v>382</v>
      </c>
      <c r="B2985" s="244" t="s">
        <v>1678</v>
      </c>
      <c r="C2985" s="20" t="s">
        <v>580</v>
      </c>
      <c r="D2985" s="19" t="s">
        <v>411</v>
      </c>
      <c r="E2985" s="194">
        <v>1</v>
      </c>
      <c r="F2985" s="23">
        <f>VLOOKUP(B2985,'BASE DE DATOS'!$A$5:$E$997,5,FALSE)</f>
        <v>192900</v>
      </c>
      <c r="G2985" s="58">
        <v>0</v>
      </c>
      <c r="H2985" s="252">
        <f t="shared" si="290"/>
        <v>192900</v>
      </c>
    </row>
    <row r="2986" spans="1:9" ht="13.5" thickBot="1" x14ac:dyDescent="0.25">
      <c r="A2986" s="122" t="s">
        <v>2555</v>
      </c>
      <c r="B2986" s="543" t="s">
        <v>644</v>
      </c>
      <c r="C2986" s="111" t="s">
        <v>645</v>
      </c>
      <c r="D2986" s="112" t="s">
        <v>585</v>
      </c>
      <c r="E2986" s="201">
        <v>1</v>
      </c>
      <c r="F2986" s="110">
        <f>VLOOKUP(B2986,'BASE DE DATOS'!$A$5:$E$997,5,FALSE)</f>
        <v>248302</v>
      </c>
      <c r="G2986" s="157">
        <f>1/12</f>
        <v>8.3333333333333329E-2</v>
      </c>
      <c r="H2986" s="479">
        <f t="shared" si="290"/>
        <v>20691.833333333332</v>
      </c>
    </row>
    <row r="2987" spans="1:9" s="42" customFormat="1" ht="15" x14ac:dyDescent="0.2">
      <c r="A2987" s="67" t="s">
        <v>1002</v>
      </c>
      <c r="B2987" s="541"/>
      <c r="C2987" s="412" t="s">
        <v>579</v>
      </c>
      <c r="D2987" s="333" t="s">
        <v>411</v>
      </c>
      <c r="E2987" s="414"/>
      <c r="F2987" s="401">
        <f>ROUND(SUM(H2987:H2989),0)</f>
        <v>87078</v>
      </c>
      <c r="G2987" s="443"/>
      <c r="H2987" s="444"/>
      <c r="I2987" s="738"/>
    </row>
    <row r="2988" spans="1:9" x14ac:dyDescent="0.2">
      <c r="A2988" s="82" t="s">
        <v>382</v>
      </c>
      <c r="B2988" s="244" t="s">
        <v>1677</v>
      </c>
      <c r="C2988" s="20" t="s">
        <v>579</v>
      </c>
      <c r="D2988" s="19" t="s">
        <v>411</v>
      </c>
      <c r="E2988" s="194">
        <v>1</v>
      </c>
      <c r="F2988" s="23">
        <f>VLOOKUP(B2988,'BASE DE DATOS'!$A$5:$E$997,5,FALSE)</f>
        <v>71559</v>
      </c>
      <c r="G2988" s="58">
        <v>0</v>
      </c>
      <c r="H2988" s="252">
        <f t="shared" si="290"/>
        <v>71559</v>
      </c>
    </row>
    <row r="2989" spans="1:9" ht="13.5" thickBot="1" x14ac:dyDescent="0.25">
      <c r="A2989" s="122" t="s">
        <v>2555</v>
      </c>
      <c r="B2989" s="543" t="s">
        <v>644</v>
      </c>
      <c r="C2989" s="111" t="s">
        <v>645</v>
      </c>
      <c r="D2989" s="112" t="s">
        <v>585</v>
      </c>
      <c r="E2989" s="201">
        <v>1</v>
      </c>
      <c r="F2989" s="110">
        <f>VLOOKUP(B2989,'BASE DE DATOS'!$A$5:$E$997,5,FALSE)</f>
        <v>248302</v>
      </c>
      <c r="G2989" s="157">
        <f>1/16</f>
        <v>6.25E-2</v>
      </c>
      <c r="H2989" s="479">
        <f t="shared" si="290"/>
        <v>15518.875</v>
      </c>
    </row>
    <row r="2990" spans="1:9" s="42" customFormat="1" ht="15" x14ac:dyDescent="0.2">
      <c r="A2990" s="67" t="s">
        <v>1003</v>
      </c>
      <c r="B2990" s="541"/>
      <c r="C2990" s="412" t="s">
        <v>578</v>
      </c>
      <c r="D2990" s="333" t="s">
        <v>411</v>
      </c>
      <c r="E2990" s="414"/>
      <c r="F2990" s="401">
        <f>ROUND(SUM(H2990:H2992),0)</f>
        <v>69315</v>
      </c>
      <c r="G2990" s="443"/>
      <c r="H2990" s="444"/>
      <c r="I2990" s="738"/>
    </row>
    <row r="2991" spans="1:9" x14ac:dyDescent="0.2">
      <c r="A2991" s="82" t="s">
        <v>382</v>
      </c>
      <c r="B2991" s="244" t="s">
        <v>1676</v>
      </c>
      <c r="C2991" s="20" t="s">
        <v>578</v>
      </c>
      <c r="D2991" s="19" t="s">
        <v>411</v>
      </c>
      <c r="E2991" s="194">
        <v>1</v>
      </c>
      <c r="F2991" s="23">
        <f>VLOOKUP(B2991,'BASE DE DATOS'!$A$5:$E$997,5,FALSE)</f>
        <v>56900</v>
      </c>
      <c r="G2991" s="58">
        <v>0</v>
      </c>
      <c r="H2991" s="252">
        <f t="shared" si="290"/>
        <v>56900</v>
      </c>
    </row>
    <row r="2992" spans="1:9" ht="13.5" thickBot="1" x14ac:dyDescent="0.25">
      <c r="A2992" s="122" t="s">
        <v>2555</v>
      </c>
      <c r="B2992" s="543" t="s">
        <v>644</v>
      </c>
      <c r="C2992" s="111" t="s">
        <v>645</v>
      </c>
      <c r="D2992" s="112" t="s">
        <v>585</v>
      </c>
      <c r="E2992" s="201">
        <v>1</v>
      </c>
      <c r="F2992" s="110">
        <f>VLOOKUP(B2992,'BASE DE DATOS'!$A$5:$E$997,5,FALSE)</f>
        <v>248302</v>
      </c>
      <c r="G2992" s="157">
        <f>1/20</f>
        <v>0.05</v>
      </c>
      <c r="H2992" s="479">
        <f t="shared" si="290"/>
        <v>12415.1</v>
      </c>
    </row>
    <row r="2993" spans="1:9" s="42" customFormat="1" ht="15" x14ac:dyDescent="0.2">
      <c r="A2993" s="67" t="s">
        <v>1004</v>
      </c>
      <c r="B2993" s="541"/>
      <c r="C2993" s="412" t="s">
        <v>576</v>
      </c>
      <c r="D2993" s="333" t="s">
        <v>411</v>
      </c>
      <c r="E2993" s="414"/>
      <c r="F2993" s="401">
        <f>ROUND(SUM(H2993:H2995),0)</f>
        <v>70315</v>
      </c>
      <c r="G2993" s="443"/>
      <c r="H2993" s="444"/>
      <c r="I2993" s="738"/>
    </row>
    <row r="2994" spans="1:9" x14ac:dyDescent="0.2">
      <c r="A2994" s="82" t="s">
        <v>382</v>
      </c>
      <c r="B2994" s="244" t="s">
        <v>1674</v>
      </c>
      <c r="C2994" s="20" t="s">
        <v>576</v>
      </c>
      <c r="D2994" s="19" t="s">
        <v>411</v>
      </c>
      <c r="E2994" s="194">
        <v>1</v>
      </c>
      <c r="F2994" s="23">
        <f>VLOOKUP(B2994,'BASE DE DATOS'!$A$5:$E$997,5,FALSE)</f>
        <v>57900</v>
      </c>
      <c r="G2994" s="58">
        <v>0</v>
      </c>
      <c r="H2994" s="252">
        <f t="shared" si="290"/>
        <v>57900</v>
      </c>
    </row>
    <row r="2995" spans="1:9" ht="13.5" thickBot="1" x14ac:dyDescent="0.25">
      <c r="A2995" s="122" t="s">
        <v>2555</v>
      </c>
      <c r="B2995" s="543" t="s">
        <v>644</v>
      </c>
      <c r="C2995" s="111" t="s">
        <v>645</v>
      </c>
      <c r="D2995" s="112" t="s">
        <v>585</v>
      </c>
      <c r="E2995" s="201">
        <v>1</v>
      </c>
      <c r="F2995" s="110">
        <f>VLOOKUP(B2995,'BASE DE DATOS'!$A$5:$E$997,5,FALSE)</f>
        <v>248302</v>
      </c>
      <c r="G2995" s="157">
        <f>1/20</f>
        <v>0.05</v>
      </c>
      <c r="H2995" s="479">
        <f t="shared" si="290"/>
        <v>12415.1</v>
      </c>
    </row>
    <row r="2996" spans="1:9" s="42" customFormat="1" ht="15" x14ac:dyDescent="0.2">
      <c r="A2996" s="67" t="s">
        <v>1005</v>
      </c>
      <c r="B2996" s="541"/>
      <c r="C2996" s="412" t="s">
        <v>577</v>
      </c>
      <c r="D2996" s="333" t="s">
        <v>411</v>
      </c>
      <c r="E2996" s="414"/>
      <c r="F2996" s="401">
        <f>ROUND(SUM(H2996:H2998),0)</f>
        <v>41792</v>
      </c>
      <c r="G2996" s="443"/>
      <c r="H2996" s="444"/>
      <c r="I2996" s="738"/>
    </row>
    <row r="2997" spans="1:9" x14ac:dyDescent="0.2">
      <c r="A2997" s="82" t="s">
        <v>382</v>
      </c>
      <c r="B2997" s="244" t="s">
        <v>1675</v>
      </c>
      <c r="C2997" s="20" t="s">
        <v>577</v>
      </c>
      <c r="D2997" s="19" t="s">
        <v>411</v>
      </c>
      <c r="E2997" s="194">
        <v>1</v>
      </c>
      <c r="F2997" s="23">
        <f>VLOOKUP(B2997,'BASE DE DATOS'!$A$5:$E$997,5,FALSE)</f>
        <v>29377</v>
      </c>
      <c r="G2997" s="58">
        <v>0</v>
      </c>
      <c r="H2997" s="252">
        <f t="shared" si="290"/>
        <v>29377</v>
      </c>
    </row>
    <row r="2998" spans="1:9" ht="13.5" thickBot="1" x14ac:dyDescent="0.25">
      <c r="A2998" s="122" t="s">
        <v>2555</v>
      </c>
      <c r="B2998" s="543" t="s">
        <v>644</v>
      </c>
      <c r="C2998" s="111" t="s">
        <v>645</v>
      </c>
      <c r="D2998" s="112" t="s">
        <v>585</v>
      </c>
      <c r="E2998" s="201">
        <v>1</v>
      </c>
      <c r="F2998" s="110">
        <f>VLOOKUP(B2998,'BASE DE DATOS'!$A$5:$E$997,5,FALSE)</f>
        <v>248302</v>
      </c>
      <c r="G2998" s="157">
        <f>1/20</f>
        <v>0.05</v>
      </c>
      <c r="H2998" s="479">
        <f t="shared" si="290"/>
        <v>12415.1</v>
      </c>
    </row>
    <row r="2999" spans="1:9" s="42" customFormat="1" ht="15" x14ac:dyDescent="0.2">
      <c r="A2999" s="67" t="s">
        <v>1006</v>
      </c>
      <c r="B2999" s="560"/>
      <c r="C2999" s="415" t="s">
        <v>407</v>
      </c>
      <c r="D2999" s="441" t="s">
        <v>405</v>
      </c>
      <c r="E2999" s="390"/>
      <c r="F2999" s="391">
        <f>ROUND(SUM(H2999:H3005),0)</f>
        <v>12443</v>
      </c>
      <c r="G2999" s="437"/>
      <c r="H2999" s="442"/>
      <c r="I2999" s="738"/>
    </row>
    <row r="3000" spans="1:9" x14ac:dyDescent="0.2">
      <c r="A3000" s="936" t="s">
        <v>382</v>
      </c>
      <c r="B3000" s="241" t="s">
        <v>1663</v>
      </c>
      <c r="C3000" s="3" t="s">
        <v>2076</v>
      </c>
      <c r="D3000" s="2" t="s">
        <v>405</v>
      </c>
      <c r="E3000" s="114">
        <v>1</v>
      </c>
      <c r="F3000" s="23">
        <f>VLOOKUP(B3000,'BASE DE DATOS'!$A$5:$E$997,5,FALSE)</f>
        <v>5484</v>
      </c>
      <c r="G3000" s="104">
        <v>1.05</v>
      </c>
      <c r="H3000" s="252">
        <f t="shared" si="290"/>
        <v>5758.2</v>
      </c>
    </row>
    <row r="3001" spans="1:9" x14ac:dyDescent="0.2">
      <c r="A3001" s="936"/>
      <c r="B3001" s="241" t="s">
        <v>1256</v>
      </c>
      <c r="C3001" s="3" t="s">
        <v>216</v>
      </c>
      <c r="D3001" s="2" t="s">
        <v>217</v>
      </c>
      <c r="E3001" s="114">
        <v>0.17</v>
      </c>
      <c r="F3001" s="23">
        <f>H3000</f>
        <v>5758.2</v>
      </c>
      <c r="G3001" s="104">
        <v>0</v>
      </c>
      <c r="H3001" s="252">
        <f t="shared" si="290"/>
        <v>978.89400000000001</v>
      </c>
    </row>
    <row r="3002" spans="1:9" x14ac:dyDescent="0.2">
      <c r="A3002" s="936"/>
      <c r="B3002" s="241" t="s">
        <v>1462</v>
      </c>
      <c r="C3002" s="3" t="s">
        <v>1</v>
      </c>
      <c r="D3002" s="2" t="s">
        <v>411</v>
      </c>
      <c r="E3002" s="114">
        <v>0.01</v>
      </c>
      <c r="F3002" s="23">
        <f>VLOOKUP(B3002,'BASE DE DATOS'!$A$5:$E$997,5,FALSE)</f>
        <v>46900</v>
      </c>
      <c r="G3002" s="104">
        <v>1.03</v>
      </c>
      <c r="H3002" s="252">
        <f t="shared" si="290"/>
        <v>483.07</v>
      </c>
    </row>
    <row r="3003" spans="1:9" x14ac:dyDescent="0.2">
      <c r="A3003" s="936"/>
      <c r="B3003" s="241" t="s">
        <v>1701</v>
      </c>
      <c r="C3003" s="3" t="s">
        <v>2071</v>
      </c>
      <c r="D3003" s="2" t="s">
        <v>411</v>
      </c>
      <c r="E3003" s="114">
        <v>0.01</v>
      </c>
      <c r="F3003" s="23">
        <f>VLOOKUP(B3003,'BASE DE DATOS'!$A$5:$E$997,5,FALSE)</f>
        <v>80900</v>
      </c>
      <c r="G3003" s="104">
        <v>1.03</v>
      </c>
      <c r="H3003" s="252">
        <f t="shared" si="290"/>
        <v>833.27</v>
      </c>
    </row>
    <row r="3004" spans="1:9" x14ac:dyDescent="0.2">
      <c r="A3004" s="81" t="s">
        <v>2555</v>
      </c>
      <c r="B3004" s="241" t="s">
        <v>599</v>
      </c>
      <c r="C3004" s="3" t="s">
        <v>600</v>
      </c>
      <c r="D3004" s="2" t="s">
        <v>585</v>
      </c>
      <c r="E3004" s="114">
        <v>1</v>
      </c>
      <c r="F3004" s="23">
        <f>VLOOKUP(B3004,'BASE DE DATOS'!$A$5:$E$997,5,FALSE)</f>
        <v>159623</v>
      </c>
      <c r="G3004" s="104">
        <f>1/40</f>
        <v>2.5000000000000001E-2</v>
      </c>
      <c r="H3004" s="252">
        <f t="shared" si="290"/>
        <v>3990.5750000000003</v>
      </c>
    </row>
    <row r="3005" spans="1:9" ht="13.5" thickBot="1" x14ac:dyDescent="0.25">
      <c r="A3005" s="94" t="s">
        <v>293</v>
      </c>
      <c r="B3005" s="528" t="s">
        <v>269</v>
      </c>
      <c r="C3005" s="108" t="s">
        <v>284</v>
      </c>
      <c r="D3005" s="109" t="s">
        <v>586</v>
      </c>
      <c r="E3005" s="200">
        <v>0.1</v>
      </c>
      <c r="F3005" s="110">
        <f>H3004</f>
        <v>3990.5750000000003</v>
      </c>
      <c r="G3005" s="156">
        <v>0</v>
      </c>
      <c r="H3005" s="479">
        <f t="shared" si="290"/>
        <v>399.05750000000006</v>
      </c>
    </row>
    <row r="3006" spans="1:9" s="42" customFormat="1" ht="15" x14ac:dyDescent="0.2">
      <c r="A3006" s="67" t="s">
        <v>1007</v>
      </c>
      <c r="B3006" s="560"/>
      <c r="C3006" s="415" t="s">
        <v>409</v>
      </c>
      <c r="D3006" s="441" t="s">
        <v>405</v>
      </c>
      <c r="E3006" s="395"/>
      <c r="F3006" s="391">
        <f>ROUND(SUM(H3006:H3012),0)</f>
        <v>6978</v>
      </c>
      <c r="G3006" s="437"/>
      <c r="H3006" s="442"/>
      <c r="I3006" s="738"/>
    </row>
    <row r="3007" spans="1:9" x14ac:dyDescent="0.2">
      <c r="A3007" s="936" t="s">
        <v>382</v>
      </c>
      <c r="B3007" s="241" t="s">
        <v>1667</v>
      </c>
      <c r="C3007" s="3" t="s">
        <v>2072</v>
      </c>
      <c r="D3007" s="2" t="s">
        <v>405</v>
      </c>
      <c r="E3007" s="114">
        <v>1</v>
      </c>
      <c r="F3007" s="23">
        <f>VLOOKUP(B3007,'BASE DE DATOS'!$A$5:$E$997,5,FALSE)</f>
        <v>1250</v>
      </c>
      <c r="G3007" s="104">
        <v>1.05</v>
      </c>
      <c r="H3007" s="252">
        <f t="shared" si="290"/>
        <v>1312.5</v>
      </c>
    </row>
    <row r="3008" spans="1:9" x14ac:dyDescent="0.2">
      <c r="A3008" s="936"/>
      <c r="B3008" s="241" t="s">
        <v>1256</v>
      </c>
      <c r="C3008" s="3" t="s">
        <v>216</v>
      </c>
      <c r="D3008" s="2" t="s">
        <v>217</v>
      </c>
      <c r="E3008" s="114">
        <v>0.17</v>
      </c>
      <c r="F3008" s="23">
        <f>H3007</f>
        <v>1312.5</v>
      </c>
      <c r="G3008" s="104">
        <v>0</v>
      </c>
      <c r="H3008" s="252">
        <f t="shared" si="290"/>
        <v>223.12500000000003</v>
      </c>
    </row>
    <row r="3009" spans="1:9" x14ac:dyDescent="0.2">
      <c r="A3009" s="936"/>
      <c r="B3009" s="241" t="s">
        <v>1462</v>
      </c>
      <c r="C3009" s="3" t="s">
        <v>1</v>
      </c>
      <c r="D3009" s="2" t="s">
        <v>411</v>
      </c>
      <c r="E3009" s="114">
        <v>8.0000000000000002E-3</v>
      </c>
      <c r="F3009" s="23">
        <f>VLOOKUP(B3009,'BASE DE DATOS'!$A$5:$E$997,5,FALSE)</f>
        <v>46900</v>
      </c>
      <c r="G3009" s="104">
        <v>1.03</v>
      </c>
      <c r="H3009" s="252">
        <f t="shared" ref="H3009:H3012" si="291">IF(G3009&gt;0,(G3009*F3009*E3009),(F3009*E3009))</f>
        <v>386.45600000000002</v>
      </c>
    </row>
    <row r="3010" spans="1:9" x14ac:dyDescent="0.2">
      <c r="A3010" s="936"/>
      <c r="B3010" s="241" t="s">
        <v>1701</v>
      </c>
      <c r="C3010" s="3" t="s">
        <v>2071</v>
      </c>
      <c r="D3010" s="2" t="s">
        <v>411</v>
      </c>
      <c r="E3010" s="114">
        <v>8.0000000000000002E-3</v>
      </c>
      <c r="F3010" s="23">
        <f>VLOOKUP(B3010,'BASE DE DATOS'!$A$5:$E$997,5,FALSE)</f>
        <v>80900</v>
      </c>
      <c r="G3010" s="104">
        <v>1.03</v>
      </c>
      <c r="H3010" s="252">
        <f t="shared" si="291"/>
        <v>666.61599999999999</v>
      </c>
    </row>
    <row r="3011" spans="1:9" x14ac:dyDescent="0.2">
      <c r="A3011" s="81" t="s">
        <v>2555</v>
      </c>
      <c r="B3011" s="241" t="s">
        <v>599</v>
      </c>
      <c r="C3011" s="3" t="s">
        <v>600</v>
      </c>
      <c r="D3011" s="2" t="s">
        <v>585</v>
      </c>
      <c r="E3011" s="114">
        <v>1</v>
      </c>
      <c r="F3011" s="23">
        <f>VLOOKUP(B3011,'BASE DE DATOS'!$A$5:$E$997,5,FALSE)</f>
        <v>159623</v>
      </c>
      <c r="G3011" s="104">
        <f>1/40</f>
        <v>2.5000000000000001E-2</v>
      </c>
      <c r="H3011" s="252">
        <f t="shared" si="291"/>
        <v>3990.5750000000003</v>
      </c>
    </row>
    <row r="3012" spans="1:9" ht="13.5" thickBot="1" x14ac:dyDescent="0.25">
      <c r="A3012" s="94" t="s">
        <v>293</v>
      </c>
      <c r="B3012" s="528" t="s">
        <v>269</v>
      </c>
      <c r="C3012" s="108" t="s">
        <v>284</v>
      </c>
      <c r="D3012" s="109" t="s">
        <v>586</v>
      </c>
      <c r="E3012" s="200">
        <v>0.1</v>
      </c>
      <c r="F3012" s="110">
        <f>H3011</f>
        <v>3990.5750000000003</v>
      </c>
      <c r="G3012" s="156">
        <v>0</v>
      </c>
      <c r="H3012" s="479">
        <f t="shared" si="291"/>
        <v>399.05750000000006</v>
      </c>
    </row>
    <row r="3013" spans="1:9" s="42" customFormat="1" ht="15" x14ac:dyDescent="0.2">
      <c r="A3013" s="67" t="s">
        <v>1008</v>
      </c>
      <c r="B3013" s="560"/>
      <c r="C3013" s="415" t="s">
        <v>408</v>
      </c>
      <c r="D3013" s="441" t="s">
        <v>405</v>
      </c>
      <c r="E3013" s="395"/>
      <c r="F3013" s="391">
        <f>ROUND(SUM(H3013:H3019),0)</f>
        <v>8026</v>
      </c>
      <c r="G3013" s="437"/>
      <c r="H3013" s="442"/>
      <c r="I3013" s="738"/>
    </row>
    <row r="3014" spans="1:9" x14ac:dyDescent="0.2">
      <c r="A3014" s="936" t="s">
        <v>382</v>
      </c>
      <c r="B3014" s="241" t="s">
        <v>1664</v>
      </c>
      <c r="C3014" s="3" t="s">
        <v>2070</v>
      </c>
      <c r="D3014" s="2" t="s">
        <v>405</v>
      </c>
      <c r="E3014" s="114">
        <v>1</v>
      </c>
      <c r="F3014" s="23">
        <f>VLOOKUP(B3014,'BASE DE DATOS'!$A$5:$E$997,5,FALSE)</f>
        <v>2317</v>
      </c>
      <c r="G3014" s="104">
        <v>1.05</v>
      </c>
      <c r="H3014" s="252">
        <f t="shared" ref="H3014:H3079" si="292">IF(G3014&gt;0,(G3014*F3014*E3014),(F3014*E3014))</f>
        <v>2432.85</v>
      </c>
    </row>
    <row r="3015" spans="1:9" x14ac:dyDescent="0.2">
      <c r="A3015" s="936"/>
      <c r="B3015" s="241" t="s">
        <v>1256</v>
      </c>
      <c r="C3015" s="3" t="s">
        <v>216</v>
      </c>
      <c r="D3015" s="2" t="s">
        <v>217</v>
      </c>
      <c r="E3015" s="114">
        <v>0.17</v>
      </c>
      <c r="F3015" s="23">
        <f>H3014</f>
        <v>2432.85</v>
      </c>
      <c r="G3015" s="104">
        <v>0</v>
      </c>
      <c r="H3015" s="252">
        <f t="shared" si="292"/>
        <v>413.58449999999999</v>
      </c>
    </row>
    <row r="3016" spans="1:9" x14ac:dyDescent="0.2">
      <c r="A3016" s="936"/>
      <c r="B3016" s="241" t="s">
        <v>1462</v>
      </c>
      <c r="C3016" s="3" t="s">
        <v>1</v>
      </c>
      <c r="D3016" s="2" t="s">
        <v>411</v>
      </c>
      <c r="E3016" s="114">
        <v>6.0000000000000001E-3</v>
      </c>
      <c r="F3016" s="23">
        <f>VLOOKUP(B3016,'BASE DE DATOS'!$A$5:$E$997,5,FALSE)</f>
        <v>46900</v>
      </c>
      <c r="G3016" s="104">
        <v>1.03</v>
      </c>
      <c r="H3016" s="252">
        <f t="shared" si="292"/>
        <v>289.84199999999998</v>
      </c>
    </row>
    <row r="3017" spans="1:9" x14ac:dyDescent="0.2">
      <c r="A3017" s="936"/>
      <c r="B3017" s="241" t="s">
        <v>1701</v>
      </c>
      <c r="C3017" s="3" t="s">
        <v>2071</v>
      </c>
      <c r="D3017" s="2" t="s">
        <v>411</v>
      </c>
      <c r="E3017" s="114">
        <v>6.0000000000000001E-3</v>
      </c>
      <c r="F3017" s="23">
        <f>VLOOKUP(B3017,'BASE DE DATOS'!$A$5:$E$997,5,FALSE)</f>
        <v>80900</v>
      </c>
      <c r="G3017" s="104">
        <v>1.03</v>
      </c>
      <c r="H3017" s="252">
        <f t="shared" si="292"/>
        <v>499.96199999999999</v>
      </c>
    </row>
    <row r="3018" spans="1:9" x14ac:dyDescent="0.2">
      <c r="A3018" s="81" t="s">
        <v>2555</v>
      </c>
      <c r="B3018" s="241" t="s">
        <v>599</v>
      </c>
      <c r="C3018" s="3" t="s">
        <v>600</v>
      </c>
      <c r="D3018" s="2" t="s">
        <v>585</v>
      </c>
      <c r="E3018" s="114">
        <v>1</v>
      </c>
      <c r="F3018" s="23">
        <f>VLOOKUP(B3018,'BASE DE DATOS'!$A$5:$E$997,5,FALSE)</f>
        <v>159623</v>
      </c>
      <c r="G3018" s="104">
        <f>1/40</f>
        <v>2.5000000000000001E-2</v>
      </c>
      <c r="H3018" s="252">
        <f t="shared" si="292"/>
        <v>3990.5750000000003</v>
      </c>
    </row>
    <row r="3019" spans="1:9" ht="13.5" thickBot="1" x14ac:dyDescent="0.25">
      <c r="A3019" s="94" t="s">
        <v>293</v>
      </c>
      <c r="B3019" s="528" t="s">
        <v>269</v>
      </c>
      <c r="C3019" s="108" t="s">
        <v>284</v>
      </c>
      <c r="D3019" s="109" t="s">
        <v>586</v>
      </c>
      <c r="E3019" s="200">
        <v>0.1</v>
      </c>
      <c r="F3019" s="110">
        <f>H3018</f>
        <v>3990.5750000000003</v>
      </c>
      <c r="G3019" s="156">
        <v>0</v>
      </c>
      <c r="H3019" s="479">
        <f t="shared" si="292"/>
        <v>399.05750000000006</v>
      </c>
    </row>
    <row r="3020" spans="1:9" s="42" customFormat="1" ht="15" x14ac:dyDescent="0.2">
      <c r="A3020" s="67" t="s">
        <v>1009</v>
      </c>
      <c r="B3020" s="580"/>
      <c r="C3020" s="415" t="s">
        <v>1886</v>
      </c>
      <c r="D3020" s="441" t="s">
        <v>411</v>
      </c>
      <c r="E3020" s="390"/>
      <c r="F3020" s="391">
        <f>ROUND(SUM(H3020:H3029),0)</f>
        <v>85994</v>
      </c>
      <c r="G3020" s="437"/>
      <c r="H3020" s="442"/>
      <c r="I3020" s="738"/>
    </row>
    <row r="3021" spans="1:9" ht="13.15" customHeight="1" x14ac:dyDescent="0.2">
      <c r="A3021" s="939" t="s">
        <v>295</v>
      </c>
      <c r="B3021" s="241" t="s">
        <v>1267</v>
      </c>
      <c r="C3021" s="3" t="s">
        <v>227</v>
      </c>
      <c r="D3021" s="2" t="s">
        <v>411</v>
      </c>
      <c r="E3021" s="114">
        <v>2</v>
      </c>
      <c r="F3021" s="23">
        <f>VLOOKUP(B3021,'BASE DE DATOS'!$A$5:$E$997,5,FALSE)</f>
        <v>5400</v>
      </c>
      <c r="G3021" s="104">
        <v>0</v>
      </c>
      <c r="H3021" s="252">
        <f t="shared" si="292"/>
        <v>10800</v>
      </c>
    </row>
    <row r="3022" spans="1:9" x14ac:dyDescent="0.2">
      <c r="A3022" s="939"/>
      <c r="B3022" s="241" t="s">
        <v>1347</v>
      </c>
      <c r="C3022" s="3" t="s">
        <v>2856</v>
      </c>
      <c r="D3022" s="2" t="s">
        <v>405</v>
      </c>
      <c r="E3022" s="114">
        <v>1</v>
      </c>
      <c r="F3022" s="23">
        <f>VLOOKUP(B3022,'BASE DE DATOS'!$A$5:$E$997,5,FALSE)</f>
        <v>290</v>
      </c>
      <c r="G3022" s="104">
        <f>1/50</f>
        <v>0.02</v>
      </c>
      <c r="H3022" s="252">
        <f>IF(G3022&gt;0,(G3022*F3022*E3022),(F3022*E3022))</f>
        <v>5.8</v>
      </c>
    </row>
    <row r="3023" spans="1:9" x14ac:dyDescent="0.2">
      <c r="A3023" s="939"/>
      <c r="B3023" s="241" t="s">
        <v>1355</v>
      </c>
      <c r="C3023" s="3" t="s">
        <v>221</v>
      </c>
      <c r="D3023" s="2" t="s">
        <v>411</v>
      </c>
      <c r="E3023" s="114">
        <v>1</v>
      </c>
      <c r="F3023" s="23">
        <f>VLOOKUP(B3023,'BASE DE DATOS'!$A$5:$E$997,5,FALSE)</f>
        <v>18616</v>
      </c>
      <c r="G3023" s="104">
        <v>0</v>
      </c>
      <c r="H3023" s="252">
        <f>IF(G3023&gt;0,(G3023*F3023*E3023),(F3023*E3023))</f>
        <v>18616</v>
      </c>
    </row>
    <row r="3024" spans="1:9" x14ac:dyDescent="0.2">
      <c r="A3024" s="939"/>
      <c r="B3024" s="241" t="s">
        <v>1462</v>
      </c>
      <c r="C3024" s="3" t="s">
        <v>1</v>
      </c>
      <c r="D3024" s="2" t="s">
        <v>411</v>
      </c>
      <c r="E3024" s="114">
        <v>2.4E-2</v>
      </c>
      <c r="F3024" s="23">
        <f>VLOOKUP(B3024,'BASE DE DATOS'!$A$5:$E$997,5,FALSE)</f>
        <v>46900</v>
      </c>
      <c r="G3024" s="104">
        <v>1.03</v>
      </c>
      <c r="H3024" s="252">
        <f t="shared" si="292"/>
        <v>1159.3679999999999</v>
      </c>
    </row>
    <row r="3025" spans="1:9" x14ac:dyDescent="0.2">
      <c r="A3025" s="939"/>
      <c r="B3025" s="241" t="s">
        <v>1564</v>
      </c>
      <c r="C3025" s="3" t="s">
        <v>228</v>
      </c>
      <c r="D3025" s="2" t="s">
        <v>411</v>
      </c>
      <c r="E3025" s="114">
        <v>1</v>
      </c>
      <c r="F3025" s="23">
        <f>VLOOKUP(B3025,'BASE DE DATOS'!$A$5:$E$997,5,FALSE)</f>
        <v>23900</v>
      </c>
      <c r="G3025" s="104">
        <v>0</v>
      </c>
      <c r="H3025" s="252">
        <f>IF(G3025&gt;0,(G3025*F3025*E3025),(F3025*E3025))</f>
        <v>23900</v>
      </c>
    </row>
    <row r="3026" spans="1:9" x14ac:dyDescent="0.2">
      <c r="A3026" s="939"/>
      <c r="B3026" s="241" t="s">
        <v>1701</v>
      </c>
      <c r="C3026" s="3" t="s">
        <v>2071</v>
      </c>
      <c r="D3026" s="2" t="s">
        <v>411</v>
      </c>
      <c r="E3026" s="114">
        <v>2.4E-2</v>
      </c>
      <c r="F3026" s="23">
        <f>VLOOKUP(B3026,'BASE DE DATOS'!$A$5:$E$997,5,FALSE)</f>
        <v>80900</v>
      </c>
      <c r="G3026" s="104">
        <v>1.03</v>
      </c>
      <c r="H3026" s="252">
        <f t="shared" si="292"/>
        <v>1999.848</v>
      </c>
    </row>
    <row r="3027" spans="1:9" x14ac:dyDescent="0.2">
      <c r="A3027" s="939"/>
      <c r="B3027" s="241" t="s">
        <v>1630</v>
      </c>
      <c r="C3027" s="3" t="s">
        <v>219</v>
      </c>
      <c r="D3027" s="2" t="s">
        <v>405</v>
      </c>
      <c r="E3027" s="114">
        <v>3</v>
      </c>
      <c r="F3027" s="23">
        <f>VLOOKUP(B3027,'BASE DE DATOS'!$A$5:$E$997,5,FALSE)</f>
        <v>3950</v>
      </c>
      <c r="G3027" s="104">
        <v>1.05</v>
      </c>
      <c r="H3027" s="252">
        <f>IF(G3027&gt;0,(G3027*F3027*E3027),(F3027*E3027))</f>
        <v>12442.5</v>
      </c>
    </row>
    <row r="3028" spans="1:9" x14ac:dyDescent="0.2">
      <c r="A3028" s="81" t="s">
        <v>2555</v>
      </c>
      <c r="B3028" s="241" t="s">
        <v>644</v>
      </c>
      <c r="C3028" s="3" t="s">
        <v>645</v>
      </c>
      <c r="D3028" s="2" t="s">
        <v>585</v>
      </c>
      <c r="E3028" s="114">
        <v>1</v>
      </c>
      <c r="F3028" s="23">
        <f>VLOOKUP(B3028,'BASE DE DATOS'!$A$5:$E$997,5,FALSE)</f>
        <v>248302</v>
      </c>
      <c r="G3028" s="104">
        <f>1/16</f>
        <v>6.25E-2</v>
      </c>
      <c r="H3028" s="252">
        <f t="shared" si="292"/>
        <v>15518.875</v>
      </c>
    </row>
    <row r="3029" spans="1:9" ht="13.5" thickBot="1" x14ac:dyDescent="0.25">
      <c r="A3029" s="94" t="s">
        <v>293</v>
      </c>
      <c r="B3029" s="528" t="s">
        <v>269</v>
      </c>
      <c r="C3029" s="108" t="s">
        <v>284</v>
      </c>
      <c r="D3029" s="109" t="s">
        <v>586</v>
      </c>
      <c r="E3029" s="200">
        <v>0.1</v>
      </c>
      <c r="F3029" s="110">
        <f>H3028</f>
        <v>15518.875</v>
      </c>
      <c r="G3029" s="156">
        <v>0</v>
      </c>
      <c r="H3029" s="479">
        <f t="shared" si="292"/>
        <v>1551.8875</v>
      </c>
    </row>
    <row r="3030" spans="1:9" s="42" customFormat="1" ht="15" x14ac:dyDescent="0.2">
      <c r="A3030" s="67" t="s">
        <v>1010</v>
      </c>
      <c r="B3030" s="560"/>
      <c r="C3030" s="415" t="s">
        <v>563</v>
      </c>
      <c r="D3030" s="441" t="s">
        <v>405</v>
      </c>
      <c r="E3030" s="390"/>
      <c r="F3030" s="391">
        <f>ROUND(SUM(H3030:H3032),0)</f>
        <v>8138</v>
      </c>
      <c r="G3030" s="437"/>
      <c r="H3030" s="442"/>
      <c r="I3030" s="738"/>
    </row>
    <row r="3031" spans="1:9" x14ac:dyDescent="0.2">
      <c r="A3031" s="82" t="s">
        <v>382</v>
      </c>
      <c r="B3031" s="241" t="s">
        <v>1630</v>
      </c>
      <c r="C3031" s="3" t="s">
        <v>219</v>
      </c>
      <c r="D3031" s="2" t="s">
        <v>405</v>
      </c>
      <c r="E3031" s="114">
        <v>1</v>
      </c>
      <c r="F3031" s="23">
        <f>VLOOKUP(B3031,'BASE DE DATOS'!$A$5:$E$997,5,FALSE)</f>
        <v>3950</v>
      </c>
      <c r="G3031" s="104">
        <v>1.05</v>
      </c>
      <c r="H3031" s="252">
        <f t="shared" si="292"/>
        <v>4147.5</v>
      </c>
    </row>
    <row r="3032" spans="1:9" ht="13.5" thickBot="1" x14ac:dyDescent="0.25">
      <c r="A3032" s="122" t="s">
        <v>2555</v>
      </c>
      <c r="B3032" s="528" t="s">
        <v>599</v>
      </c>
      <c r="C3032" s="108" t="s">
        <v>600</v>
      </c>
      <c r="D3032" s="109" t="s">
        <v>585</v>
      </c>
      <c r="E3032" s="200">
        <v>1</v>
      </c>
      <c r="F3032" s="110">
        <f>VLOOKUP(B3032,'BASE DE DATOS'!$A$5:$E$997,5,FALSE)</f>
        <v>159623</v>
      </c>
      <c r="G3032" s="156">
        <f>1/40</f>
        <v>2.5000000000000001E-2</v>
      </c>
      <c r="H3032" s="479">
        <f t="shared" si="292"/>
        <v>3990.5750000000003</v>
      </c>
    </row>
    <row r="3033" spans="1:9" s="42" customFormat="1" ht="15" x14ac:dyDescent="0.2">
      <c r="A3033" s="67" t="s">
        <v>1011</v>
      </c>
      <c r="B3033" s="560"/>
      <c r="C3033" s="415" t="s">
        <v>497</v>
      </c>
      <c r="D3033" s="441" t="s">
        <v>411</v>
      </c>
      <c r="E3033" s="390"/>
      <c r="F3033" s="391">
        <f>ROUND(SUM(H3033:H3040),0)</f>
        <v>608044</v>
      </c>
      <c r="G3033" s="437"/>
      <c r="H3033" s="442"/>
      <c r="I3033" s="738"/>
    </row>
    <row r="3034" spans="1:9" x14ac:dyDescent="0.2">
      <c r="A3034" s="939" t="s">
        <v>295</v>
      </c>
      <c r="B3034" s="241" t="s">
        <v>1269</v>
      </c>
      <c r="C3034" s="3" t="s">
        <v>225</v>
      </c>
      <c r="D3034" s="2" t="s">
        <v>411</v>
      </c>
      <c r="E3034" s="114">
        <v>2</v>
      </c>
      <c r="F3034" s="23">
        <f>VLOOKUP(B3034,'BASE DE DATOS'!$A$5:$E$997,5,FALSE)</f>
        <v>2150</v>
      </c>
      <c r="G3034" s="104">
        <v>0</v>
      </c>
      <c r="H3034" s="252">
        <f t="shared" si="292"/>
        <v>4300</v>
      </c>
    </row>
    <row r="3035" spans="1:9" x14ac:dyDescent="0.2">
      <c r="A3035" s="939"/>
      <c r="B3035" s="241" t="s">
        <v>1347</v>
      </c>
      <c r="C3035" s="3" t="s">
        <v>2856</v>
      </c>
      <c r="D3035" s="2" t="s">
        <v>405</v>
      </c>
      <c r="E3035" s="114">
        <v>1</v>
      </c>
      <c r="F3035" s="23">
        <f>VLOOKUP(B3035,'BASE DE DATOS'!$A$5:$E$997,5,FALSE)</f>
        <v>290</v>
      </c>
      <c r="G3035" s="104">
        <f>1/50</f>
        <v>0.02</v>
      </c>
      <c r="H3035" s="252">
        <f>IF(G3035&gt;0,(G3035*F3035*E3035),(F3035*E3035))</f>
        <v>5.8</v>
      </c>
    </row>
    <row r="3036" spans="1:9" x14ac:dyDescent="0.2">
      <c r="A3036" s="939"/>
      <c r="B3036" s="241" t="s">
        <v>1462</v>
      </c>
      <c r="C3036" s="3" t="s">
        <v>1</v>
      </c>
      <c r="D3036" s="2" t="s">
        <v>411</v>
      </c>
      <c r="E3036" s="114">
        <v>0.01</v>
      </c>
      <c r="F3036" s="23">
        <f>VLOOKUP(B3036,'BASE DE DATOS'!$A$5:$E$997,5,FALSE)</f>
        <v>46900</v>
      </c>
      <c r="G3036" s="104">
        <v>1.03</v>
      </c>
      <c r="H3036" s="252">
        <f>IF(G3036&gt;0,(G3036*F3036*E3036),(F3036*E3036))</f>
        <v>483.07</v>
      </c>
    </row>
    <row r="3037" spans="1:9" x14ac:dyDescent="0.2">
      <c r="A3037" s="939"/>
      <c r="B3037" s="241" t="s">
        <v>1494</v>
      </c>
      <c r="C3037" s="3" t="s">
        <v>232</v>
      </c>
      <c r="D3037" s="2" t="s">
        <v>411</v>
      </c>
      <c r="E3037" s="114">
        <v>1</v>
      </c>
      <c r="F3037" s="23">
        <f>VLOOKUP(B3037,'BASE DE DATOS'!$A$5:$E$997,5,FALSE)</f>
        <v>556900</v>
      </c>
      <c r="G3037" s="104">
        <v>0</v>
      </c>
      <c r="H3037" s="252">
        <f>IF(G3037&gt;0,(G3037*F3037*E3037),(F3037*E3037))</f>
        <v>556900</v>
      </c>
    </row>
    <row r="3038" spans="1:9" x14ac:dyDescent="0.2">
      <c r="A3038" s="939"/>
      <c r="B3038" s="241" t="s">
        <v>1701</v>
      </c>
      <c r="C3038" s="3" t="s">
        <v>2071</v>
      </c>
      <c r="D3038" s="2" t="s">
        <v>411</v>
      </c>
      <c r="E3038" s="114">
        <v>0.01</v>
      </c>
      <c r="F3038" s="23">
        <f>VLOOKUP(B3038,'BASE DE DATOS'!$A$5:$E$997,5,FALSE)</f>
        <v>80900</v>
      </c>
      <c r="G3038" s="104">
        <v>1.03</v>
      </c>
      <c r="H3038" s="252">
        <f t="shared" si="292"/>
        <v>833.27</v>
      </c>
    </row>
    <row r="3039" spans="1:9" x14ac:dyDescent="0.2">
      <c r="A3039" s="81" t="s">
        <v>2555</v>
      </c>
      <c r="B3039" s="241" t="s">
        <v>644</v>
      </c>
      <c r="C3039" s="3" t="s">
        <v>645</v>
      </c>
      <c r="D3039" s="2" t="s">
        <v>585</v>
      </c>
      <c r="E3039" s="114">
        <v>1</v>
      </c>
      <c r="F3039" s="23">
        <f>VLOOKUP(B3039,'BASE DE DATOS'!$A$5:$E$997,5,FALSE)</f>
        <v>248302</v>
      </c>
      <c r="G3039" s="104">
        <f>1/6</f>
        <v>0.16666666666666666</v>
      </c>
      <c r="H3039" s="252">
        <f t="shared" si="292"/>
        <v>41383.666666666664</v>
      </c>
    </row>
    <row r="3040" spans="1:9" ht="13.5" thickBot="1" x14ac:dyDescent="0.25">
      <c r="A3040" s="94" t="s">
        <v>293</v>
      </c>
      <c r="B3040" s="528" t="s">
        <v>269</v>
      </c>
      <c r="C3040" s="108" t="s">
        <v>284</v>
      </c>
      <c r="D3040" s="109" t="s">
        <v>586</v>
      </c>
      <c r="E3040" s="200">
        <v>0.1</v>
      </c>
      <c r="F3040" s="110">
        <f>H3039</f>
        <v>41383.666666666664</v>
      </c>
      <c r="G3040" s="156">
        <v>0</v>
      </c>
      <c r="H3040" s="479">
        <f t="shared" si="292"/>
        <v>4138.3666666666668</v>
      </c>
    </row>
    <row r="3041" spans="1:9" s="42" customFormat="1" ht="15" x14ac:dyDescent="0.2">
      <c r="A3041" s="67" t="s">
        <v>1012</v>
      </c>
      <c r="B3041" s="560"/>
      <c r="C3041" s="415" t="s">
        <v>499</v>
      </c>
      <c r="D3041" s="441" t="s">
        <v>411</v>
      </c>
      <c r="E3041" s="390"/>
      <c r="F3041" s="391">
        <f>ROUND(SUM(H3041:H3048),0)</f>
        <v>363681</v>
      </c>
      <c r="G3041" s="437"/>
      <c r="H3041" s="442"/>
      <c r="I3041" s="738"/>
    </row>
    <row r="3042" spans="1:9" x14ac:dyDescent="0.2">
      <c r="A3042" s="939" t="s">
        <v>295</v>
      </c>
      <c r="B3042" s="241" t="s">
        <v>1272</v>
      </c>
      <c r="C3042" s="3" t="s">
        <v>231</v>
      </c>
      <c r="D3042" s="2" t="s">
        <v>411</v>
      </c>
      <c r="E3042" s="114">
        <v>2</v>
      </c>
      <c r="F3042" s="23">
        <f>VLOOKUP(B3042,'BASE DE DATOS'!$A$5:$E$997,5,FALSE)</f>
        <v>1100</v>
      </c>
      <c r="G3042" s="104">
        <v>0</v>
      </c>
      <c r="H3042" s="252">
        <f t="shared" si="292"/>
        <v>2200</v>
      </c>
    </row>
    <row r="3043" spans="1:9" x14ac:dyDescent="0.2">
      <c r="A3043" s="939"/>
      <c r="B3043" s="241" t="s">
        <v>1347</v>
      </c>
      <c r="C3043" s="3" t="s">
        <v>2856</v>
      </c>
      <c r="D3043" s="2" t="s">
        <v>405</v>
      </c>
      <c r="E3043" s="114">
        <v>1</v>
      </c>
      <c r="F3043" s="23">
        <f>VLOOKUP(B3043,'BASE DE DATOS'!$A$5:$E$997,5,FALSE)</f>
        <v>290</v>
      </c>
      <c r="G3043" s="104">
        <f>1/50</f>
        <v>0.02</v>
      </c>
      <c r="H3043" s="252">
        <f>IF(G3043&gt;0,(G3043*F3043*E3043),(F3043*E3043))</f>
        <v>5.8</v>
      </c>
    </row>
    <row r="3044" spans="1:9" x14ac:dyDescent="0.2">
      <c r="A3044" s="939"/>
      <c r="B3044" s="241" t="s">
        <v>1462</v>
      </c>
      <c r="C3044" s="3" t="s">
        <v>1</v>
      </c>
      <c r="D3044" s="2" t="s">
        <v>411</v>
      </c>
      <c r="E3044" s="114">
        <v>8.0000000000000002E-3</v>
      </c>
      <c r="F3044" s="23">
        <f>VLOOKUP(B3044,'BASE DE DATOS'!$A$5:$E$997,5,FALSE)</f>
        <v>46900</v>
      </c>
      <c r="G3044" s="104">
        <v>1.03</v>
      </c>
      <c r="H3044" s="252">
        <f t="shared" si="292"/>
        <v>386.45600000000002</v>
      </c>
    </row>
    <row r="3045" spans="1:9" x14ac:dyDescent="0.2">
      <c r="A3045" s="939"/>
      <c r="B3045" s="241" t="s">
        <v>1806</v>
      </c>
      <c r="C3045" s="3" t="s">
        <v>499</v>
      </c>
      <c r="D3045" s="2" t="s">
        <v>411</v>
      </c>
      <c r="E3045" s="114">
        <v>1</v>
      </c>
      <c r="F3045" s="23">
        <f>VLOOKUP(B3045,'BASE DE DATOS'!$A$5:$E$997,5,FALSE)</f>
        <v>314900</v>
      </c>
      <c r="G3045" s="104">
        <v>0</v>
      </c>
      <c r="H3045" s="252">
        <f>IF(G3045&gt;0,(G3045*F3045*E3045),(F3045*E3045))</f>
        <v>314900</v>
      </c>
    </row>
    <row r="3046" spans="1:9" x14ac:dyDescent="0.2">
      <c r="A3046" s="939"/>
      <c r="B3046" s="241" t="s">
        <v>1701</v>
      </c>
      <c r="C3046" s="3" t="s">
        <v>2071</v>
      </c>
      <c r="D3046" s="2" t="s">
        <v>411</v>
      </c>
      <c r="E3046" s="114">
        <v>8.0000000000000002E-3</v>
      </c>
      <c r="F3046" s="23">
        <f>VLOOKUP(B3046,'BASE DE DATOS'!$A$5:$E$997,5,FALSE)</f>
        <v>80900</v>
      </c>
      <c r="G3046" s="104">
        <v>1.03</v>
      </c>
      <c r="H3046" s="252">
        <f t="shared" si="292"/>
        <v>666.61599999999999</v>
      </c>
    </row>
    <row r="3047" spans="1:9" x14ac:dyDescent="0.2">
      <c r="A3047" s="81" t="s">
        <v>2555</v>
      </c>
      <c r="B3047" s="241" t="s">
        <v>644</v>
      </c>
      <c r="C3047" s="3" t="s">
        <v>645</v>
      </c>
      <c r="D3047" s="2" t="s">
        <v>585</v>
      </c>
      <c r="E3047" s="114">
        <v>1</v>
      </c>
      <c r="F3047" s="23">
        <f>VLOOKUP(B3047,'BASE DE DATOS'!$A$5:$E$997,5,FALSE)</f>
        <v>248302</v>
      </c>
      <c r="G3047" s="104">
        <f>1/6</f>
        <v>0.16666666666666666</v>
      </c>
      <c r="H3047" s="252">
        <f t="shared" si="292"/>
        <v>41383.666666666664</v>
      </c>
    </row>
    <row r="3048" spans="1:9" ht="13.5" thickBot="1" x14ac:dyDescent="0.25">
      <c r="A3048" s="94" t="s">
        <v>293</v>
      </c>
      <c r="B3048" s="528" t="s">
        <v>269</v>
      </c>
      <c r="C3048" s="108" t="s">
        <v>284</v>
      </c>
      <c r="D3048" s="109" t="s">
        <v>586</v>
      </c>
      <c r="E3048" s="200">
        <v>0.1</v>
      </c>
      <c r="F3048" s="110">
        <f>H3047</f>
        <v>41383.666666666664</v>
      </c>
      <c r="G3048" s="156">
        <v>0</v>
      </c>
      <c r="H3048" s="479">
        <f t="shared" si="292"/>
        <v>4138.3666666666668</v>
      </c>
    </row>
    <row r="3049" spans="1:9" s="42" customFormat="1" ht="15" x14ac:dyDescent="0.2">
      <c r="A3049" s="67" t="s">
        <v>1013</v>
      </c>
      <c r="B3049" s="560"/>
      <c r="C3049" s="415" t="s">
        <v>498</v>
      </c>
      <c r="D3049" s="441" t="s">
        <v>411</v>
      </c>
      <c r="E3049" s="390"/>
      <c r="F3049" s="391">
        <f>ROUND(SUM(H3049:H3056),0)</f>
        <v>173763</v>
      </c>
      <c r="G3049" s="437"/>
      <c r="H3049" s="442"/>
      <c r="I3049" s="738"/>
    </row>
    <row r="3050" spans="1:9" x14ac:dyDescent="0.2">
      <c r="A3050" s="939" t="s">
        <v>295</v>
      </c>
      <c r="B3050" s="241" t="s">
        <v>1270</v>
      </c>
      <c r="C3050" s="3" t="s">
        <v>226</v>
      </c>
      <c r="D3050" s="2" t="s">
        <v>411</v>
      </c>
      <c r="E3050" s="114">
        <v>2</v>
      </c>
      <c r="F3050" s="23">
        <f>VLOOKUP(B3050,'BASE DE DATOS'!$A$5:$E$997,5,FALSE)</f>
        <v>350</v>
      </c>
      <c r="G3050" s="104">
        <v>0</v>
      </c>
      <c r="H3050" s="252">
        <f>IF(G3050&gt;0,(G3050*F3050*E3050),(F3050*E3050))</f>
        <v>700</v>
      </c>
    </row>
    <row r="3051" spans="1:9" x14ac:dyDescent="0.2">
      <c r="A3051" s="939"/>
      <c r="B3051" s="241" t="s">
        <v>1347</v>
      </c>
      <c r="C3051" s="3" t="s">
        <v>2856</v>
      </c>
      <c r="D3051" s="2" t="s">
        <v>405</v>
      </c>
      <c r="E3051" s="114">
        <v>1</v>
      </c>
      <c r="F3051" s="23">
        <f>VLOOKUP(B3051,'BASE DE DATOS'!$A$5:$E$997,5,FALSE)</f>
        <v>290</v>
      </c>
      <c r="G3051" s="104">
        <f>1/50</f>
        <v>0.02</v>
      </c>
      <c r="H3051" s="252">
        <f>IF(G3051&gt;0,(G3051*F3051*E3051),(F3051*E3051))</f>
        <v>5.8</v>
      </c>
    </row>
    <row r="3052" spans="1:9" x14ac:dyDescent="0.2">
      <c r="A3052" s="939"/>
      <c r="B3052" s="241" t="s">
        <v>1462</v>
      </c>
      <c r="C3052" s="3" t="s">
        <v>1</v>
      </c>
      <c r="D3052" s="2" t="s">
        <v>411</v>
      </c>
      <c r="E3052" s="114">
        <v>6.0000000000000001E-3</v>
      </c>
      <c r="F3052" s="23">
        <f>VLOOKUP(B3052,'BASE DE DATOS'!$A$5:$E$997,5,FALSE)</f>
        <v>46900</v>
      </c>
      <c r="G3052" s="104">
        <v>1.03</v>
      </c>
      <c r="H3052" s="252">
        <f t="shared" si="292"/>
        <v>289.84199999999998</v>
      </c>
    </row>
    <row r="3053" spans="1:9" x14ac:dyDescent="0.2">
      <c r="A3053" s="939"/>
      <c r="B3053" s="241" t="s">
        <v>1495</v>
      </c>
      <c r="C3053" s="3" t="s">
        <v>498</v>
      </c>
      <c r="D3053" s="2" t="s">
        <v>411</v>
      </c>
      <c r="E3053" s="114">
        <v>1</v>
      </c>
      <c r="F3053" s="23">
        <f>VLOOKUP(B3053,'BASE DE DATOS'!$A$5:$E$997,5,FALSE)</f>
        <v>138126</v>
      </c>
      <c r="G3053" s="104">
        <v>0</v>
      </c>
      <c r="H3053" s="252">
        <f>IF(G3053&gt;0,(G3053*F3053*E3053),(F3053*E3053))</f>
        <v>138126</v>
      </c>
    </row>
    <row r="3054" spans="1:9" x14ac:dyDescent="0.2">
      <c r="A3054" s="939"/>
      <c r="B3054" s="241" t="s">
        <v>1701</v>
      </c>
      <c r="C3054" s="3" t="s">
        <v>2071</v>
      </c>
      <c r="D3054" s="2" t="s">
        <v>411</v>
      </c>
      <c r="E3054" s="114">
        <v>6.0000000000000001E-3</v>
      </c>
      <c r="F3054" s="23">
        <f>VLOOKUP(B3054,'BASE DE DATOS'!$A$5:$E$997,5,FALSE)</f>
        <v>80900</v>
      </c>
      <c r="G3054" s="104">
        <v>1.03</v>
      </c>
      <c r="H3054" s="252">
        <f t="shared" si="292"/>
        <v>499.96199999999999</v>
      </c>
    </row>
    <row r="3055" spans="1:9" x14ac:dyDescent="0.2">
      <c r="A3055" s="81" t="s">
        <v>2555</v>
      </c>
      <c r="B3055" s="241" t="s">
        <v>644</v>
      </c>
      <c r="C3055" s="3" t="s">
        <v>645</v>
      </c>
      <c r="D3055" s="2" t="s">
        <v>585</v>
      </c>
      <c r="E3055" s="114">
        <v>1</v>
      </c>
      <c r="F3055" s="23">
        <f>VLOOKUP(B3055,'BASE DE DATOS'!$A$5:$E$997,5,FALSE)</f>
        <v>248302</v>
      </c>
      <c r="G3055" s="104">
        <f>1/8</f>
        <v>0.125</v>
      </c>
      <c r="H3055" s="252">
        <f t="shared" si="292"/>
        <v>31037.75</v>
      </c>
    </row>
    <row r="3056" spans="1:9" ht="13.5" thickBot="1" x14ac:dyDescent="0.25">
      <c r="A3056" s="94" t="s">
        <v>293</v>
      </c>
      <c r="B3056" s="528" t="s">
        <v>269</v>
      </c>
      <c r="C3056" s="108" t="s">
        <v>284</v>
      </c>
      <c r="D3056" s="109" t="s">
        <v>586</v>
      </c>
      <c r="E3056" s="200">
        <v>0.1</v>
      </c>
      <c r="F3056" s="110">
        <f>H3055</f>
        <v>31037.75</v>
      </c>
      <c r="G3056" s="156">
        <v>0</v>
      </c>
      <c r="H3056" s="479">
        <f t="shared" si="292"/>
        <v>3103.7750000000001</v>
      </c>
    </row>
    <row r="3057" spans="1:9" s="42" customFormat="1" ht="15" x14ac:dyDescent="0.2">
      <c r="A3057" s="67" t="s">
        <v>1014</v>
      </c>
      <c r="B3057" s="560"/>
      <c r="C3057" s="415" t="s">
        <v>519</v>
      </c>
      <c r="D3057" s="441" t="s">
        <v>411</v>
      </c>
      <c r="E3057" s="395"/>
      <c r="F3057" s="391">
        <f>ROUND(SUM(H3057:H3063),0)</f>
        <v>42566</v>
      </c>
      <c r="G3057" s="437"/>
      <c r="H3057" s="442"/>
      <c r="I3057" s="738"/>
    </row>
    <row r="3058" spans="1:9" x14ac:dyDescent="0.2">
      <c r="A3058" s="936" t="s">
        <v>382</v>
      </c>
      <c r="B3058" s="241" t="s">
        <v>1347</v>
      </c>
      <c r="C3058" s="3" t="s">
        <v>2856</v>
      </c>
      <c r="D3058" s="2" t="s">
        <v>405</v>
      </c>
      <c r="E3058" s="114">
        <v>1</v>
      </c>
      <c r="F3058" s="23">
        <f>VLOOKUP(B3058,'BASE DE DATOS'!$A$5:$E$997,5,FALSE)</f>
        <v>290</v>
      </c>
      <c r="G3058" s="104">
        <f>1/50</f>
        <v>0.02</v>
      </c>
      <c r="H3058" s="252">
        <f>IF(G3058&gt;0,(G3058*F3058*E3058),(F3058*E3058))</f>
        <v>5.8</v>
      </c>
    </row>
    <row r="3059" spans="1:9" x14ac:dyDescent="0.2">
      <c r="A3059" s="936"/>
      <c r="B3059" s="241" t="s">
        <v>1462</v>
      </c>
      <c r="C3059" s="3" t="s">
        <v>1</v>
      </c>
      <c r="D3059" s="2" t="s">
        <v>411</v>
      </c>
      <c r="E3059" s="114">
        <v>6.0000000000000001E-3</v>
      </c>
      <c r="F3059" s="23">
        <f>VLOOKUP(B3059,'BASE DE DATOS'!$A$5:$E$997,5,FALSE)</f>
        <v>46900</v>
      </c>
      <c r="G3059" s="104">
        <v>1.03</v>
      </c>
      <c r="H3059" s="252">
        <f t="shared" si="292"/>
        <v>289.84199999999998</v>
      </c>
    </row>
    <row r="3060" spans="1:9" x14ac:dyDescent="0.2">
      <c r="A3060" s="936"/>
      <c r="B3060" s="241" t="s">
        <v>1563</v>
      </c>
      <c r="C3060" s="3" t="s">
        <v>2741</v>
      </c>
      <c r="D3060" s="2" t="s">
        <v>411</v>
      </c>
      <c r="E3060" s="114">
        <v>1</v>
      </c>
      <c r="F3060" s="23">
        <f>VLOOKUP(B3060,'BASE DE DATOS'!$A$5:$E$997,5,FALSE)</f>
        <v>23562</v>
      </c>
      <c r="G3060" s="104">
        <v>0</v>
      </c>
      <c r="H3060" s="252">
        <f t="shared" si="292"/>
        <v>23562</v>
      </c>
    </row>
    <row r="3061" spans="1:9" x14ac:dyDescent="0.2">
      <c r="A3061" s="936"/>
      <c r="B3061" s="241" t="s">
        <v>1701</v>
      </c>
      <c r="C3061" s="3" t="s">
        <v>2071</v>
      </c>
      <c r="D3061" s="2" t="s">
        <v>411</v>
      </c>
      <c r="E3061" s="114">
        <v>6.0000000000000001E-3</v>
      </c>
      <c r="F3061" s="23">
        <f>VLOOKUP(B3061,'BASE DE DATOS'!$A$5:$E$997,5,FALSE)</f>
        <v>80900</v>
      </c>
      <c r="G3061" s="104">
        <v>1.03</v>
      </c>
      <c r="H3061" s="252">
        <f>IF(G3061&gt;0,(G3061*F3061*E3061),(F3061*E3061))</f>
        <v>499.96199999999999</v>
      </c>
    </row>
    <row r="3062" spans="1:9" x14ac:dyDescent="0.2">
      <c r="A3062" s="81" t="s">
        <v>2555</v>
      </c>
      <c r="B3062" s="241" t="s">
        <v>644</v>
      </c>
      <c r="C3062" s="3" t="s">
        <v>645</v>
      </c>
      <c r="D3062" s="2" t="s">
        <v>585</v>
      </c>
      <c r="E3062" s="114">
        <v>1</v>
      </c>
      <c r="F3062" s="23">
        <f>VLOOKUP(B3062,'BASE DE DATOS'!$A$5:$E$997,5,FALSE)</f>
        <v>248302</v>
      </c>
      <c r="G3062" s="104">
        <f>1/15</f>
        <v>6.6666666666666666E-2</v>
      </c>
      <c r="H3062" s="252">
        <f t="shared" si="292"/>
        <v>16553.466666666667</v>
      </c>
    </row>
    <row r="3063" spans="1:9" ht="13.5" thickBot="1" x14ac:dyDescent="0.25">
      <c r="A3063" s="94" t="s">
        <v>293</v>
      </c>
      <c r="B3063" s="528" t="s">
        <v>269</v>
      </c>
      <c r="C3063" s="108" t="s">
        <v>284</v>
      </c>
      <c r="D3063" s="109" t="s">
        <v>586</v>
      </c>
      <c r="E3063" s="200">
        <v>0.1</v>
      </c>
      <c r="F3063" s="110">
        <f>H3062</f>
        <v>16553.466666666667</v>
      </c>
      <c r="G3063" s="156">
        <v>0</v>
      </c>
      <c r="H3063" s="479">
        <f t="shared" si="292"/>
        <v>1655.3466666666668</v>
      </c>
    </row>
    <row r="3064" spans="1:9" s="42" customFormat="1" ht="15" x14ac:dyDescent="0.2">
      <c r="A3064" s="67" t="s">
        <v>1015</v>
      </c>
      <c r="B3064" s="560"/>
      <c r="C3064" s="415" t="s">
        <v>2075</v>
      </c>
      <c r="D3064" s="441" t="s">
        <v>405</v>
      </c>
      <c r="E3064" s="390"/>
      <c r="F3064" s="391">
        <f>ROUND(SUM(H3064:H3070),0)</f>
        <v>32575</v>
      </c>
      <c r="G3064" s="437"/>
      <c r="H3064" s="442"/>
      <c r="I3064" s="738"/>
    </row>
    <row r="3065" spans="1:9" x14ac:dyDescent="0.2">
      <c r="A3065" s="936" t="s">
        <v>382</v>
      </c>
      <c r="B3065" s="241" t="s">
        <v>1665</v>
      </c>
      <c r="C3065" s="3" t="s">
        <v>2075</v>
      </c>
      <c r="D3065" s="2" t="s">
        <v>405</v>
      </c>
      <c r="E3065" s="114">
        <v>1</v>
      </c>
      <c r="F3065" s="23">
        <f>VLOOKUP(B3065,'BASE DE DATOS'!$A$5:$E$997,5,FALSE)</f>
        <v>18817</v>
      </c>
      <c r="G3065" s="104">
        <v>1.05</v>
      </c>
      <c r="H3065" s="252">
        <f t="shared" si="292"/>
        <v>19757.850000000002</v>
      </c>
    </row>
    <row r="3066" spans="1:9" x14ac:dyDescent="0.2">
      <c r="A3066" s="936"/>
      <c r="B3066" s="241" t="s">
        <v>1256</v>
      </c>
      <c r="C3066" s="3" t="s">
        <v>216</v>
      </c>
      <c r="D3066" s="2" t="s">
        <v>217</v>
      </c>
      <c r="E3066" s="114">
        <v>0.16</v>
      </c>
      <c r="F3066" s="23">
        <f>H3065</f>
        <v>19757.850000000002</v>
      </c>
      <c r="G3066" s="104">
        <v>0</v>
      </c>
      <c r="H3066" s="252">
        <f t="shared" si="292"/>
        <v>3161.2560000000003</v>
      </c>
    </row>
    <row r="3067" spans="1:9" x14ac:dyDescent="0.2">
      <c r="A3067" s="936"/>
      <c r="B3067" s="241" t="s">
        <v>1462</v>
      </c>
      <c r="C3067" s="3" t="s">
        <v>1</v>
      </c>
      <c r="D3067" s="2" t="s">
        <v>411</v>
      </c>
      <c r="E3067" s="114">
        <v>0.02</v>
      </c>
      <c r="F3067" s="23">
        <f>VLOOKUP(B3067,'BASE DE DATOS'!$A$5:$E$997,5,FALSE)</f>
        <v>46900</v>
      </c>
      <c r="G3067" s="104">
        <v>1.03</v>
      </c>
      <c r="H3067" s="252">
        <f t="shared" si="292"/>
        <v>966.14</v>
      </c>
    </row>
    <row r="3068" spans="1:9" x14ac:dyDescent="0.2">
      <c r="A3068" s="936"/>
      <c r="B3068" s="241" t="s">
        <v>1701</v>
      </c>
      <c r="C3068" s="3" t="s">
        <v>2071</v>
      </c>
      <c r="D3068" s="2" t="s">
        <v>411</v>
      </c>
      <c r="E3068" s="114">
        <v>0.02</v>
      </c>
      <c r="F3068" s="23">
        <f>VLOOKUP(B3068,'BASE DE DATOS'!$A$5:$E$997,5,FALSE)</f>
        <v>80900</v>
      </c>
      <c r="G3068" s="104">
        <v>1.03</v>
      </c>
      <c r="H3068" s="252">
        <f t="shared" si="292"/>
        <v>1666.54</v>
      </c>
    </row>
    <row r="3069" spans="1:9" x14ac:dyDescent="0.2">
      <c r="A3069" s="81" t="s">
        <v>2555</v>
      </c>
      <c r="B3069" s="241" t="s">
        <v>599</v>
      </c>
      <c r="C3069" s="3" t="s">
        <v>600</v>
      </c>
      <c r="D3069" s="2" t="s">
        <v>585</v>
      </c>
      <c r="E3069" s="114">
        <v>1</v>
      </c>
      <c r="F3069" s="23">
        <f>VLOOKUP(B3069,'BASE DE DATOS'!$A$5:$E$997,5,FALSE)</f>
        <v>159623</v>
      </c>
      <c r="G3069" s="104">
        <f>1/25</f>
        <v>0.04</v>
      </c>
      <c r="H3069" s="252">
        <f t="shared" si="292"/>
        <v>6384.92</v>
      </c>
    </row>
    <row r="3070" spans="1:9" ht="13.5" thickBot="1" x14ac:dyDescent="0.25">
      <c r="A3070" s="94" t="s">
        <v>293</v>
      </c>
      <c r="B3070" s="528" t="s">
        <v>269</v>
      </c>
      <c r="C3070" s="108" t="s">
        <v>284</v>
      </c>
      <c r="D3070" s="109" t="s">
        <v>586</v>
      </c>
      <c r="E3070" s="200">
        <v>0.1</v>
      </c>
      <c r="F3070" s="110">
        <f>H3069</f>
        <v>6384.92</v>
      </c>
      <c r="G3070" s="156">
        <v>0</v>
      </c>
      <c r="H3070" s="479">
        <f t="shared" si="292"/>
        <v>638.49200000000008</v>
      </c>
    </row>
    <row r="3071" spans="1:9" s="42" customFormat="1" ht="15" x14ac:dyDescent="0.2">
      <c r="A3071" s="67" t="s">
        <v>1016</v>
      </c>
      <c r="B3071" s="560"/>
      <c r="C3071" s="415" t="s">
        <v>2074</v>
      </c>
      <c r="D3071" s="441" t="s">
        <v>405</v>
      </c>
      <c r="E3071" s="390"/>
      <c r="F3071" s="391">
        <f>ROUND(SUM(H3071:H3077),0)</f>
        <v>23033</v>
      </c>
      <c r="G3071" s="437"/>
      <c r="H3071" s="442"/>
      <c r="I3071" s="738"/>
    </row>
    <row r="3072" spans="1:9" x14ac:dyDescent="0.2">
      <c r="A3072" s="936" t="s">
        <v>382</v>
      </c>
      <c r="B3072" s="241" t="s">
        <v>1661</v>
      </c>
      <c r="C3072" s="3" t="s">
        <v>2074</v>
      </c>
      <c r="D3072" s="2" t="s">
        <v>405</v>
      </c>
      <c r="E3072" s="114">
        <v>1</v>
      </c>
      <c r="F3072" s="23">
        <f>VLOOKUP(B3072,'BASE DE DATOS'!$A$5:$E$997,5,FALSE)</f>
        <v>12484</v>
      </c>
      <c r="G3072" s="104">
        <v>1.05</v>
      </c>
      <c r="H3072" s="252">
        <f t="shared" si="292"/>
        <v>13108.2</v>
      </c>
    </row>
    <row r="3073" spans="1:9" x14ac:dyDescent="0.2">
      <c r="A3073" s="936"/>
      <c r="B3073" s="241" t="s">
        <v>1256</v>
      </c>
      <c r="C3073" s="3" t="s">
        <v>216</v>
      </c>
      <c r="D3073" s="2" t="s">
        <v>217</v>
      </c>
      <c r="E3073" s="114">
        <v>0.16</v>
      </c>
      <c r="F3073" s="23">
        <f>H3072</f>
        <v>13108.2</v>
      </c>
      <c r="G3073" s="104">
        <v>0</v>
      </c>
      <c r="H3073" s="252">
        <f t="shared" si="292"/>
        <v>2097.3120000000004</v>
      </c>
    </row>
    <row r="3074" spans="1:9" x14ac:dyDescent="0.2">
      <c r="A3074" s="936"/>
      <c r="B3074" s="241" t="s">
        <v>1462</v>
      </c>
      <c r="C3074" s="3" t="s">
        <v>1</v>
      </c>
      <c r="D3074" s="2" t="s">
        <v>411</v>
      </c>
      <c r="E3074" s="114">
        <v>1.4999999999999999E-2</v>
      </c>
      <c r="F3074" s="23">
        <f>VLOOKUP(B3074,'BASE DE DATOS'!$A$5:$E$997,5,FALSE)</f>
        <v>46900</v>
      </c>
      <c r="G3074" s="104">
        <v>1.03</v>
      </c>
      <c r="H3074" s="252">
        <f t="shared" si="292"/>
        <v>724.60500000000002</v>
      </c>
    </row>
    <row r="3075" spans="1:9" x14ac:dyDescent="0.2">
      <c r="A3075" s="936"/>
      <c r="B3075" s="241" t="s">
        <v>1701</v>
      </c>
      <c r="C3075" s="3" t="s">
        <v>2071</v>
      </c>
      <c r="D3075" s="2" t="s">
        <v>411</v>
      </c>
      <c r="E3075" s="114">
        <v>1.4999999999999999E-2</v>
      </c>
      <c r="F3075" s="23">
        <f>VLOOKUP(B3075,'BASE DE DATOS'!$A$5:$E$997,5,FALSE)</f>
        <v>80900</v>
      </c>
      <c r="G3075" s="104">
        <v>1.03</v>
      </c>
      <c r="H3075" s="252">
        <f t="shared" si="292"/>
        <v>1249.905</v>
      </c>
    </row>
    <row r="3076" spans="1:9" x14ac:dyDescent="0.2">
      <c r="A3076" s="81" t="s">
        <v>2555</v>
      </c>
      <c r="B3076" s="241" t="s">
        <v>599</v>
      </c>
      <c r="C3076" s="3" t="s">
        <v>600</v>
      </c>
      <c r="D3076" s="2" t="s">
        <v>585</v>
      </c>
      <c r="E3076" s="114">
        <v>1</v>
      </c>
      <c r="F3076" s="23">
        <f>VLOOKUP(B3076,'BASE DE DATOS'!$A$5:$E$997,5,FALSE)</f>
        <v>159623</v>
      </c>
      <c r="G3076" s="104">
        <f>1/30</f>
        <v>3.3333333333333333E-2</v>
      </c>
      <c r="H3076" s="252">
        <f t="shared" si="292"/>
        <v>5320.7666666666664</v>
      </c>
    </row>
    <row r="3077" spans="1:9" ht="13.5" thickBot="1" x14ac:dyDescent="0.25">
      <c r="A3077" s="94" t="s">
        <v>293</v>
      </c>
      <c r="B3077" s="528" t="s">
        <v>269</v>
      </c>
      <c r="C3077" s="108" t="s">
        <v>284</v>
      </c>
      <c r="D3077" s="109" t="s">
        <v>586</v>
      </c>
      <c r="E3077" s="200">
        <v>0.1</v>
      </c>
      <c r="F3077" s="110">
        <f>H3076</f>
        <v>5320.7666666666664</v>
      </c>
      <c r="G3077" s="156">
        <v>0</v>
      </c>
      <c r="H3077" s="479">
        <f t="shared" si="292"/>
        <v>532.07666666666671</v>
      </c>
    </row>
    <row r="3078" spans="1:9" s="42" customFormat="1" ht="15" x14ac:dyDescent="0.2">
      <c r="A3078" s="67" t="s">
        <v>1017</v>
      </c>
      <c r="B3078" s="560"/>
      <c r="C3078" s="415" t="s">
        <v>2073</v>
      </c>
      <c r="D3078" s="441" t="s">
        <v>405</v>
      </c>
      <c r="E3078" s="390"/>
      <c r="F3078" s="391">
        <f>ROUND(SUM(H3078:H3084),0)</f>
        <v>19084</v>
      </c>
      <c r="G3078" s="437"/>
      <c r="H3078" s="442"/>
      <c r="I3078" s="738"/>
    </row>
    <row r="3079" spans="1:9" x14ac:dyDescent="0.2">
      <c r="A3079" s="936" t="s">
        <v>382</v>
      </c>
      <c r="B3079" s="241" t="s">
        <v>1662</v>
      </c>
      <c r="C3079" s="3" t="s">
        <v>2073</v>
      </c>
      <c r="D3079" s="2" t="s">
        <v>405</v>
      </c>
      <c r="E3079" s="114">
        <v>1</v>
      </c>
      <c r="F3079" s="23">
        <f>VLOOKUP(B3079,'BASE DE DATOS'!$A$5:$E$997,5,FALSE)</f>
        <v>9484</v>
      </c>
      <c r="G3079" s="104">
        <v>1.05</v>
      </c>
      <c r="H3079" s="252">
        <f t="shared" si="292"/>
        <v>9958.2000000000007</v>
      </c>
    </row>
    <row r="3080" spans="1:9" x14ac:dyDescent="0.2">
      <c r="A3080" s="936"/>
      <c r="B3080" s="241" t="s">
        <v>1256</v>
      </c>
      <c r="C3080" s="3" t="s">
        <v>216</v>
      </c>
      <c r="D3080" s="2" t="s">
        <v>217</v>
      </c>
      <c r="E3080" s="114">
        <v>0.17</v>
      </c>
      <c r="F3080" s="23">
        <f>H3079</f>
        <v>9958.2000000000007</v>
      </c>
      <c r="G3080" s="104">
        <v>0</v>
      </c>
      <c r="H3080" s="252">
        <f t="shared" ref="H3080:H3121" si="293">IF(G3080&gt;0,(G3080*F3080*E3080),(F3080*E3080))</f>
        <v>1692.8940000000002</v>
      </c>
    </row>
    <row r="3081" spans="1:9" x14ac:dyDescent="0.2">
      <c r="A3081" s="936"/>
      <c r="B3081" s="241" t="s">
        <v>1462</v>
      </c>
      <c r="C3081" s="3" t="s">
        <v>1</v>
      </c>
      <c r="D3081" s="2" t="s">
        <v>411</v>
      </c>
      <c r="E3081" s="114">
        <v>1.2E-2</v>
      </c>
      <c r="F3081" s="23">
        <f>VLOOKUP(B3081,'BASE DE DATOS'!$A$5:$E$997,5,FALSE)</f>
        <v>46900</v>
      </c>
      <c r="G3081" s="104">
        <v>1.03</v>
      </c>
      <c r="H3081" s="252">
        <f t="shared" si="293"/>
        <v>579.68399999999997</v>
      </c>
    </row>
    <row r="3082" spans="1:9" x14ac:dyDescent="0.2">
      <c r="A3082" s="936"/>
      <c r="B3082" s="241" t="s">
        <v>1701</v>
      </c>
      <c r="C3082" s="3" t="s">
        <v>2071</v>
      </c>
      <c r="D3082" s="2" t="s">
        <v>411</v>
      </c>
      <c r="E3082" s="114">
        <v>1.2E-2</v>
      </c>
      <c r="F3082" s="23">
        <f>VLOOKUP(B3082,'BASE DE DATOS'!$A$5:$E$997,5,FALSE)</f>
        <v>80900</v>
      </c>
      <c r="G3082" s="104">
        <v>1.03</v>
      </c>
      <c r="H3082" s="252">
        <f t="shared" si="293"/>
        <v>999.92399999999998</v>
      </c>
    </row>
    <row r="3083" spans="1:9" x14ac:dyDescent="0.2">
      <c r="A3083" s="81" t="s">
        <v>2555</v>
      </c>
      <c r="B3083" s="241" t="s">
        <v>599</v>
      </c>
      <c r="C3083" s="3" t="s">
        <v>600</v>
      </c>
      <c r="D3083" s="2" t="s">
        <v>585</v>
      </c>
      <c r="E3083" s="114">
        <v>1</v>
      </c>
      <c r="F3083" s="23">
        <f>VLOOKUP(B3083,'BASE DE DATOS'!$A$5:$E$997,5,FALSE)</f>
        <v>159623</v>
      </c>
      <c r="G3083" s="104">
        <f>1/30</f>
        <v>3.3333333333333333E-2</v>
      </c>
      <c r="H3083" s="252">
        <f t="shared" si="293"/>
        <v>5320.7666666666664</v>
      </c>
    </row>
    <row r="3084" spans="1:9" ht="13.5" thickBot="1" x14ac:dyDescent="0.25">
      <c r="A3084" s="94" t="s">
        <v>293</v>
      </c>
      <c r="B3084" s="528" t="s">
        <v>269</v>
      </c>
      <c r="C3084" s="108" t="s">
        <v>284</v>
      </c>
      <c r="D3084" s="109" t="s">
        <v>586</v>
      </c>
      <c r="E3084" s="200">
        <v>0.1</v>
      </c>
      <c r="F3084" s="110">
        <f>H3083</f>
        <v>5320.7666666666664</v>
      </c>
      <c r="G3084" s="156">
        <v>0</v>
      </c>
      <c r="H3084" s="479">
        <f t="shared" si="293"/>
        <v>532.07666666666671</v>
      </c>
    </row>
    <row r="3085" spans="1:9" s="42" customFormat="1" ht="15" x14ac:dyDescent="0.2">
      <c r="A3085" s="67" t="s">
        <v>1018</v>
      </c>
      <c r="B3085" s="560"/>
      <c r="C3085" s="415" t="s">
        <v>2076</v>
      </c>
      <c r="D3085" s="441" t="s">
        <v>405</v>
      </c>
      <c r="E3085" s="390"/>
      <c r="F3085" s="391">
        <f>ROUND(SUM(H3085:H3091),0)</f>
        <v>13906</v>
      </c>
      <c r="G3085" s="437"/>
      <c r="H3085" s="442"/>
      <c r="I3085" s="738"/>
    </row>
    <row r="3086" spans="1:9" x14ac:dyDescent="0.2">
      <c r="A3086" s="936" t="s">
        <v>382</v>
      </c>
      <c r="B3086" s="241" t="s">
        <v>1663</v>
      </c>
      <c r="C3086" s="3" t="s">
        <v>2076</v>
      </c>
      <c r="D3086" s="2" t="s">
        <v>405</v>
      </c>
      <c r="E3086" s="114">
        <v>1</v>
      </c>
      <c r="F3086" s="23">
        <f>VLOOKUP(B3086,'BASE DE DATOS'!$A$5:$E$997,5,FALSE)</f>
        <v>5484</v>
      </c>
      <c r="G3086" s="104">
        <v>1.05</v>
      </c>
      <c r="H3086" s="252">
        <f t="shared" si="293"/>
        <v>5758.2</v>
      </c>
    </row>
    <row r="3087" spans="1:9" x14ac:dyDescent="0.2">
      <c r="A3087" s="936"/>
      <c r="B3087" s="241" t="s">
        <v>1256</v>
      </c>
      <c r="C3087" s="3" t="s">
        <v>216</v>
      </c>
      <c r="D3087" s="2" t="s">
        <v>217</v>
      </c>
      <c r="E3087" s="114">
        <v>0.17</v>
      </c>
      <c r="F3087" s="23">
        <f>H3086</f>
        <v>5758.2</v>
      </c>
      <c r="G3087" s="104">
        <v>0</v>
      </c>
      <c r="H3087" s="252">
        <f t="shared" si="293"/>
        <v>978.89400000000001</v>
      </c>
    </row>
    <row r="3088" spans="1:9" x14ac:dyDescent="0.2">
      <c r="A3088" s="936"/>
      <c r="B3088" s="241" t="s">
        <v>1462</v>
      </c>
      <c r="C3088" s="3" t="s">
        <v>1</v>
      </c>
      <c r="D3088" s="2" t="s">
        <v>411</v>
      </c>
      <c r="E3088" s="114">
        <v>0.01</v>
      </c>
      <c r="F3088" s="23">
        <f>VLOOKUP(B3088,'BASE DE DATOS'!$A$5:$E$997,5,FALSE)</f>
        <v>46900</v>
      </c>
      <c r="G3088" s="104">
        <v>1.03</v>
      </c>
      <c r="H3088" s="252">
        <f t="shared" si="293"/>
        <v>483.07</v>
      </c>
    </row>
    <row r="3089" spans="1:9" x14ac:dyDescent="0.2">
      <c r="A3089" s="936"/>
      <c r="B3089" s="241" t="s">
        <v>1701</v>
      </c>
      <c r="C3089" s="3" t="s">
        <v>2071</v>
      </c>
      <c r="D3089" s="2" t="s">
        <v>411</v>
      </c>
      <c r="E3089" s="114">
        <v>0.01</v>
      </c>
      <c r="F3089" s="23">
        <f>VLOOKUP(B3089,'BASE DE DATOS'!$A$5:$E$997,5,FALSE)</f>
        <v>80900</v>
      </c>
      <c r="G3089" s="104">
        <v>1.03</v>
      </c>
      <c r="H3089" s="252">
        <f t="shared" si="293"/>
        <v>833.27</v>
      </c>
    </row>
    <row r="3090" spans="1:9" x14ac:dyDescent="0.2">
      <c r="A3090" s="81" t="s">
        <v>2555</v>
      </c>
      <c r="B3090" s="241" t="s">
        <v>599</v>
      </c>
      <c r="C3090" s="3" t="s">
        <v>600</v>
      </c>
      <c r="D3090" s="2" t="s">
        <v>585</v>
      </c>
      <c r="E3090" s="114">
        <v>1</v>
      </c>
      <c r="F3090" s="23">
        <f>VLOOKUP(B3090,'BASE DE DATOS'!$A$5:$E$997,5,FALSE)</f>
        <v>159623</v>
      </c>
      <c r="G3090" s="104">
        <f>1/30</f>
        <v>3.3333333333333333E-2</v>
      </c>
      <c r="H3090" s="252">
        <f t="shared" si="293"/>
        <v>5320.7666666666664</v>
      </c>
    </row>
    <row r="3091" spans="1:9" ht="13.5" thickBot="1" x14ac:dyDescent="0.25">
      <c r="A3091" s="94" t="s">
        <v>293</v>
      </c>
      <c r="B3091" s="528" t="s">
        <v>269</v>
      </c>
      <c r="C3091" s="108" t="s">
        <v>284</v>
      </c>
      <c r="D3091" s="109" t="s">
        <v>586</v>
      </c>
      <c r="E3091" s="200">
        <v>0.1</v>
      </c>
      <c r="F3091" s="110">
        <f>H3090</f>
        <v>5320.7666666666664</v>
      </c>
      <c r="G3091" s="156">
        <v>0</v>
      </c>
      <c r="H3091" s="479">
        <f t="shared" si="293"/>
        <v>532.07666666666671</v>
      </c>
    </row>
    <row r="3092" spans="1:9" s="42" customFormat="1" ht="15" x14ac:dyDescent="0.2">
      <c r="A3092" s="67" t="s">
        <v>1019</v>
      </c>
      <c r="B3092" s="560"/>
      <c r="C3092" s="415" t="s">
        <v>2072</v>
      </c>
      <c r="D3092" s="441" t="s">
        <v>405</v>
      </c>
      <c r="E3092" s="390"/>
      <c r="F3092" s="391">
        <f>ROUND(SUM(H3092:H3098),0)</f>
        <v>8442</v>
      </c>
      <c r="G3092" s="437"/>
      <c r="H3092" s="442"/>
      <c r="I3092" s="738"/>
    </row>
    <row r="3093" spans="1:9" x14ac:dyDescent="0.2">
      <c r="A3093" s="936" t="s">
        <v>382</v>
      </c>
      <c r="B3093" s="241" t="s">
        <v>1667</v>
      </c>
      <c r="C3093" s="3" t="s">
        <v>2072</v>
      </c>
      <c r="D3093" s="2" t="s">
        <v>405</v>
      </c>
      <c r="E3093" s="114">
        <v>1</v>
      </c>
      <c r="F3093" s="23">
        <f>VLOOKUP(B3093,'BASE DE DATOS'!$A$5:$E$997,5,FALSE)</f>
        <v>1250</v>
      </c>
      <c r="G3093" s="104">
        <v>1.05</v>
      </c>
      <c r="H3093" s="252">
        <f t="shared" si="293"/>
        <v>1312.5</v>
      </c>
    </row>
    <row r="3094" spans="1:9" x14ac:dyDescent="0.2">
      <c r="A3094" s="936"/>
      <c r="B3094" s="241" t="s">
        <v>1256</v>
      </c>
      <c r="C3094" s="3" t="s">
        <v>216</v>
      </c>
      <c r="D3094" s="2" t="s">
        <v>217</v>
      </c>
      <c r="E3094" s="114">
        <v>0.17</v>
      </c>
      <c r="F3094" s="23">
        <f>H3093</f>
        <v>1312.5</v>
      </c>
      <c r="G3094" s="104">
        <v>0</v>
      </c>
      <c r="H3094" s="252">
        <f t="shared" si="293"/>
        <v>223.12500000000003</v>
      </c>
    </row>
    <row r="3095" spans="1:9" x14ac:dyDescent="0.2">
      <c r="A3095" s="936"/>
      <c r="B3095" s="241" t="s">
        <v>1462</v>
      </c>
      <c r="C3095" s="3" t="s">
        <v>1</v>
      </c>
      <c r="D3095" s="2" t="s">
        <v>411</v>
      </c>
      <c r="E3095" s="114">
        <v>8.0000000000000002E-3</v>
      </c>
      <c r="F3095" s="23">
        <f>VLOOKUP(B3095,'BASE DE DATOS'!$A$5:$E$997,5,FALSE)</f>
        <v>46900</v>
      </c>
      <c r="G3095" s="104">
        <v>1.03</v>
      </c>
      <c r="H3095" s="252">
        <f t="shared" si="293"/>
        <v>386.45600000000002</v>
      </c>
    </row>
    <row r="3096" spans="1:9" x14ac:dyDescent="0.2">
      <c r="A3096" s="936"/>
      <c r="B3096" s="241" t="s">
        <v>1701</v>
      </c>
      <c r="C3096" s="3" t="s">
        <v>2071</v>
      </c>
      <c r="D3096" s="2" t="s">
        <v>411</v>
      </c>
      <c r="E3096" s="114">
        <v>8.0000000000000002E-3</v>
      </c>
      <c r="F3096" s="23">
        <f>VLOOKUP(B3096,'BASE DE DATOS'!$A$5:$E$997,5,FALSE)</f>
        <v>80900</v>
      </c>
      <c r="G3096" s="104">
        <v>1.03</v>
      </c>
      <c r="H3096" s="252">
        <f t="shared" si="293"/>
        <v>666.61599999999999</v>
      </c>
    </row>
    <row r="3097" spans="1:9" x14ac:dyDescent="0.2">
      <c r="A3097" s="81" t="s">
        <v>2555</v>
      </c>
      <c r="B3097" s="241" t="s">
        <v>599</v>
      </c>
      <c r="C3097" s="3" t="s">
        <v>600</v>
      </c>
      <c r="D3097" s="2" t="s">
        <v>585</v>
      </c>
      <c r="E3097" s="114">
        <v>1</v>
      </c>
      <c r="F3097" s="23">
        <f>VLOOKUP(B3097,'BASE DE DATOS'!$A$5:$E$997,5,FALSE)</f>
        <v>159623</v>
      </c>
      <c r="G3097" s="104">
        <f>1/30</f>
        <v>3.3333333333333333E-2</v>
      </c>
      <c r="H3097" s="252">
        <f t="shared" si="293"/>
        <v>5320.7666666666664</v>
      </c>
    </row>
    <row r="3098" spans="1:9" ht="13.5" thickBot="1" x14ac:dyDescent="0.25">
      <c r="A3098" s="94" t="s">
        <v>293</v>
      </c>
      <c r="B3098" s="528" t="s">
        <v>269</v>
      </c>
      <c r="C3098" s="108" t="s">
        <v>284</v>
      </c>
      <c r="D3098" s="109" t="s">
        <v>586</v>
      </c>
      <c r="E3098" s="200">
        <v>0.1</v>
      </c>
      <c r="F3098" s="110">
        <f>H3097</f>
        <v>5320.7666666666664</v>
      </c>
      <c r="G3098" s="156">
        <v>0</v>
      </c>
      <c r="H3098" s="479">
        <f t="shared" si="293"/>
        <v>532.07666666666671</v>
      </c>
    </row>
    <row r="3099" spans="1:9" s="42" customFormat="1" ht="15" x14ac:dyDescent="0.2">
      <c r="A3099" s="67" t="s">
        <v>1020</v>
      </c>
      <c r="B3099" s="560"/>
      <c r="C3099" s="415" t="s">
        <v>2070</v>
      </c>
      <c r="D3099" s="441" t="s">
        <v>405</v>
      </c>
      <c r="E3099" s="390"/>
      <c r="F3099" s="391">
        <f>ROUND(SUM(H3099:H3105),0)</f>
        <v>9489</v>
      </c>
      <c r="G3099" s="437"/>
      <c r="H3099" s="442"/>
      <c r="I3099" s="738"/>
    </row>
    <row r="3100" spans="1:9" x14ac:dyDescent="0.2">
      <c r="A3100" s="936" t="s">
        <v>382</v>
      </c>
      <c r="B3100" s="241" t="s">
        <v>1664</v>
      </c>
      <c r="C3100" s="3" t="s">
        <v>2070</v>
      </c>
      <c r="D3100" s="2" t="s">
        <v>405</v>
      </c>
      <c r="E3100" s="114">
        <v>1</v>
      </c>
      <c r="F3100" s="23">
        <f>VLOOKUP(B3100,'BASE DE DATOS'!$A$5:$E$997,5,FALSE)</f>
        <v>2317</v>
      </c>
      <c r="G3100" s="104">
        <v>1.05</v>
      </c>
      <c r="H3100" s="252">
        <f t="shared" si="293"/>
        <v>2432.85</v>
      </c>
    </row>
    <row r="3101" spans="1:9" x14ac:dyDescent="0.2">
      <c r="A3101" s="936"/>
      <c r="B3101" s="241" t="s">
        <v>1256</v>
      </c>
      <c r="C3101" s="3" t="s">
        <v>216</v>
      </c>
      <c r="D3101" s="2" t="s">
        <v>217</v>
      </c>
      <c r="E3101" s="114">
        <v>0.17</v>
      </c>
      <c r="F3101" s="23">
        <f>H3100</f>
        <v>2432.85</v>
      </c>
      <c r="G3101" s="104">
        <v>0</v>
      </c>
      <c r="H3101" s="252">
        <f t="shared" si="293"/>
        <v>413.58449999999999</v>
      </c>
    </row>
    <row r="3102" spans="1:9" x14ac:dyDescent="0.2">
      <c r="A3102" s="936"/>
      <c r="B3102" s="241" t="s">
        <v>1462</v>
      </c>
      <c r="C3102" s="3" t="s">
        <v>1</v>
      </c>
      <c r="D3102" s="2" t="s">
        <v>411</v>
      </c>
      <c r="E3102" s="114">
        <v>6.0000000000000001E-3</v>
      </c>
      <c r="F3102" s="23">
        <f>VLOOKUP(B3102,'BASE DE DATOS'!$A$5:$E$997,5,FALSE)</f>
        <v>46900</v>
      </c>
      <c r="G3102" s="104">
        <v>1.03</v>
      </c>
      <c r="H3102" s="252">
        <f t="shared" si="293"/>
        <v>289.84199999999998</v>
      </c>
    </row>
    <row r="3103" spans="1:9" x14ac:dyDescent="0.2">
      <c r="A3103" s="936"/>
      <c r="B3103" s="241" t="s">
        <v>1701</v>
      </c>
      <c r="C3103" s="3" t="s">
        <v>2071</v>
      </c>
      <c r="D3103" s="2" t="s">
        <v>411</v>
      </c>
      <c r="E3103" s="114">
        <v>6.0000000000000001E-3</v>
      </c>
      <c r="F3103" s="23">
        <f>VLOOKUP(B3103,'BASE DE DATOS'!$A$5:$E$997,5,FALSE)</f>
        <v>80900</v>
      </c>
      <c r="G3103" s="104">
        <v>1.03</v>
      </c>
      <c r="H3103" s="252">
        <f t="shared" si="293"/>
        <v>499.96199999999999</v>
      </c>
    </row>
    <row r="3104" spans="1:9" x14ac:dyDescent="0.2">
      <c r="A3104" s="81" t="s">
        <v>2555</v>
      </c>
      <c r="B3104" s="241" t="s">
        <v>599</v>
      </c>
      <c r="C3104" s="3" t="s">
        <v>600</v>
      </c>
      <c r="D3104" s="2" t="s">
        <v>585</v>
      </c>
      <c r="E3104" s="114">
        <v>1</v>
      </c>
      <c r="F3104" s="23">
        <f>VLOOKUP(B3104,'BASE DE DATOS'!$A$5:$E$997,5,FALSE)</f>
        <v>159623</v>
      </c>
      <c r="G3104" s="104">
        <f>1/30</f>
        <v>3.3333333333333333E-2</v>
      </c>
      <c r="H3104" s="252">
        <f t="shared" si="293"/>
        <v>5320.7666666666664</v>
      </c>
    </row>
    <row r="3105" spans="1:9" ht="13.5" thickBot="1" x14ac:dyDescent="0.25">
      <c r="A3105" s="94" t="s">
        <v>293</v>
      </c>
      <c r="B3105" s="528" t="s">
        <v>269</v>
      </c>
      <c r="C3105" s="108" t="s">
        <v>284</v>
      </c>
      <c r="D3105" s="109" t="s">
        <v>586</v>
      </c>
      <c r="E3105" s="200">
        <v>0.1</v>
      </c>
      <c r="F3105" s="110">
        <f>H3104</f>
        <v>5320.7666666666664</v>
      </c>
      <c r="G3105" s="156">
        <v>0</v>
      </c>
      <c r="H3105" s="479">
        <f t="shared" si="293"/>
        <v>532.07666666666671</v>
      </c>
    </row>
    <row r="3106" spans="1:9" s="42" customFormat="1" ht="15" x14ac:dyDescent="0.2">
      <c r="A3106" s="67" t="s">
        <v>1021</v>
      </c>
      <c r="B3106" s="560"/>
      <c r="C3106" s="415" t="s">
        <v>696</v>
      </c>
      <c r="D3106" s="441" t="s">
        <v>405</v>
      </c>
      <c r="E3106" s="390"/>
      <c r="F3106" s="391">
        <f>ROUND(SUM(H3106:H3112),0)</f>
        <v>13547</v>
      </c>
      <c r="G3106" s="437"/>
      <c r="H3106" s="442"/>
      <c r="I3106" s="738"/>
    </row>
    <row r="3107" spans="1:9" x14ac:dyDescent="0.2">
      <c r="A3107" s="936" t="s">
        <v>382</v>
      </c>
      <c r="B3107" s="241" t="s">
        <v>1612</v>
      </c>
      <c r="C3107" s="3" t="s">
        <v>2105</v>
      </c>
      <c r="D3107" s="2" t="s">
        <v>405</v>
      </c>
      <c r="E3107" s="114">
        <v>1</v>
      </c>
      <c r="F3107" s="23">
        <f>VLOOKUP(B3107,'BASE DE DATOS'!$A$5:$E$997,5,FALSE)</f>
        <v>4667</v>
      </c>
      <c r="G3107" s="104">
        <v>1.05</v>
      </c>
      <c r="H3107" s="252">
        <f t="shared" si="293"/>
        <v>4900.3500000000004</v>
      </c>
    </row>
    <row r="3108" spans="1:9" x14ac:dyDescent="0.2">
      <c r="A3108" s="936"/>
      <c r="B3108" s="241" t="s">
        <v>1256</v>
      </c>
      <c r="C3108" s="3" t="s">
        <v>216</v>
      </c>
      <c r="D3108" s="2" t="s">
        <v>217</v>
      </c>
      <c r="E3108" s="114">
        <v>0.17</v>
      </c>
      <c r="F3108" s="23">
        <f>H3107</f>
        <v>4900.3500000000004</v>
      </c>
      <c r="G3108" s="104">
        <v>0</v>
      </c>
      <c r="H3108" s="252">
        <f t="shared" si="293"/>
        <v>833.05950000000007</v>
      </c>
    </row>
    <row r="3109" spans="1:9" x14ac:dyDescent="0.2">
      <c r="A3109" s="936"/>
      <c r="B3109" s="241" t="s">
        <v>1462</v>
      </c>
      <c r="C3109" s="3" t="s">
        <v>1</v>
      </c>
      <c r="D3109" s="2" t="s">
        <v>411</v>
      </c>
      <c r="E3109" s="114">
        <v>6.0000000000000001E-3</v>
      </c>
      <c r="F3109" s="23">
        <f>VLOOKUP(B3109,'BASE DE DATOS'!$A$5:$E$997,5,FALSE)</f>
        <v>46900</v>
      </c>
      <c r="G3109" s="104">
        <v>1.03</v>
      </c>
      <c r="H3109" s="252">
        <f t="shared" si="293"/>
        <v>289.84199999999998</v>
      </c>
    </row>
    <row r="3110" spans="1:9" x14ac:dyDescent="0.2">
      <c r="A3110" s="936"/>
      <c r="B3110" s="241" t="s">
        <v>1701</v>
      </c>
      <c r="C3110" s="3" t="s">
        <v>2106</v>
      </c>
      <c r="D3110" s="2" t="s">
        <v>411</v>
      </c>
      <c r="E3110" s="114">
        <v>6.0000000000000001E-3</v>
      </c>
      <c r="F3110" s="23">
        <f>VLOOKUP(B3110,'BASE DE DATOS'!$A$5:$E$997,5,FALSE)</f>
        <v>80900</v>
      </c>
      <c r="G3110" s="104">
        <v>1.03</v>
      </c>
      <c r="H3110" s="252">
        <f t="shared" si="293"/>
        <v>499.96199999999999</v>
      </c>
    </row>
    <row r="3111" spans="1:9" x14ac:dyDescent="0.2">
      <c r="A3111" s="81" t="s">
        <v>2555</v>
      </c>
      <c r="B3111" s="241" t="s">
        <v>599</v>
      </c>
      <c r="C3111" s="3" t="s">
        <v>600</v>
      </c>
      <c r="D3111" s="2" t="s">
        <v>585</v>
      </c>
      <c r="E3111" s="114">
        <v>1</v>
      </c>
      <c r="F3111" s="23">
        <f>VLOOKUP(B3111,'BASE DE DATOS'!$A$5:$E$997,5,FALSE)</f>
        <v>159623</v>
      </c>
      <c r="G3111" s="104">
        <f>1/25</f>
        <v>0.04</v>
      </c>
      <c r="H3111" s="252">
        <f t="shared" si="293"/>
        <v>6384.92</v>
      </c>
    </row>
    <row r="3112" spans="1:9" ht="13.5" thickBot="1" x14ac:dyDescent="0.25">
      <c r="A3112" s="94" t="s">
        <v>293</v>
      </c>
      <c r="B3112" s="528" t="s">
        <v>269</v>
      </c>
      <c r="C3112" s="108" t="s">
        <v>284</v>
      </c>
      <c r="D3112" s="109" t="s">
        <v>586</v>
      </c>
      <c r="E3112" s="200">
        <v>0.1</v>
      </c>
      <c r="F3112" s="110">
        <f>H3111</f>
        <v>6384.92</v>
      </c>
      <c r="G3112" s="156">
        <v>0</v>
      </c>
      <c r="H3112" s="479">
        <f t="shared" si="293"/>
        <v>638.49200000000008</v>
      </c>
    </row>
    <row r="3113" spans="1:9" s="42" customFormat="1" ht="30" x14ac:dyDescent="0.2">
      <c r="A3113" s="67" t="s">
        <v>1022</v>
      </c>
      <c r="B3113" s="560"/>
      <c r="C3113" s="415" t="s">
        <v>3425</v>
      </c>
      <c r="D3113" s="441" t="s">
        <v>411</v>
      </c>
      <c r="E3113" s="395"/>
      <c r="F3113" s="391">
        <f>ROUND(SUM(H3113:H3121),0)</f>
        <v>159090</v>
      </c>
      <c r="G3113" s="437"/>
      <c r="H3113" s="442"/>
      <c r="I3113" s="738"/>
    </row>
    <row r="3114" spans="1:9" x14ac:dyDescent="0.2">
      <c r="A3114" s="939" t="s">
        <v>295</v>
      </c>
      <c r="B3114" s="540" t="s">
        <v>1666</v>
      </c>
      <c r="C3114" s="32" t="s">
        <v>2107</v>
      </c>
      <c r="D3114" s="21" t="s">
        <v>405</v>
      </c>
      <c r="E3114" s="114">
        <v>3</v>
      </c>
      <c r="F3114" s="23">
        <f>VLOOKUP(B3114,'BASE DE DATOS'!$A$5:$E$997,5,FALSE)</f>
        <v>12550</v>
      </c>
      <c r="G3114" s="104">
        <v>1.05</v>
      </c>
      <c r="H3114" s="252">
        <f t="shared" si="293"/>
        <v>39532.5</v>
      </c>
    </row>
    <row r="3115" spans="1:9" x14ac:dyDescent="0.2">
      <c r="A3115" s="939"/>
      <c r="B3115" s="241" t="s">
        <v>1256</v>
      </c>
      <c r="C3115" s="3" t="s">
        <v>216</v>
      </c>
      <c r="D3115" s="2" t="s">
        <v>217</v>
      </c>
      <c r="E3115" s="114">
        <v>0.1</v>
      </c>
      <c r="F3115" s="23">
        <f>H3114</f>
        <v>39532.5</v>
      </c>
      <c r="G3115" s="104">
        <v>0</v>
      </c>
      <c r="H3115" s="252">
        <f t="shared" si="293"/>
        <v>3953.25</v>
      </c>
    </row>
    <row r="3116" spans="1:9" x14ac:dyDescent="0.2">
      <c r="A3116" s="939"/>
      <c r="B3116" s="540" t="s">
        <v>1708</v>
      </c>
      <c r="C3116" s="32" t="s">
        <v>3862</v>
      </c>
      <c r="D3116" s="21" t="s">
        <v>411</v>
      </c>
      <c r="E3116" s="114">
        <v>1</v>
      </c>
      <c r="F3116" s="23">
        <f>VLOOKUP(B3116,'BASE DE DATOS'!$A$5:$E$997,5,FALSE)</f>
        <v>36771</v>
      </c>
      <c r="G3116" s="104">
        <v>0</v>
      </c>
      <c r="H3116" s="252">
        <f>IF(G3116&gt;0,(G3116*F3116*E3116),(F3116*E3116))</f>
        <v>36771</v>
      </c>
    </row>
    <row r="3117" spans="1:9" x14ac:dyDescent="0.2">
      <c r="A3117" s="939"/>
      <c r="B3117" s="241" t="s">
        <v>1462</v>
      </c>
      <c r="C3117" s="3" t="s">
        <v>1</v>
      </c>
      <c r="D3117" s="2" t="s">
        <v>411</v>
      </c>
      <c r="E3117" s="114">
        <v>0.1</v>
      </c>
      <c r="F3117" s="23">
        <f>VLOOKUP(B3117,'BASE DE DATOS'!$A$5:$E$997,5,FALSE)</f>
        <v>46900</v>
      </c>
      <c r="G3117" s="104">
        <v>1.03</v>
      </c>
      <c r="H3117" s="252">
        <f t="shared" si="293"/>
        <v>4830.7</v>
      </c>
    </row>
    <row r="3118" spans="1:9" x14ac:dyDescent="0.2">
      <c r="A3118" s="939"/>
      <c r="B3118" s="241" t="s">
        <v>1701</v>
      </c>
      <c r="C3118" s="3" t="s">
        <v>2071</v>
      </c>
      <c r="D3118" s="2" t="s">
        <v>411</v>
      </c>
      <c r="E3118" s="114">
        <v>0.1</v>
      </c>
      <c r="F3118" s="23">
        <f>VLOOKUP(B3118,'BASE DE DATOS'!$A$5:$E$997,5,FALSE)</f>
        <v>80900</v>
      </c>
      <c r="G3118" s="104">
        <v>1.03</v>
      </c>
      <c r="H3118" s="252">
        <f t="shared" si="293"/>
        <v>8332.7000000000007</v>
      </c>
    </row>
    <row r="3119" spans="1:9" ht="14.25" x14ac:dyDescent="0.2">
      <c r="A3119" s="64" t="s">
        <v>3252</v>
      </c>
      <c r="B3119" s="241" t="s">
        <v>810</v>
      </c>
      <c r="C3119" s="3" t="s">
        <v>2097</v>
      </c>
      <c r="D3119" s="2" t="s">
        <v>285</v>
      </c>
      <c r="E3119" s="114">
        <v>0.02</v>
      </c>
      <c r="F3119" s="23">
        <f>F90</f>
        <v>525897</v>
      </c>
      <c r="G3119" s="104">
        <v>1.05</v>
      </c>
      <c r="H3119" s="252">
        <f t="shared" si="293"/>
        <v>11043.837</v>
      </c>
    </row>
    <row r="3120" spans="1:9" x14ac:dyDescent="0.2">
      <c r="A3120" s="81" t="s">
        <v>2555</v>
      </c>
      <c r="B3120" s="241" t="s">
        <v>644</v>
      </c>
      <c r="C3120" s="3" t="s">
        <v>645</v>
      </c>
      <c r="D3120" s="2" t="s">
        <v>585</v>
      </c>
      <c r="E3120" s="114">
        <v>1</v>
      </c>
      <c r="F3120" s="23">
        <f>VLOOKUP(B3120,'BASE DE DATOS'!$A$5:$E$997,5,FALSE)</f>
        <v>248302</v>
      </c>
      <c r="G3120" s="104">
        <f>1/5</f>
        <v>0.2</v>
      </c>
      <c r="H3120" s="252">
        <f t="shared" si="293"/>
        <v>49660.4</v>
      </c>
    </row>
    <row r="3121" spans="1:9" ht="13.5" thickBot="1" x14ac:dyDescent="0.25">
      <c r="A3121" s="94" t="s">
        <v>293</v>
      </c>
      <c r="B3121" s="528" t="s">
        <v>269</v>
      </c>
      <c r="C3121" s="108" t="s">
        <v>284</v>
      </c>
      <c r="D3121" s="109" t="s">
        <v>586</v>
      </c>
      <c r="E3121" s="200">
        <v>0.1</v>
      </c>
      <c r="F3121" s="110">
        <f>H3120</f>
        <v>49660.4</v>
      </c>
      <c r="G3121" s="156">
        <v>0</v>
      </c>
      <c r="H3121" s="479">
        <f t="shared" si="293"/>
        <v>4966.0400000000009</v>
      </c>
    </row>
    <row r="3122" spans="1:9" s="42" customFormat="1" ht="30" x14ac:dyDescent="0.2">
      <c r="A3122" s="67" t="s">
        <v>1023</v>
      </c>
      <c r="B3122" s="560"/>
      <c r="C3122" s="415" t="s">
        <v>3423</v>
      </c>
      <c r="D3122" s="441" t="s">
        <v>411</v>
      </c>
      <c r="E3122" s="395"/>
      <c r="F3122" s="391">
        <f>ROUND(SUM(H3122:H3129),0)</f>
        <v>148047</v>
      </c>
      <c r="G3122" s="437"/>
      <c r="H3122" s="442"/>
      <c r="I3122" s="738"/>
    </row>
    <row r="3123" spans="1:9" x14ac:dyDescent="0.2">
      <c r="A3123" s="939" t="s">
        <v>295</v>
      </c>
      <c r="B3123" s="540" t="s">
        <v>1666</v>
      </c>
      <c r="C3123" s="32" t="s">
        <v>2107</v>
      </c>
      <c r="D3123" s="21" t="s">
        <v>405</v>
      </c>
      <c r="E3123" s="114">
        <v>3</v>
      </c>
      <c r="F3123" s="23">
        <f>VLOOKUP(B3123,'BASE DE DATOS'!$A$5:$E$997,5,FALSE)</f>
        <v>12550</v>
      </c>
      <c r="G3123" s="104">
        <v>1.05</v>
      </c>
      <c r="H3123" s="252">
        <f t="shared" ref="H3123:H3138" si="294">IF(G3123&gt;0,(G3123*F3123*E3123),(F3123*E3123))</f>
        <v>39532.5</v>
      </c>
    </row>
    <row r="3124" spans="1:9" x14ac:dyDescent="0.2">
      <c r="A3124" s="939"/>
      <c r="B3124" s="241" t="s">
        <v>1256</v>
      </c>
      <c r="C3124" s="3" t="s">
        <v>216</v>
      </c>
      <c r="D3124" s="2" t="s">
        <v>217</v>
      </c>
      <c r="E3124" s="114">
        <v>0.1</v>
      </c>
      <c r="F3124" s="23">
        <f>H3123</f>
        <v>39532.5</v>
      </c>
      <c r="G3124" s="104">
        <v>0</v>
      </c>
      <c r="H3124" s="252">
        <f t="shared" si="294"/>
        <v>3953.25</v>
      </c>
    </row>
    <row r="3125" spans="1:9" x14ac:dyDescent="0.2">
      <c r="A3125" s="939"/>
      <c r="B3125" s="540" t="s">
        <v>1708</v>
      </c>
      <c r="C3125" s="32" t="s">
        <v>3862</v>
      </c>
      <c r="D3125" s="21" t="s">
        <v>411</v>
      </c>
      <c r="E3125" s="114">
        <v>1</v>
      </c>
      <c r="F3125" s="23">
        <f>VLOOKUP(B3125,'BASE DE DATOS'!$A$5:$E$997,5,FALSE)</f>
        <v>36771</v>
      </c>
      <c r="G3125" s="104">
        <v>0</v>
      </c>
      <c r="H3125" s="252">
        <f>IF(G3125&gt;0,(G3125*F3125*E3125),(F3125*E3125))</f>
        <v>36771</v>
      </c>
    </row>
    <row r="3126" spans="1:9" x14ac:dyDescent="0.2">
      <c r="A3126" s="939"/>
      <c r="B3126" s="241" t="s">
        <v>1462</v>
      </c>
      <c r="C3126" s="3" t="s">
        <v>1</v>
      </c>
      <c r="D3126" s="2" t="s">
        <v>411</v>
      </c>
      <c r="E3126" s="114">
        <v>0.1</v>
      </c>
      <c r="F3126" s="23">
        <f>VLOOKUP(B3126,'BASE DE DATOS'!$A$5:$E$997,5,FALSE)</f>
        <v>46900</v>
      </c>
      <c r="G3126" s="104">
        <v>1.03</v>
      </c>
      <c r="H3126" s="252">
        <f t="shared" si="294"/>
        <v>4830.7</v>
      </c>
    </row>
    <row r="3127" spans="1:9" x14ac:dyDescent="0.2">
      <c r="A3127" s="939"/>
      <c r="B3127" s="241" t="s">
        <v>1701</v>
      </c>
      <c r="C3127" s="3" t="s">
        <v>2071</v>
      </c>
      <c r="D3127" s="2" t="s">
        <v>411</v>
      </c>
      <c r="E3127" s="114">
        <v>0.1</v>
      </c>
      <c r="F3127" s="23">
        <f>VLOOKUP(B3127,'BASE DE DATOS'!$A$5:$E$997,5,FALSE)</f>
        <v>80900</v>
      </c>
      <c r="G3127" s="104">
        <v>1.03</v>
      </c>
      <c r="H3127" s="252">
        <f t="shared" si="294"/>
        <v>8332.7000000000007</v>
      </c>
    </row>
    <row r="3128" spans="1:9" x14ac:dyDescent="0.2">
      <c r="A3128" s="497" t="s">
        <v>2555</v>
      </c>
      <c r="B3128" s="241" t="s">
        <v>644</v>
      </c>
      <c r="C3128" s="3" t="s">
        <v>645</v>
      </c>
      <c r="D3128" s="2" t="s">
        <v>585</v>
      </c>
      <c r="E3128" s="114">
        <v>1</v>
      </c>
      <c r="F3128" s="23">
        <f>VLOOKUP(B3128,'BASE DE DATOS'!$A$5:$E$997,5,FALSE)</f>
        <v>248302</v>
      </c>
      <c r="G3128" s="104">
        <f>1/5</f>
        <v>0.2</v>
      </c>
      <c r="H3128" s="252">
        <f t="shared" si="294"/>
        <v>49660.4</v>
      </c>
    </row>
    <row r="3129" spans="1:9" ht="13.5" thickBot="1" x14ac:dyDescent="0.25">
      <c r="A3129" s="496" t="s">
        <v>293</v>
      </c>
      <c r="B3129" s="528" t="s">
        <v>269</v>
      </c>
      <c r="C3129" s="108" t="s">
        <v>284</v>
      </c>
      <c r="D3129" s="109" t="s">
        <v>586</v>
      </c>
      <c r="E3129" s="200">
        <v>0.1</v>
      </c>
      <c r="F3129" s="110">
        <f>H3128</f>
        <v>49660.4</v>
      </c>
      <c r="G3129" s="156">
        <v>0</v>
      </c>
      <c r="H3129" s="479">
        <f t="shared" si="294"/>
        <v>4966.0400000000009</v>
      </c>
    </row>
    <row r="3130" spans="1:9" s="42" customFormat="1" ht="30" x14ac:dyDescent="0.2">
      <c r="A3130" s="67" t="s">
        <v>1024</v>
      </c>
      <c r="B3130" s="560"/>
      <c r="C3130" s="415" t="s">
        <v>3424</v>
      </c>
      <c r="D3130" s="441" t="s">
        <v>411</v>
      </c>
      <c r="E3130" s="395"/>
      <c r="F3130" s="391">
        <f>ROUND(SUM(H3130:H3138),0)</f>
        <v>157861</v>
      </c>
      <c r="G3130" s="437"/>
      <c r="H3130" s="442"/>
      <c r="I3130" s="738"/>
    </row>
    <row r="3131" spans="1:9" x14ac:dyDescent="0.2">
      <c r="A3131" s="939" t="s">
        <v>295</v>
      </c>
      <c r="B3131" s="540" t="s">
        <v>1665</v>
      </c>
      <c r="C3131" s="32" t="s">
        <v>2075</v>
      </c>
      <c r="D3131" s="21" t="s">
        <v>405</v>
      </c>
      <c r="E3131" s="114">
        <v>3</v>
      </c>
      <c r="F3131" s="23">
        <f>VLOOKUP(B3131,'BASE DE DATOS'!$A$5:$E$997,5,FALSE)</f>
        <v>18817</v>
      </c>
      <c r="G3131" s="104">
        <v>1.05</v>
      </c>
      <c r="H3131" s="252">
        <f t="shared" si="294"/>
        <v>59273.55</v>
      </c>
    </row>
    <row r="3132" spans="1:9" x14ac:dyDescent="0.2">
      <c r="A3132" s="939"/>
      <c r="B3132" s="241" t="s">
        <v>1341</v>
      </c>
      <c r="C3132" s="3" t="s">
        <v>216</v>
      </c>
      <c r="D3132" s="2" t="s">
        <v>217</v>
      </c>
      <c r="E3132" s="114">
        <v>0.25</v>
      </c>
      <c r="F3132" s="23">
        <f>H3131</f>
        <v>59273.55</v>
      </c>
      <c r="G3132" s="104">
        <v>0</v>
      </c>
      <c r="H3132" s="252">
        <f t="shared" si="294"/>
        <v>14818.387500000001</v>
      </c>
    </row>
    <row r="3133" spans="1:9" x14ac:dyDescent="0.2">
      <c r="A3133" s="939"/>
      <c r="B3133" s="540" t="s">
        <v>1734</v>
      </c>
      <c r="C3133" s="32" t="s">
        <v>3861</v>
      </c>
      <c r="D3133" s="21" t="s">
        <v>411</v>
      </c>
      <c r="E3133" s="114">
        <v>1</v>
      </c>
      <c r="F3133" s="23">
        <f>VLOOKUP(B3133,'BASE DE DATOS'!$A$5:$E$997,5,FALSE)</f>
        <v>11305</v>
      </c>
      <c r="G3133" s="104">
        <v>0</v>
      </c>
      <c r="H3133" s="252">
        <f>IF(G3133&gt;0,(G3133*F3133*E3133),(F3133*E3133))</f>
        <v>11305</v>
      </c>
    </row>
    <row r="3134" spans="1:9" x14ac:dyDescent="0.2">
      <c r="A3134" s="939"/>
      <c r="B3134" s="241" t="s">
        <v>1462</v>
      </c>
      <c r="C3134" s="3" t="s">
        <v>1</v>
      </c>
      <c r="D3134" s="2" t="s">
        <v>411</v>
      </c>
      <c r="E3134" s="114">
        <v>0.06</v>
      </c>
      <c r="F3134" s="23">
        <f>VLOOKUP(B3134,'BASE DE DATOS'!$A$5:$E$997,5,FALSE)</f>
        <v>46900</v>
      </c>
      <c r="G3134" s="104">
        <v>1.03</v>
      </c>
      <c r="H3134" s="252">
        <f t="shared" si="294"/>
        <v>2898.42</v>
      </c>
    </row>
    <row r="3135" spans="1:9" x14ac:dyDescent="0.2">
      <c r="A3135" s="939"/>
      <c r="B3135" s="241" t="s">
        <v>1701</v>
      </c>
      <c r="C3135" s="3" t="s">
        <v>2071</v>
      </c>
      <c r="D3135" s="2" t="s">
        <v>411</v>
      </c>
      <c r="E3135" s="114">
        <v>0.06</v>
      </c>
      <c r="F3135" s="23">
        <f>VLOOKUP(B3135,'BASE DE DATOS'!$A$5:$E$997,5,FALSE)</f>
        <v>80900</v>
      </c>
      <c r="G3135" s="104">
        <v>1.03</v>
      </c>
      <c r="H3135" s="252">
        <f t="shared" si="294"/>
        <v>4999.62</v>
      </c>
    </row>
    <row r="3136" spans="1:9" ht="14.25" x14ac:dyDescent="0.2">
      <c r="A3136" s="64" t="s">
        <v>3252</v>
      </c>
      <c r="B3136" s="241" t="s">
        <v>810</v>
      </c>
      <c r="C3136" s="3" t="s">
        <v>2097</v>
      </c>
      <c r="D3136" s="2" t="s">
        <v>285</v>
      </c>
      <c r="E3136" s="114">
        <v>1.7999999999999999E-2</v>
      </c>
      <c r="F3136" s="23">
        <f>F90</f>
        <v>525897</v>
      </c>
      <c r="G3136" s="104">
        <v>1.05</v>
      </c>
      <c r="H3136" s="252">
        <f t="shared" si="294"/>
        <v>9939.4532999999992</v>
      </c>
    </row>
    <row r="3137" spans="1:9" x14ac:dyDescent="0.2">
      <c r="A3137" s="81" t="s">
        <v>2555</v>
      </c>
      <c r="B3137" s="241" t="s">
        <v>644</v>
      </c>
      <c r="C3137" s="3" t="s">
        <v>645</v>
      </c>
      <c r="D3137" s="2" t="s">
        <v>585</v>
      </c>
      <c r="E3137" s="114">
        <v>1</v>
      </c>
      <c r="F3137" s="23">
        <f>VLOOKUP(B3137,'BASE DE DATOS'!$A$5:$E$997,5,FALSE)</f>
        <v>248302</v>
      </c>
      <c r="G3137" s="104">
        <f>1/5</f>
        <v>0.2</v>
      </c>
      <c r="H3137" s="252">
        <f t="shared" si="294"/>
        <v>49660.4</v>
      </c>
    </row>
    <row r="3138" spans="1:9" ht="13.5" thickBot="1" x14ac:dyDescent="0.25">
      <c r="A3138" s="94" t="s">
        <v>293</v>
      </c>
      <c r="B3138" s="528" t="s">
        <v>269</v>
      </c>
      <c r="C3138" s="108" t="s">
        <v>284</v>
      </c>
      <c r="D3138" s="109" t="s">
        <v>586</v>
      </c>
      <c r="E3138" s="200">
        <v>0.1</v>
      </c>
      <c r="F3138" s="110">
        <f>H3137</f>
        <v>49660.4</v>
      </c>
      <c r="G3138" s="156">
        <v>0</v>
      </c>
      <c r="H3138" s="479">
        <f t="shared" si="294"/>
        <v>4966.0400000000009</v>
      </c>
    </row>
    <row r="3139" spans="1:9" s="42" customFormat="1" ht="30" x14ac:dyDescent="0.2">
      <c r="A3139" s="67" t="s">
        <v>1025</v>
      </c>
      <c r="B3139" s="560"/>
      <c r="C3139" s="415" t="s">
        <v>3426</v>
      </c>
      <c r="D3139" s="441" t="s">
        <v>411</v>
      </c>
      <c r="E3139" s="395"/>
      <c r="F3139" s="391">
        <f>ROUND(SUM(H3139:H3146),0)</f>
        <v>147921</v>
      </c>
      <c r="G3139" s="437"/>
      <c r="H3139" s="442"/>
      <c r="I3139" s="738"/>
    </row>
    <row r="3140" spans="1:9" x14ac:dyDescent="0.2">
      <c r="A3140" s="939" t="s">
        <v>295</v>
      </c>
      <c r="B3140" s="540" t="s">
        <v>1665</v>
      </c>
      <c r="C3140" s="32" t="s">
        <v>2075</v>
      </c>
      <c r="D3140" s="21" t="s">
        <v>405</v>
      </c>
      <c r="E3140" s="114">
        <v>3</v>
      </c>
      <c r="F3140" s="23">
        <f>VLOOKUP(B3140,'BASE DE DATOS'!$A$5:$E$997,5,FALSE)</f>
        <v>18817</v>
      </c>
      <c r="G3140" s="104">
        <v>1.05</v>
      </c>
      <c r="H3140" s="252">
        <f t="shared" ref="H3140:H3155" si="295">IF(G3140&gt;0,(G3140*F3140*E3140),(F3140*E3140))</f>
        <v>59273.55</v>
      </c>
    </row>
    <row r="3141" spans="1:9" x14ac:dyDescent="0.2">
      <c r="A3141" s="939"/>
      <c r="B3141" s="241" t="s">
        <v>1341</v>
      </c>
      <c r="C3141" s="3" t="s">
        <v>216</v>
      </c>
      <c r="D3141" s="2" t="s">
        <v>217</v>
      </c>
      <c r="E3141" s="114">
        <v>0.25</v>
      </c>
      <c r="F3141" s="23">
        <f>H3140</f>
        <v>59273.55</v>
      </c>
      <c r="G3141" s="104">
        <v>0</v>
      </c>
      <c r="H3141" s="252">
        <f t="shared" si="295"/>
        <v>14818.387500000001</v>
      </c>
    </row>
    <row r="3142" spans="1:9" x14ac:dyDescent="0.2">
      <c r="A3142" s="939"/>
      <c r="B3142" s="540" t="s">
        <v>1734</v>
      </c>
      <c r="C3142" s="32" t="s">
        <v>3861</v>
      </c>
      <c r="D3142" s="21" t="s">
        <v>411</v>
      </c>
      <c r="E3142" s="114">
        <v>1</v>
      </c>
      <c r="F3142" s="23">
        <f>VLOOKUP(B3142,'BASE DE DATOS'!$A$5:$E$997,5,FALSE)</f>
        <v>11305</v>
      </c>
      <c r="G3142" s="104">
        <v>0</v>
      </c>
      <c r="H3142" s="252">
        <f>IF(G3142&gt;0,(G3142*F3142*E3142),(F3142*E3142))</f>
        <v>11305</v>
      </c>
    </row>
    <row r="3143" spans="1:9" x14ac:dyDescent="0.2">
      <c r="A3143" s="939"/>
      <c r="B3143" s="241" t="s">
        <v>1462</v>
      </c>
      <c r="C3143" s="3" t="s">
        <v>1</v>
      </c>
      <c r="D3143" s="2" t="s">
        <v>411</v>
      </c>
      <c r="E3143" s="114">
        <v>0.06</v>
      </c>
      <c r="F3143" s="23">
        <f>VLOOKUP(B3143,'BASE DE DATOS'!$A$5:$E$997,5,FALSE)</f>
        <v>46900</v>
      </c>
      <c r="G3143" s="104">
        <v>1.03</v>
      </c>
      <c r="H3143" s="252">
        <f t="shared" si="295"/>
        <v>2898.42</v>
      </c>
    </row>
    <row r="3144" spans="1:9" x14ac:dyDescent="0.2">
      <c r="A3144" s="939"/>
      <c r="B3144" s="241" t="s">
        <v>1701</v>
      </c>
      <c r="C3144" s="3" t="s">
        <v>2071</v>
      </c>
      <c r="D3144" s="2" t="s">
        <v>411</v>
      </c>
      <c r="E3144" s="114">
        <v>0.06</v>
      </c>
      <c r="F3144" s="23">
        <f>VLOOKUP(B3144,'BASE DE DATOS'!$A$5:$E$997,5,FALSE)</f>
        <v>80900</v>
      </c>
      <c r="G3144" s="104">
        <v>1.03</v>
      </c>
      <c r="H3144" s="252">
        <f t="shared" si="295"/>
        <v>4999.62</v>
      </c>
    </row>
    <row r="3145" spans="1:9" x14ac:dyDescent="0.2">
      <c r="A3145" s="497" t="s">
        <v>2555</v>
      </c>
      <c r="B3145" s="241" t="s">
        <v>644</v>
      </c>
      <c r="C3145" s="3" t="s">
        <v>645</v>
      </c>
      <c r="D3145" s="2" t="s">
        <v>585</v>
      </c>
      <c r="E3145" s="114">
        <v>1</v>
      </c>
      <c r="F3145" s="23">
        <f>VLOOKUP(B3145,'BASE DE DATOS'!$A$5:$E$997,5,FALSE)</f>
        <v>248302</v>
      </c>
      <c r="G3145" s="104">
        <f>1/5</f>
        <v>0.2</v>
      </c>
      <c r="H3145" s="252">
        <f t="shared" si="295"/>
        <v>49660.4</v>
      </c>
    </row>
    <row r="3146" spans="1:9" ht="13.5" thickBot="1" x14ac:dyDescent="0.25">
      <c r="A3146" s="496" t="s">
        <v>293</v>
      </c>
      <c r="B3146" s="528" t="s">
        <v>269</v>
      </c>
      <c r="C3146" s="108" t="s">
        <v>284</v>
      </c>
      <c r="D3146" s="109" t="s">
        <v>586</v>
      </c>
      <c r="E3146" s="200">
        <v>0.1</v>
      </c>
      <c r="F3146" s="110">
        <f>H3145</f>
        <v>49660.4</v>
      </c>
      <c r="G3146" s="156">
        <v>0</v>
      </c>
      <c r="H3146" s="479">
        <f t="shared" si="295"/>
        <v>4966.0400000000009</v>
      </c>
    </row>
    <row r="3147" spans="1:9" s="42" customFormat="1" ht="30" x14ac:dyDescent="0.2">
      <c r="A3147" s="67" t="s">
        <v>1026</v>
      </c>
      <c r="B3147" s="560"/>
      <c r="C3147" s="415" t="s">
        <v>3427</v>
      </c>
      <c r="D3147" s="441" t="s">
        <v>411</v>
      </c>
      <c r="E3147" s="390"/>
      <c r="F3147" s="391">
        <f>ROUND(SUM(H3147:H3155),0)</f>
        <v>115429</v>
      </c>
      <c r="G3147" s="437"/>
      <c r="H3147" s="442"/>
      <c r="I3147" s="738"/>
    </row>
    <row r="3148" spans="1:9" x14ac:dyDescent="0.2">
      <c r="A3148" s="939" t="s">
        <v>295</v>
      </c>
      <c r="B3148" s="540" t="s">
        <v>1661</v>
      </c>
      <c r="C3148" s="32" t="s">
        <v>2074</v>
      </c>
      <c r="D3148" s="21" t="s">
        <v>405</v>
      </c>
      <c r="E3148" s="114">
        <v>3</v>
      </c>
      <c r="F3148" s="23">
        <f>VLOOKUP(B3148,'BASE DE DATOS'!$A$5:$E$997,5,FALSE)</f>
        <v>12484</v>
      </c>
      <c r="G3148" s="104">
        <v>1.05</v>
      </c>
      <c r="H3148" s="252">
        <f t="shared" si="295"/>
        <v>39324.600000000006</v>
      </c>
    </row>
    <row r="3149" spans="1:9" x14ac:dyDescent="0.2">
      <c r="A3149" s="939"/>
      <c r="B3149" s="241" t="s">
        <v>1341</v>
      </c>
      <c r="C3149" s="3" t="s">
        <v>216</v>
      </c>
      <c r="D3149" s="2" t="s">
        <v>217</v>
      </c>
      <c r="E3149" s="114">
        <v>0.25</v>
      </c>
      <c r="F3149" s="23">
        <f>H3148</f>
        <v>39324.600000000006</v>
      </c>
      <c r="G3149" s="104">
        <v>0</v>
      </c>
      <c r="H3149" s="252">
        <f t="shared" si="295"/>
        <v>9831.1500000000015</v>
      </c>
    </row>
    <row r="3150" spans="1:9" x14ac:dyDescent="0.2">
      <c r="A3150" s="939"/>
      <c r="B3150" s="540" t="s">
        <v>1502</v>
      </c>
      <c r="C3150" s="32" t="s">
        <v>3859</v>
      </c>
      <c r="D3150" s="21" t="s">
        <v>411</v>
      </c>
      <c r="E3150" s="114">
        <v>1</v>
      </c>
      <c r="F3150" s="23">
        <f>VLOOKUP(B3150,'BASE DE DATOS'!$A$5:$E$997,5,FALSE)</f>
        <v>6545</v>
      </c>
      <c r="G3150" s="104">
        <v>0</v>
      </c>
      <c r="H3150" s="252">
        <f>IF(G3150&gt;0,(G3150*F3150*E3150),(F3150*E3150))</f>
        <v>6545</v>
      </c>
    </row>
    <row r="3151" spans="1:9" x14ac:dyDescent="0.2">
      <c r="A3151" s="939"/>
      <c r="B3151" s="241" t="s">
        <v>1462</v>
      </c>
      <c r="C3151" s="3" t="s">
        <v>1</v>
      </c>
      <c r="D3151" s="2" t="s">
        <v>411</v>
      </c>
      <c r="E3151" s="114">
        <v>4.4999999999999998E-2</v>
      </c>
      <c r="F3151" s="23">
        <f>VLOOKUP(B3151,'BASE DE DATOS'!$A$5:$E$997,5,FALSE)</f>
        <v>46900</v>
      </c>
      <c r="G3151" s="104">
        <v>1.03</v>
      </c>
      <c r="H3151" s="252">
        <f t="shared" si="295"/>
        <v>2173.8150000000001</v>
      </c>
    </row>
    <row r="3152" spans="1:9" x14ac:dyDescent="0.2">
      <c r="A3152" s="939"/>
      <c r="B3152" s="241" t="s">
        <v>1701</v>
      </c>
      <c r="C3152" s="3" t="s">
        <v>2071</v>
      </c>
      <c r="D3152" s="2" t="s">
        <v>411</v>
      </c>
      <c r="E3152" s="114">
        <v>4.4999999999999998E-2</v>
      </c>
      <c r="F3152" s="23">
        <f>VLOOKUP(B3152,'BASE DE DATOS'!$A$5:$E$997,5,FALSE)</f>
        <v>80900</v>
      </c>
      <c r="G3152" s="104">
        <v>1.03</v>
      </c>
      <c r="H3152" s="252">
        <f t="shared" si="295"/>
        <v>3749.7149999999997</v>
      </c>
    </row>
    <row r="3153" spans="1:9" ht="14.25" x14ac:dyDescent="0.2">
      <c r="A3153" s="64" t="s">
        <v>3252</v>
      </c>
      <c r="B3153" s="241" t="s">
        <v>810</v>
      </c>
      <c r="C3153" s="3" t="s">
        <v>2097</v>
      </c>
      <c r="D3153" s="2" t="s">
        <v>285</v>
      </c>
      <c r="E3153" s="114">
        <v>1.4999999999999999E-2</v>
      </c>
      <c r="F3153" s="23">
        <f>F90</f>
        <v>525897</v>
      </c>
      <c r="G3153" s="104">
        <v>1.05</v>
      </c>
      <c r="H3153" s="252">
        <f t="shared" si="295"/>
        <v>8282.8777499999997</v>
      </c>
    </row>
    <row r="3154" spans="1:9" x14ac:dyDescent="0.2">
      <c r="A3154" s="81" t="s">
        <v>2555</v>
      </c>
      <c r="B3154" s="241" t="s">
        <v>644</v>
      </c>
      <c r="C3154" s="3" t="s">
        <v>645</v>
      </c>
      <c r="D3154" s="2" t="s">
        <v>585</v>
      </c>
      <c r="E3154" s="114">
        <v>1</v>
      </c>
      <c r="F3154" s="23">
        <f>VLOOKUP(B3154,'BASE DE DATOS'!$A$5:$E$997,5,FALSE)</f>
        <v>248302</v>
      </c>
      <c r="G3154" s="104">
        <f>1/6</f>
        <v>0.16666666666666666</v>
      </c>
      <c r="H3154" s="252">
        <f t="shared" si="295"/>
        <v>41383.666666666664</v>
      </c>
    </row>
    <row r="3155" spans="1:9" ht="13.5" thickBot="1" x14ac:dyDescent="0.25">
      <c r="A3155" s="94" t="s">
        <v>293</v>
      </c>
      <c r="B3155" s="528" t="s">
        <v>269</v>
      </c>
      <c r="C3155" s="108" t="s">
        <v>284</v>
      </c>
      <c r="D3155" s="109" t="s">
        <v>586</v>
      </c>
      <c r="E3155" s="200">
        <v>0.1</v>
      </c>
      <c r="F3155" s="110">
        <f>H3154</f>
        <v>41383.666666666664</v>
      </c>
      <c r="G3155" s="156">
        <v>0</v>
      </c>
      <c r="H3155" s="479">
        <f t="shared" si="295"/>
        <v>4138.3666666666668</v>
      </c>
    </row>
    <row r="3156" spans="1:9" s="42" customFormat="1" ht="30" x14ac:dyDescent="0.2">
      <c r="A3156" s="67" t="s">
        <v>1027</v>
      </c>
      <c r="B3156" s="560"/>
      <c r="C3156" s="415" t="s">
        <v>3428</v>
      </c>
      <c r="D3156" s="441" t="s">
        <v>411</v>
      </c>
      <c r="E3156" s="390"/>
      <c r="F3156" s="391">
        <f>ROUND(SUM(H3156:H3163),0)</f>
        <v>107146</v>
      </c>
      <c r="G3156" s="437"/>
      <c r="H3156" s="442"/>
      <c r="I3156" s="738"/>
    </row>
    <row r="3157" spans="1:9" x14ac:dyDescent="0.2">
      <c r="A3157" s="939" t="s">
        <v>295</v>
      </c>
      <c r="B3157" s="540" t="s">
        <v>1661</v>
      </c>
      <c r="C3157" s="32" t="s">
        <v>2074</v>
      </c>
      <c r="D3157" s="21" t="s">
        <v>405</v>
      </c>
      <c r="E3157" s="114">
        <v>3</v>
      </c>
      <c r="F3157" s="23">
        <f>VLOOKUP(B3157,'BASE DE DATOS'!$A$5:$E$997,5,FALSE)</f>
        <v>12484</v>
      </c>
      <c r="G3157" s="104">
        <v>1.05</v>
      </c>
      <c r="H3157" s="252">
        <f t="shared" ref="H3157:H3172" si="296">IF(G3157&gt;0,(G3157*F3157*E3157),(F3157*E3157))</f>
        <v>39324.600000000006</v>
      </c>
    </row>
    <row r="3158" spans="1:9" x14ac:dyDescent="0.2">
      <c r="A3158" s="939"/>
      <c r="B3158" s="241" t="s">
        <v>1341</v>
      </c>
      <c r="C3158" s="3" t="s">
        <v>216</v>
      </c>
      <c r="D3158" s="2" t="s">
        <v>217</v>
      </c>
      <c r="E3158" s="114">
        <v>0.25</v>
      </c>
      <c r="F3158" s="23">
        <f>H3157</f>
        <v>39324.600000000006</v>
      </c>
      <c r="G3158" s="104">
        <v>0</v>
      </c>
      <c r="H3158" s="252">
        <f t="shared" si="296"/>
        <v>9831.1500000000015</v>
      </c>
    </row>
    <row r="3159" spans="1:9" x14ac:dyDescent="0.2">
      <c r="A3159" s="939"/>
      <c r="B3159" s="540" t="s">
        <v>1502</v>
      </c>
      <c r="C3159" s="32" t="s">
        <v>3859</v>
      </c>
      <c r="D3159" s="21" t="s">
        <v>411</v>
      </c>
      <c r="E3159" s="114">
        <v>1</v>
      </c>
      <c r="F3159" s="23">
        <f>VLOOKUP(B3159,'BASE DE DATOS'!$A$5:$E$997,5,FALSE)</f>
        <v>6545</v>
      </c>
      <c r="G3159" s="104">
        <v>0</v>
      </c>
      <c r="H3159" s="252">
        <f>IF(G3159&gt;0,(G3159*F3159*E3159),(F3159*E3159))</f>
        <v>6545</v>
      </c>
    </row>
    <row r="3160" spans="1:9" x14ac:dyDescent="0.2">
      <c r="A3160" s="939"/>
      <c r="B3160" s="241" t="s">
        <v>1462</v>
      </c>
      <c r="C3160" s="3" t="s">
        <v>1</v>
      </c>
      <c r="D3160" s="2" t="s">
        <v>411</v>
      </c>
      <c r="E3160" s="114">
        <v>4.4999999999999998E-2</v>
      </c>
      <c r="F3160" s="23">
        <f>VLOOKUP(B3160,'BASE DE DATOS'!$A$5:$E$997,5,FALSE)</f>
        <v>46900</v>
      </c>
      <c r="G3160" s="104">
        <v>1.03</v>
      </c>
      <c r="H3160" s="252">
        <f t="shared" si="296"/>
        <v>2173.8150000000001</v>
      </c>
    </row>
    <row r="3161" spans="1:9" x14ac:dyDescent="0.2">
      <c r="A3161" s="939"/>
      <c r="B3161" s="241" t="s">
        <v>1701</v>
      </c>
      <c r="C3161" s="3" t="s">
        <v>2071</v>
      </c>
      <c r="D3161" s="2" t="s">
        <v>411</v>
      </c>
      <c r="E3161" s="114">
        <v>4.4999999999999998E-2</v>
      </c>
      <c r="F3161" s="23">
        <f>VLOOKUP(B3161,'BASE DE DATOS'!$A$5:$E$997,5,FALSE)</f>
        <v>80900</v>
      </c>
      <c r="G3161" s="104">
        <v>1.03</v>
      </c>
      <c r="H3161" s="252">
        <f t="shared" si="296"/>
        <v>3749.7149999999997</v>
      </c>
    </row>
    <row r="3162" spans="1:9" x14ac:dyDescent="0.2">
      <c r="A3162" s="497" t="s">
        <v>2555</v>
      </c>
      <c r="B3162" s="241" t="s">
        <v>644</v>
      </c>
      <c r="C3162" s="3" t="s">
        <v>645</v>
      </c>
      <c r="D3162" s="2" t="s">
        <v>585</v>
      </c>
      <c r="E3162" s="114">
        <v>1</v>
      </c>
      <c r="F3162" s="23">
        <f>VLOOKUP(B3162,'BASE DE DATOS'!$A$5:$E$997,5,FALSE)</f>
        <v>248302</v>
      </c>
      <c r="G3162" s="104">
        <f>1/6</f>
        <v>0.16666666666666666</v>
      </c>
      <c r="H3162" s="252">
        <f t="shared" si="296"/>
        <v>41383.666666666664</v>
      </c>
    </row>
    <row r="3163" spans="1:9" ht="13.5" thickBot="1" x14ac:dyDescent="0.25">
      <c r="A3163" s="496" t="s">
        <v>293</v>
      </c>
      <c r="B3163" s="528" t="s">
        <v>269</v>
      </c>
      <c r="C3163" s="108" t="s">
        <v>284</v>
      </c>
      <c r="D3163" s="109" t="s">
        <v>586</v>
      </c>
      <c r="E3163" s="200">
        <v>0.1</v>
      </c>
      <c r="F3163" s="110">
        <f>H3162</f>
        <v>41383.666666666664</v>
      </c>
      <c r="G3163" s="156">
        <v>0</v>
      </c>
      <c r="H3163" s="479">
        <f t="shared" si="296"/>
        <v>4138.3666666666668</v>
      </c>
    </row>
    <row r="3164" spans="1:9" s="42" customFormat="1" ht="30" x14ac:dyDescent="0.2">
      <c r="A3164" s="67" t="s">
        <v>1028</v>
      </c>
      <c r="B3164" s="560"/>
      <c r="C3164" s="415" t="s">
        <v>3429</v>
      </c>
      <c r="D3164" s="441" t="s">
        <v>411</v>
      </c>
      <c r="E3164" s="395"/>
      <c r="F3164" s="391">
        <f>ROUND(SUM(H3164:H3172),0)</f>
        <v>98752</v>
      </c>
      <c r="G3164" s="437"/>
      <c r="H3164" s="442"/>
      <c r="I3164" s="738"/>
    </row>
    <row r="3165" spans="1:9" x14ac:dyDescent="0.2">
      <c r="A3165" s="939" t="s">
        <v>295</v>
      </c>
      <c r="B3165" s="540" t="s">
        <v>1662</v>
      </c>
      <c r="C3165" s="32" t="s">
        <v>2073</v>
      </c>
      <c r="D3165" s="21" t="s">
        <v>405</v>
      </c>
      <c r="E3165" s="114">
        <v>3</v>
      </c>
      <c r="F3165" s="23">
        <f>VLOOKUP(B3165,'BASE DE DATOS'!$A$5:$E$997,5,FALSE)</f>
        <v>9484</v>
      </c>
      <c r="G3165" s="104">
        <v>1.05</v>
      </c>
      <c r="H3165" s="252">
        <f t="shared" si="296"/>
        <v>29874.600000000002</v>
      </c>
    </row>
    <row r="3166" spans="1:9" x14ac:dyDescent="0.2">
      <c r="A3166" s="939"/>
      <c r="B3166" s="241" t="s">
        <v>1256</v>
      </c>
      <c r="C3166" s="3" t="s">
        <v>216</v>
      </c>
      <c r="D3166" s="2" t="s">
        <v>217</v>
      </c>
      <c r="E3166" s="114">
        <v>0.25</v>
      </c>
      <c r="F3166" s="23">
        <f>H3165</f>
        <v>29874.600000000002</v>
      </c>
      <c r="G3166" s="104">
        <v>0</v>
      </c>
      <c r="H3166" s="252">
        <f t="shared" si="296"/>
        <v>7468.6500000000005</v>
      </c>
    </row>
    <row r="3167" spans="1:9" x14ac:dyDescent="0.2">
      <c r="A3167" s="939"/>
      <c r="B3167" s="540" t="s">
        <v>1501</v>
      </c>
      <c r="C3167" s="32" t="s">
        <v>3858</v>
      </c>
      <c r="D3167" s="21" t="s">
        <v>411</v>
      </c>
      <c r="E3167" s="114">
        <v>1</v>
      </c>
      <c r="F3167" s="23">
        <f>VLOOKUP(B3167,'BASE DE DATOS'!$A$5:$E$997,5,FALSE)</f>
        <v>4522</v>
      </c>
      <c r="G3167" s="104">
        <v>0</v>
      </c>
      <c r="H3167" s="252">
        <f>IF(G3167&gt;0,(G3167*F3167*E3167),(F3167*E3167))</f>
        <v>4522</v>
      </c>
    </row>
    <row r="3168" spans="1:9" x14ac:dyDescent="0.2">
      <c r="A3168" s="939"/>
      <c r="B3168" s="241" t="s">
        <v>1462</v>
      </c>
      <c r="C3168" s="3" t="s">
        <v>1</v>
      </c>
      <c r="D3168" s="2" t="s">
        <v>411</v>
      </c>
      <c r="E3168" s="114">
        <v>3.5999999999999997E-2</v>
      </c>
      <c r="F3168" s="23">
        <f>VLOOKUP(B3168,'BASE DE DATOS'!$A$5:$E$997,5,FALSE)</f>
        <v>46900</v>
      </c>
      <c r="G3168" s="104">
        <v>1.03</v>
      </c>
      <c r="H3168" s="252">
        <f t="shared" si="296"/>
        <v>1739.0519999999999</v>
      </c>
    </row>
    <row r="3169" spans="1:9" x14ac:dyDescent="0.2">
      <c r="A3169" s="939"/>
      <c r="B3169" s="241" t="s">
        <v>1701</v>
      </c>
      <c r="C3169" s="3" t="s">
        <v>2071</v>
      </c>
      <c r="D3169" s="2" t="s">
        <v>411</v>
      </c>
      <c r="E3169" s="114">
        <v>3.5999999999999997E-2</v>
      </c>
      <c r="F3169" s="23">
        <f>VLOOKUP(B3169,'BASE DE DATOS'!$A$5:$E$997,5,FALSE)</f>
        <v>80900</v>
      </c>
      <c r="G3169" s="104">
        <v>1.03</v>
      </c>
      <c r="H3169" s="252">
        <f t="shared" si="296"/>
        <v>2999.7719999999999</v>
      </c>
    </row>
    <row r="3170" spans="1:9" ht="14.25" x14ac:dyDescent="0.2">
      <c r="A3170" s="64" t="s">
        <v>3252</v>
      </c>
      <c r="B3170" s="241" t="s">
        <v>810</v>
      </c>
      <c r="C3170" s="3" t="s">
        <v>2097</v>
      </c>
      <c r="D3170" s="2" t="s">
        <v>285</v>
      </c>
      <c r="E3170" s="114">
        <v>1.2E-2</v>
      </c>
      <c r="F3170" s="23">
        <f>F90</f>
        <v>525897</v>
      </c>
      <c r="G3170" s="104">
        <v>1.05</v>
      </c>
      <c r="H3170" s="252">
        <f t="shared" si="296"/>
        <v>6626.3022000000001</v>
      </c>
    </row>
    <row r="3171" spans="1:9" x14ac:dyDescent="0.2">
      <c r="A3171" s="81" t="s">
        <v>2555</v>
      </c>
      <c r="B3171" s="241" t="s">
        <v>644</v>
      </c>
      <c r="C3171" s="3" t="s">
        <v>645</v>
      </c>
      <c r="D3171" s="2" t="s">
        <v>585</v>
      </c>
      <c r="E3171" s="114">
        <v>1</v>
      </c>
      <c r="F3171" s="23">
        <f>VLOOKUP(B3171,'BASE DE DATOS'!$A$5:$E$997,5,FALSE)</f>
        <v>248302</v>
      </c>
      <c r="G3171" s="104">
        <f>1/6</f>
        <v>0.16666666666666666</v>
      </c>
      <c r="H3171" s="252">
        <f t="shared" si="296"/>
        <v>41383.666666666664</v>
      </c>
    </row>
    <row r="3172" spans="1:9" ht="13.5" thickBot="1" x14ac:dyDescent="0.25">
      <c r="A3172" s="94" t="s">
        <v>293</v>
      </c>
      <c r="B3172" s="528" t="s">
        <v>269</v>
      </c>
      <c r="C3172" s="108" t="s">
        <v>284</v>
      </c>
      <c r="D3172" s="109" t="s">
        <v>586</v>
      </c>
      <c r="E3172" s="200">
        <v>0.1</v>
      </c>
      <c r="F3172" s="110">
        <f>H3171</f>
        <v>41383.666666666664</v>
      </c>
      <c r="G3172" s="156">
        <v>0</v>
      </c>
      <c r="H3172" s="479">
        <f t="shared" si="296"/>
        <v>4138.3666666666668</v>
      </c>
    </row>
    <row r="3173" spans="1:9" s="42" customFormat="1" ht="30" x14ac:dyDescent="0.2">
      <c r="A3173" s="67" t="s">
        <v>1029</v>
      </c>
      <c r="B3173" s="560"/>
      <c r="C3173" s="415" t="s">
        <v>3430</v>
      </c>
      <c r="D3173" s="441" t="s">
        <v>411</v>
      </c>
      <c r="E3173" s="395"/>
      <c r="F3173" s="391">
        <f>ROUND(SUM(H3173:H3180),0)</f>
        <v>92126</v>
      </c>
      <c r="G3173" s="437"/>
      <c r="H3173" s="442"/>
      <c r="I3173" s="738"/>
    </row>
    <row r="3174" spans="1:9" x14ac:dyDescent="0.2">
      <c r="A3174" s="939" t="s">
        <v>295</v>
      </c>
      <c r="B3174" s="540" t="s">
        <v>1662</v>
      </c>
      <c r="C3174" s="32" t="s">
        <v>2073</v>
      </c>
      <c r="D3174" s="21" t="s">
        <v>405</v>
      </c>
      <c r="E3174" s="114">
        <v>3</v>
      </c>
      <c r="F3174" s="23">
        <f>VLOOKUP(B3174,'BASE DE DATOS'!$A$5:$E$997,5,FALSE)</f>
        <v>9484</v>
      </c>
      <c r="G3174" s="104">
        <v>1.05</v>
      </c>
      <c r="H3174" s="252">
        <f t="shared" ref="H3174:H3189" si="297">IF(G3174&gt;0,(G3174*F3174*E3174),(F3174*E3174))</f>
        <v>29874.600000000002</v>
      </c>
    </row>
    <row r="3175" spans="1:9" x14ac:dyDescent="0.2">
      <c r="A3175" s="939"/>
      <c r="B3175" s="241" t="s">
        <v>1256</v>
      </c>
      <c r="C3175" s="3" t="s">
        <v>216</v>
      </c>
      <c r="D3175" s="2" t="s">
        <v>217</v>
      </c>
      <c r="E3175" s="114">
        <v>0.25</v>
      </c>
      <c r="F3175" s="23">
        <f>H3174</f>
        <v>29874.600000000002</v>
      </c>
      <c r="G3175" s="104">
        <v>0</v>
      </c>
      <c r="H3175" s="252">
        <f t="shared" si="297"/>
        <v>7468.6500000000005</v>
      </c>
    </row>
    <row r="3176" spans="1:9" x14ac:dyDescent="0.2">
      <c r="A3176" s="939"/>
      <c r="B3176" s="540" t="s">
        <v>1501</v>
      </c>
      <c r="C3176" s="32" t="s">
        <v>3858</v>
      </c>
      <c r="D3176" s="21" t="s">
        <v>411</v>
      </c>
      <c r="E3176" s="114">
        <v>1</v>
      </c>
      <c r="F3176" s="23">
        <f>VLOOKUP(B3176,'BASE DE DATOS'!$A$5:$E$997,5,FALSE)</f>
        <v>4522</v>
      </c>
      <c r="G3176" s="104">
        <v>0</v>
      </c>
      <c r="H3176" s="252">
        <f>IF(G3176&gt;0,(G3176*F3176*E3176),(F3176*E3176))</f>
        <v>4522</v>
      </c>
    </row>
    <row r="3177" spans="1:9" x14ac:dyDescent="0.2">
      <c r="A3177" s="939"/>
      <c r="B3177" s="241" t="s">
        <v>1462</v>
      </c>
      <c r="C3177" s="3" t="s">
        <v>1</v>
      </c>
      <c r="D3177" s="2" t="s">
        <v>411</v>
      </c>
      <c r="E3177" s="114">
        <v>3.5999999999999997E-2</v>
      </c>
      <c r="F3177" s="23">
        <f>VLOOKUP(B3177,'BASE DE DATOS'!$A$5:$E$997,5,FALSE)</f>
        <v>46900</v>
      </c>
      <c r="G3177" s="104">
        <v>1.03</v>
      </c>
      <c r="H3177" s="252">
        <f t="shared" si="297"/>
        <v>1739.0519999999999</v>
      </c>
    </row>
    <row r="3178" spans="1:9" x14ac:dyDescent="0.2">
      <c r="A3178" s="939"/>
      <c r="B3178" s="241" t="s">
        <v>1701</v>
      </c>
      <c r="C3178" s="3" t="s">
        <v>2071</v>
      </c>
      <c r="D3178" s="2" t="s">
        <v>411</v>
      </c>
      <c r="E3178" s="114">
        <v>3.5999999999999997E-2</v>
      </c>
      <c r="F3178" s="23">
        <f>VLOOKUP(B3178,'BASE DE DATOS'!$A$5:$E$997,5,FALSE)</f>
        <v>80900</v>
      </c>
      <c r="G3178" s="104">
        <v>1.03</v>
      </c>
      <c r="H3178" s="252">
        <f t="shared" si="297"/>
        <v>2999.7719999999999</v>
      </c>
    </row>
    <row r="3179" spans="1:9" x14ac:dyDescent="0.2">
      <c r="A3179" s="497" t="s">
        <v>2555</v>
      </c>
      <c r="B3179" s="241" t="s">
        <v>644</v>
      </c>
      <c r="C3179" s="3" t="s">
        <v>645</v>
      </c>
      <c r="D3179" s="2" t="s">
        <v>585</v>
      </c>
      <c r="E3179" s="114">
        <v>1</v>
      </c>
      <c r="F3179" s="23">
        <f>VLOOKUP(B3179,'BASE DE DATOS'!$A$5:$E$997,5,FALSE)</f>
        <v>248302</v>
      </c>
      <c r="G3179" s="104">
        <f>1/6</f>
        <v>0.16666666666666666</v>
      </c>
      <c r="H3179" s="252">
        <f t="shared" si="297"/>
        <v>41383.666666666664</v>
      </c>
    </row>
    <row r="3180" spans="1:9" ht="13.5" thickBot="1" x14ac:dyDescent="0.25">
      <c r="A3180" s="496" t="s">
        <v>293</v>
      </c>
      <c r="B3180" s="528" t="s">
        <v>269</v>
      </c>
      <c r="C3180" s="108" t="s">
        <v>284</v>
      </c>
      <c r="D3180" s="109" t="s">
        <v>586</v>
      </c>
      <c r="E3180" s="200">
        <v>0.1</v>
      </c>
      <c r="F3180" s="110">
        <f>H3179</f>
        <v>41383.666666666664</v>
      </c>
      <c r="G3180" s="156">
        <v>0</v>
      </c>
      <c r="H3180" s="479">
        <f t="shared" si="297"/>
        <v>4138.3666666666668</v>
      </c>
    </row>
    <row r="3181" spans="1:9" s="42" customFormat="1" ht="30" x14ac:dyDescent="0.2">
      <c r="A3181" s="67" t="s">
        <v>1030</v>
      </c>
      <c r="B3181" s="560"/>
      <c r="C3181" s="415" t="s">
        <v>3432</v>
      </c>
      <c r="D3181" s="441" t="s">
        <v>411</v>
      </c>
      <c r="E3181" s="395"/>
      <c r="F3181" s="391">
        <f>ROUND(SUM(H3181:H3189),0)</f>
        <v>85103</v>
      </c>
      <c r="G3181" s="437"/>
      <c r="H3181" s="442"/>
      <c r="I3181" s="738"/>
    </row>
    <row r="3182" spans="1:9" x14ac:dyDescent="0.2">
      <c r="A3182" s="939" t="s">
        <v>295</v>
      </c>
      <c r="B3182" s="540" t="s">
        <v>1663</v>
      </c>
      <c r="C3182" s="32" t="s">
        <v>2076</v>
      </c>
      <c r="D3182" s="21" t="s">
        <v>405</v>
      </c>
      <c r="E3182" s="114">
        <v>3</v>
      </c>
      <c r="F3182" s="23">
        <f>VLOOKUP(B3182,'BASE DE DATOS'!$A$5:$E$997,5,FALSE)</f>
        <v>5484</v>
      </c>
      <c r="G3182" s="104">
        <v>1.05</v>
      </c>
      <c r="H3182" s="252">
        <f t="shared" si="297"/>
        <v>17274.599999999999</v>
      </c>
    </row>
    <row r="3183" spans="1:9" x14ac:dyDescent="0.2">
      <c r="A3183" s="939"/>
      <c r="B3183" s="241" t="s">
        <v>1256</v>
      </c>
      <c r="C3183" s="3" t="s">
        <v>216</v>
      </c>
      <c r="D3183" s="2" t="s">
        <v>217</v>
      </c>
      <c r="E3183" s="114">
        <v>0.5</v>
      </c>
      <c r="F3183" s="23">
        <f>H3182</f>
        <v>17274.599999999999</v>
      </c>
      <c r="G3183" s="104">
        <v>0</v>
      </c>
      <c r="H3183" s="252">
        <f t="shared" si="297"/>
        <v>8637.2999999999993</v>
      </c>
    </row>
    <row r="3184" spans="1:9" x14ac:dyDescent="0.2">
      <c r="A3184" s="939"/>
      <c r="B3184" s="540" t="s">
        <v>1737</v>
      </c>
      <c r="C3184" s="32" t="s">
        <v>3860</v>
      </c>
      <c r="D3184" s="21" t="s">
        <v>411</v>
      </c>
      <c r="E3184" s="114">
        <v>1</v>
      </c>
      <c r="F3184" s="23">
        <f>VLOOKUP(B3184,'BASE DE DATOS'!$A$5:$E$997,5,FALSE)</f>
        <v>3094</v>
      </c>
      <c r="G3184" s="104">
        <v>0</v>
      </c>
      <c r="H3184" s="252">
        <f>IF(G3184&gt;0,(G3184*F3184*E3184),(F3184*E3184))</f>
        <v>3094</v>
      </c>
    </row>
    <row r="3185" spans="1:9" x14ac:dyDescent="0.2">
      <c r="A3185" s="939"/>
      <c r="B3185" s="241" t="s">
        <v>1462</v>
      </c>
      <c r="C3185" s="3" t="s">
        <v>1</v>
      </c>
      <c r="D3185" s="2" t="s">
        <v>411</v>
      </c>
      <c r="E3185" s="114">
        <v>0.03</v>
      </c>
      <c r="F3185" s="23">
        <f>VLOOKUP(B3185,'BASE DE DATOS'!$A$5:$E$997,5,FALSE)</f>
        <v>46900</v>
      </c>
      <c r="G3185" s="104">
        <v>1.03</v>
      </c>
      <c r="H3185" s="252">
        <f t="shared" si="297"/>
        <v>1449.21</v>
      </c>
    </row>
    <row r="3186" spans="1:9" x14ac:dyDescent="0.2">
      <c r="A3186" s="939"/>
      <c r="B3186" s="241" t="s">
        <v>1701</v>
      </c>
      <c r="C3186" s="3" t="s">
        <v>2071</v>
      </c>
      <c r="D3186" s="2" t="s">
        <v>411</v>
      </c>
      <c r="E3186" s="114">
        <v>0.03</v>
      </c>
      <c r="F3186" s="23">
        <f>VLOOKUP(B3186,'BASE DE DATOS'!$A$5:$E$997,5,FALSE)</f>
        <v>80900</v>
      </c>
      <c r="G3186" s="104">
        <v>1.03</v>
      </c>
      <c r="H3186" s="252">
        <f t="shared" si="297"/>
        <v>2499.81</v>
      </c>
    </row>
    <row r="3187" spans="1:9" ht="14.25" x14ac:dyDescent="0.2">
      <c r="A3187" s="64" t="s">
        <v>3252</v>
      </c>
      <c r="B3187" s="241" t="s">
        <v>810</v>
      </c>
      <c r="C3187" s="3" t="s">
        <v>2097</v>
      </c>
      <c r="D3187" s="2" t="s">
        <v>285</v>
      </c>
      <c r="E3187" s="114">
        <v>1.2E-2</v>
      </c>
      <c r="F3187" s="23">
        <f>F90</f>
        <v>525897</v>
      </c>
      <c r="G3187" s="104">
        <v>1.05</v>
      </c>
      <c r="H3187" s="252">
        <f t="shared" si="297"/>
        <v>6626.3022000000001</v>
      </c>
    </row>
    <row r="3188" spans="1:9" x14ac:dyDescent="0.2">
      <c r="A3188" s="81" t="s">
        <v>2555</v>
      </c>
      <c r="B3188" s="241" t="s">
        <v>644</v>
      </c>
      <c r="C3188" s="3" t="s">
        <v>645</v>
      </c>
      <c r="D3188" s="2" t="s">
        <v>585</v>
      </c>
      <c r="E3188" s="114">
        <v>1</v>
      </c>
      <c r="F3188" s="23">
        <f>VLOOKUP(B3188,'BASE DE DATOS'!$A$5:$E$997,5,FALSE)</f>
        <v>248302</v>
      </c>
      <c r="G3188" s="104">
        <f>1/6</f>
        <v>0.16666666666666666</v>
      </c>
      <c r="H3188" s="252">
        <f t="shared" si="297"/>
        <v>41383.666666666664</v>
      </c>
    </row>
    <row r="3189" spans="1:9" ht="13.5" thickBot="1" x14ac:dyDescent="0.25">
      <c r="A3189" s="94" t="s">
        <v>293</v>
      </c>
      <c r="B3189" s="528" t="s">
        <v>269</v>
      </c>
      <c r="C3189" s="108" t="s">
        <v>284</v>
      </c>
      <c r="D3189" s="109" t="s">
        <v>586</v>
      </c>
      <c r="E3189" s="200">
        <v>0.1</v>
      </c>
      <c r="F3189" s="110">
        <f>H3188</f>
        <v>41383.666666666664</v>
      </c>
      <c r="G3189" s="156">
        <v>0</v>
      </c>
      <c r="H3189" s="479">
        <f t="shared" si="297"/>
        <v>4138.3666666666668</v>
      </c>
    </row>
    <row r="3190" spans="1:9" s="42" customFormat="1" ht="30" x14ac:dyDescent="0.2">
      <c r="A3190" s="67" t="s">
        <v>1031</v>
      </c>
      <c r="B3190" s="560"/>
      <c r="C3190" s="415" t="s">
        <v>3431</v>
      </c>
      <c r="D3190" s="441" t="s">
        <v>411</v>
      </c>
      <c r="E3190" s="395"/>
      <c r="F3190" s="391">
        <f>ROUND(SUM(H3190:H3197),0)</f>
        <v>78477</v>
      </c>
      <c r="G3190" s="437"/>
      <c r="H3190" s="442"/>
      <c r="I3190" s="738"/>
    </row>
    <row r="3191" spans="1:9" x14ac:dyDescent="0.2">
      <c r="A3191" s="939" t="s">
        <v>295</v>
      </c>
      <c r="B3191" s="540" t="s">
        <v>1663</v>
      </c>
      <c r="C3191" s="32" t="s">
        <v>2076</v>
      </c>
      <c r="D3191" s="21" t="s">
        <v>405</v>
      </c>
      <c r="E3191" s="114">
        <v>3</v>
      </c>
      <c r="F3191" s="23">
        <f>VLOOKUP(B3191,'BASE DE DATOS'!$A$5:$E$997,5,FALSE)</f>
        <v>5484</v>
      </c>
      <c r="G3191" s="104">
        <v>1.05</v>
      </c>
      <c r="H3191" s="252">
        <f t="shared" ref="H3191:H3206" si="298">IF(G3191&gt;0,(G3191*F3191*E3191),(F3191*E3191))</f>
        <v>17274.599999999999</v>
      </c>
    </row>
    <row r="3192" spans="1:9" x14ac:dyDescent="0.2">
      <c r="A3192" s="939"/>
      <c r="B3192" s="241" t="s">
        <v>1256</v>
      </c>
      <c r="C3192" s="3" t="s">
        <v>216</v>
      </c>
      <c r="D3192" s="2" t="s">
        <v>217</v>
      </c>
      <c r="E3192" s="114">
        <v>0.5</v>
      </c>
      <c r="F3192" s="23">
        <f>H3191</f>
        <v>17274.599999999999</v>
      </c>
      <c r="G3192" s="104">
        <v>0</v>
      </c>
      <c r="H3192" s="252">
        <f t="shared" si="298"/>
        <v>8637.2999999999993</v>
      </c>
    </row>
    <row r="3193" spans="1:9" x14ac:dyDescent="0.2">
      <c r="A3193" s="939"/>
      <c r="B3193" s="540" t="s">
        <v>1737</v>
      </c>
      <c r="C3193" s="32" t="s">
        <v>3860</v>
      </c>
      <c r="D3193" s="21" t="s">
        <v>411</v>
      </c>
      <c r="E3193" s="114">
        <v>1</v>
      </c>
      <c r="F3193" s="23">
        <f>VLOOKUP(B3193,'BASE DE DATOS'!$A$5:$E$997,5,FALSE)</f>
        <v>3094</v>
      </c>
      <c r="G3193" s="104">
        <v>0</v>
      </c>
      <c r="H3193" s="252">
        <f>IF(G3193&gt;0,(G3193*F3193*E3193),(F3193*E3193))</f>
        <v>3094</v>
      </c>
    </row>
    <row r="3194" spans="1:9" x14ac:dyDescent="0.2">
      <c r="A3194" s="939"/>
      <c r="B3194" s="241" t="s">
        <v>1462</v>
      </c>
      <c r="C3194" s="3" t="s">
        <v>1</v>
      </c>
      <c r="D3194" s="2" t="s">
        <v>411</v>
      </c>
      <c r="E3194" s="114">
        <v>0.03</v>
      </c>
      <c r="F3194" s="23">
        <f>VLOOKUP(B3194,'BASE DE DATOS'!$A$5:$E$997,5,FALSE)</f>
        <v>46900</v>
      </c>
      <c r="G3194" s="104">
        <v>1.03</v>
      </c>
      <c r="H3194" s="252">
        <f t="shared" si="298"/>
        <v>1449.21</v>
      </c>
    </row>
    <row r="3195" spans="1:9" x14ac:dyDescent="0.2">
      <c r="A3195" s="939"/>
      <c r="B3195" s="241" t="s">
        <v>1701</v>
      </c>
      <c r="C3195" s="3" t="s">
        <v>2071</v>
      </c>
      <c r="D3195" s="2" t="s">
        <v>411</v>
      </c>
      <c r="E3195" s="114">
        <v>0.03</v>
      </c>
      <c r="F3195" s="23">
        <f>VLOOKUP(B3195,'BASE DE DATOS'!$A$5:$E$997,5,FALSE)</f>
        <v>80900</v>
      </c>
      <c r="G3195" s="104">
        <v>1.03</v>
      </c>
      <c r="H3195" s="252">
        <f t="shared" si="298"/>
        <v>2499.81</v>
      </c>
    </row>
    <row r="3196" spans="1:9" x14ac:dyDescent="0.2">
      <c r="A3196" s="497" t="s">
        <v>2555</v>
      </c>
      <c r="B3196" s="241" t="s">
        <v>644</v>
      </c>
      <c r="C3196" s="3" t="s">
        <v>645</v>
      </c>
      <c r="D3196" s="2" t="s">
        <v>585</v>
      </c>
      <c r="E3196" s="114">
        <v>1</v>
      </c>
      <c r="F3196" s="23">
        <f>VLOOKUP(B3196,'BASE DE DATOS'!$A$5:$E$997,5,FALSE)</f>
        <v>248302</v>
      </c>
      <c r="G3196" s="104">
        <f>1/6</f>
        <v>0.16666666666666666</v>
      </c>
      <c r="H3196" s="252">
        <f t="shared" si="298"/>
        <v>41383.666666666664</v>
      </c>
    </row>
    <row r="3197" spans="1:9" ht="13.5" thickBot="1" x14ac:dyDescent="0.25">
      <c r="A3197" s="496" t="s">
        <v>293</v>
      </c>
      <c r="B3197" s="528" t="s">
        <v>269</v>
      </c>
      <c r="C3197" s="108" t="s">
        <v>284</v>
      </c>
      <c r="D3197" s="109" t="s">
        <v>586</v>
      </c>
      <c r="E3197" s="200">
        <v>0.1</v>
      </c>
      <c r="F3197" s="110">
        <f>H3196</f>
        <v>41383.666666666664</v>
      </c>
      <c r="G3197" s="156">
        <v>0</v>
      </c>
      <c r="H3197" s="479">
        <f t="shared" si="298"/>
        <v>4138.3666666666668</v>
      </c>
    </row>
    <row r="3198" spans="1:9" s="42" customFormat="1" ht="30" x14ac:dyDescent="0.2">
      <c r="A3198" s="67" t="s">
        <v>1032</v>
      </c>
      <c r="B3198" s="560"/>
      <c r="C3198" s="415" t="s">
        <v>3433</v>
      </c>
      <c r="D3198" s="441" t="s">
        <v>411</v>
      </c>
      <c r="E3198" s="395"/>
      <c r="F3198" s="391">
        <f>ROUND(SUM(H3198:H3206),0)</f>
        <v>56853</v>
      </c>
      <c r="G3198" s="437"/>
      <c r="H3198" s="442"/>
      <c r="I3198" s="738"/>
    </row>
    <row r="3199" spans="1:9" x14ac:dyDescent="0.2">
      <c r="A3199" s="939" t="s">
        <v>295</v>
      </c>
      <c r="B3199" s="241" t="s">
        <v>1667</v>
      </c>
      <c r="C3199" s="3" t="s">
        <v>2072</v>
      </c>
      <c r="D3199" s="2" t="s">
        <v>405</v>
      </c>
      <c r="E3199" s="114">
        <v>3</v>
      </c>
      <c r="F3199" s="23">
        <f>VLOOKUP(B3199,'BASE DE DATOS'!$A$5:$E$997,5,FALSE)</f>
        <v>1250</v>
      </c>
      <c r="G3199" s="104">
        <v>1.05</v>
      </c>
      <c r="H3199" s="252">
        <f t="shared" si="298"/>
        <v>3937.5</v>
      </c>
    </row>
    <row r="3200" spans="1:9" x14ac:dyDescent="0.2">
      <c r="A3200" s="939"/>
      <c r="B3200" s="241" t="s">
        <v>1256</v>
      </c>
      <c r="C3200" s="3" t="s">
        <v>216</v>
      </c>
      <c r="D3200" s="2" t="s">
        <v>217</v>
      </c>
      <c r="E3200" s="114">
        <v>0.5</v>
      </c>
      <c r="F3200" s="23">
        <f>H3199</f>
        <v>3937.5</v>
      </c>
      <c r="G3200" s="104">
        <v>0</v>
      </c>
      <c r="H3200" s="252">
        <f t="shared" si="298"/>
        <v>1968.75</v>
      </c>
    </row>
    <row r="3201" spans="1:9" x14ac:dyDescent="0.2">
      <c r="A3201" s="939"/>
      <c r="B3201" s="540" t="s">
        <v>1736</v>
      </c>
      <c r="C3201" s="32" t="s">
        <v>3863</v>
      </c>
      <c r="D3201" s="21" t="s">
        <v>411</v>
      </c>
      <c r="E3201" s="114">
        <v>1</v>
      </c>
      <c r="F3201" s="23">
        <f>VLOOKUP(B3201,'BASE DE DATOS'!$A$5:$E$997,5,FALSE)</f>
        <v>2142</v>
      </c>
      <c r="G3201" s="104">
        <v>0</v>
      </c>
      <c r="H3201" s="252">
        <f>IF(G3201&gt;0,(G3201*F3201*E3201),(F3201*E3201))</f>
        <v>2142</v>
      </c>
    </row>
    <row r="3202" spans="1:9" x14ac:dyDescent="0.2">
      <c r="A3202" s="939"/>
      <c r="B3202" s="241" t="s">
        <v>1462</v>
      </c>
      <c r="C3202" s="3" t="s">
        <v>1</v>
      </c>
      <c r="D3202" s="2" t="s">
        <v>411</v>
      </c>
      <c r="E3202" s="114">
        <v>2.4E-2</v>
      </c>
      <c r="F3202" s="23">
        <f>VLOOKUP(B3202,'BASE DE DATOS'!$A$5:$E$997,5,FALSE)</f>
        <v>46900</v>
      </c>
      <c r="G3202" s="104">
        <v>1.03</v>
      </c>
      <c r="H3202" s="252">
        <f t="shared" si="298"/>
        <v>1159.3679999999999</v>
      </c>
    </row>
    <row r="3203" spans="1:9" x14ac:dyDescent="0.2">
      <c r="A3203" s="939"/>
      <c r="B3203" s="241" t="s">
        <v>1701</v>
      </c>
      <c r="C3203" s="3" t="s">
        <v>2071</v>
      </c>
      <c r="D3203" s="2" t="s">
        <v>411</v>
      </c>
      <c r="E3203" s="114">
        <v>2.4E-2</v>
      </c>
      <c r="F3203" s="23">
        <f>VLOOKUP(B3203,'BASE DE DATOS'!$A$5:$E$997,5,FALSE)</f>
        <v>80900</v>
      </c>
      <c r="G3203" s="104">
        <v>1.03</v>
      </c>
      <c r="H3203" s="252">
        <f t="shared" si="298"/>
        <v>1999.848</v>
      </c>
    </row>
    <row r="3204" spans="1:9" ht="14.25" x14ac:dyDescent="0.2">
      <c r="A3204" s="64" t="s">
        <v>3252</v>
      </c>
      <c r="B3204" s="241" t="s">
        <v>810</v>
      </c>
      <c r="C3204" s="3" t="s">
        <v>2097</v>
      </c>
      <c r="D3204" s="2" t="s">
        <v>285</v>
      </c>
      <c r="E3204" s="114">
        <v>1.2E-2</v>
      </c>
      <c r="F3204" s="23">
        <f>F90</f>
        <v>525897</v>
      </c>
      <c r="G3204" s="104">
        <v>1.05</v>
      </c>
      <c r="H3204" s="252">
        <f t="shared" si="298"/>
        <v>6626.3022000000001</v>
      </c>
    </row>
    <row r="3205" spans="1:9" x14ac:dyDescent="0.2">
      <c r="A3205" s="81" t="s">
        <v>2555</v>
      </c>
      <c r="B3205" s="241" t="s">
        <v>644</v>
      </c>
      <c r="C3205" s="3" t="s">
        <v>645</v>
      </c>
      <c r="D3205" s="2" t="s">
        <v>585</v>
      </c>
      <c r="E3205" s="114">
        <v>1</v>
      </c>
      <c r="F3205" s="23">
        <f>VLOOKUP(B3205,'BASE DE DATOS'!$A$5:$E$997,5,FALSE)</f>
        <v>248302</v>
      </c>
      <c r="G3205" s="104">
        <f>1/7</f>
        <v>0.14285714285714285</v>
      </c>
      <c r="H3205" s="252">
        <f t="shared" si="298"/>
        <v>35471.714285714283</v>
      </c>
    </row>
    <row r="3206" spans="1:9" ht="13.5" thickBot="1" x14ac:dyDescent="0.25">
      <c r="A3206" s="94" t="s">
        <v>293</v>
      </c>
      <c r="B3206" s="528" t="s">
        <v>269</v>
      </c>
      <c r="C3206" s="108" t="s">
        <v>284</v>
      </c>
      <c r="D3206" s="109" t="s">
        <v>586</v>
      </c>
      <c r="E3206" s="200">
        <v>0.1</v>
      </c>
      <c r="F3206" s="110">
        <f>H3205</f>
        <v>35471.714285714283</v>
      </c>
      <c r="G3206" s="156">
        <v>0</v>
      </c>
      <c r="H3206" s="479">
        <f t="shared" si="298"/>
        <v>3547.1714285714284</v>
      </c>
    </row>
    <row r="3207" spans="1:9" s="42" customFormat="1" ht="30" x14ac:dyDescent="0.2">
      <c r="A3207" s="67" t="s">
        <v>1033</v>
      </c>
      <c r="B3207" s="560"/>
      <c r="C3207" s="415" t="s">
        <v>3434</v>
      </c>
      <c r="D3207" s="441" t="s">
        <v>411</v>
      </c>
      <c r="E3207" s="395"/>
      <c r="F3207" s="391">
        <f>ROUND(SUM(H3207:H3214),0)</f>
        <v>50226</v>
      </c>
      <c r="G3207" s="437"/>
      <c r="H3207" s="442"/>
      <c r="I3207" s="738"/>
    </row>
    <row r="3208" spans="1:9" x14ac:dyDescent="0.2">
      <c r="A3208" s="939" t="s">
        <v>295</v>
      </c>
      <c r="B3208" s="241" t="s">
        <v>1667</v>
      </c>
      <c r="C3208" s="3" t="s">
        <v>2072</v>
      </c>
      <c r="D3208" s="2" t="s">
        <v>405</v>
      </c>
      <c r="E3208" s="114">
        <v>3</v>
      </c>
      <c r="F3208" s="23">
        <f>VLOOKUP(B3208,'BASE DE DATOS'!$A$5:$E$997,5,FALSE)</f>
        <v>1250</v>
      </c>
      <c r="G3208" s="104">
        <v>1.05</v>
      </c>
      <c r="H3208" s="252">
        <f t="shared" ref="H3208:H3223" si="299">IF(G3208&gt;0,(G3208*F3208*E3208),(F3208*E3208))</f>
        <v>3937.5</v>
      </c>
    </row>
    <row r="3209" spans="1:9" x14ac:dyDescent="0.2">
      <c r="A3209" s="939"/>
      <c r="B3209" s="241" t="s">
        <v>1256</v>
      </c>
      <c r="C3209" s="3" t="s">
        <v>216</v>
      </c>
      <c r="D3209" s="2" t="s">
        <v>217</v>
      </c>
      <c r="E3209" s="114">
        <v>0.5</v>
      </c>
      <c r="F3209" s="23">
        <f>H3208</f>
        <v>3937.5</v>
      </c>
      <c r="G3209" s="104">
        <v>0</v>
      </c>
      <c r="H3209" s="252">
        <f t="shared" si="299"/>
        <v>1968.75</v>
      </c>
    </row>
    <row r="3210" spans="1:9" x14ac:dyDescent="0.2">
      <c r="A3210" s="939"/>
      <c r="B3210" s="540" t="s">
        <v>1736</v>
      </c>
      <c r="C3210" s="32" t="s">
        <v>3863</v>
      </c>
      <c r="D3210" s="21" t="s">
        <v>411</v>
      </c>
      <c r="E3210" s="114">
        <v>1</v>
      </c>
      <c r="F3210" s="23">
        <f>VLOOKUP(B3210,'BASE DE DATOS'!$A$5:$E$997,5,FALSE)</f>
        <v>2142</v>
      </c>
      <c r="G3210" s="104">
        <v>0</v>
      </c>
      <c r="H3210" s="252">
        <f>IF(G3210&gt;0,(G3210*F3210*E3210),(F3210*E3210))</f>
        <v>2142</v>
      </c>
    </row>
    <row r="3211" spans="1:9" x14ac:dyDescent="0.2">
      <c r="A3211" s="939"/>
      <c r="B3211" s="241" t="s">
        <v>1462</v>
      </c>
      <c r="C3211" s="3" t="s">
        <v>1</v>
      </c>
      <c r="D3211" s="2" t="s">
        <v>411</v>
      </c>
      <c r="E3211" s="114">
        <v>2.4E-2</v>
      </c>
      <c r="F3211" s="23">
        <f>VLOOKUP(B3211,'BASE DE DATOS'!$A$5:$E$997,5,FALSE)</f>
        <v>46900</v>
      </c>
      <c r="G3211" s="104">
        <v>1.03</v>
      </c>
      <c r="H3211" s="252">
        <f t="shared" si="299"/>
        <v>1159.3679999999999</v>
      </c>
    </row>
    <row r="3212" spans="1:9" x14ac:dyDescent="0.2">
      <c r="A3212" s="939"/>
      <c r="B3212" s="241" t="s">
        <v>1701</v>
      </c>
      <c r="C3212" s="3" t="s">
        <v>2071</v>
      </c>
      <c r="D3212" s="2" t="s">
        <v>411</v>
      </c>
      <c r="E3212" s="114">
        <v>2.4E-2</v>
      </c>
      <c r="F3212" s="23">
        <f>VLOOKUP(B3212,'BASE DE DATOS'!$A$5:$E$997,5,FALSE)</f>
        <v>80900</v>
      </c>
      <c r="G3212" s="104">
        <v>1.03</v>
      </c>
      <c r="H3212" s="252">
        <f t="shared" si="299"/>
        <v>1999.848</v>
      </c>
    </row>
    <row r="3213" spans="1:9" x14ac:dyDescent="0.2">
      <c r="A3213" s="497" t="s">
        <v>2555</v>
      </c>
      <c r="B3213" s="241" t="s">
        <v>644</v>
      </c>
      <c r="C3213" s="3" t="s">
        <v>645</v>
      </c>
      <c r="D3213" s="2" t="s">
        <v>585</v>
      </c>
      <c r="E3213" s="114">
        <v>1</v>
      </c>
      <c r="F3213" s="23">
        <f>VLOOKUP(B3213,'BASE DE DATOS'!$A$5:$E$997,5,FALSE)</f>
        <v>248302</v>
      </c>
      <c r="G3213" s="104">
        <f>1/7</f>
        <v>0.14285714285714285</v>
      </c>
      <c r="H3213" s="252">
        <f t="shared" si="299"/>
        <v>35471.714285714283</v>
      </c>
    </row>
    <row r="3214" spans="1:9" ht="13.5" thickBot="1" x14ac:dyDescent="0.25">
      <c r="A3214" s="496" t="s">
        <v>293</v>
      </c>
      <c r="B3214" s="528" t="s">
        <v>269</v>
      </c>
      <c r="C3214" s="108" t="s">
        <v>284</v>
      </c>
      <c r="D3214" s="109" t="s">
        <v>586</v>
      </c>
      <c r="E3214" s="200">
        <v>0.1</v>
      </c>
      <c r="F3214" s="110">
        <f>H3213</f>
        <v>35471.714285714283</v>
      </c>
      <c r="G3214" s="156">
        <v>0</v>
      </c>
      <c r="H3214" s="479">
        <f t="shared" si="299"/>
        <v>3547.1714285714284</v>
      </c>
    </row>
    <row r="3215" spans="1:9" s="42" customFormat="1" ht="30" x14ac:dyDescent="0.2">
      <c r="A3215" s="67" t="s">
        <v>1034</v>
      </c>
      <c r="B3215" s="560"/>
      <c r="C3215" s="415" t="s">
        <v>3435</v>
      </c>
      <c r="D3215" s="441" t="s">
        <v>411</v>
      </c>
      <c r="E3215" s="395"/>
      <c r="F3215" s="391">
        <f>ROUND(SUM(H3215:H3223),0)</f>
        <v>53683</v>
      </c>
      <c r="G3215" s="437"/>
      <c r="H3215" s="442"/>
      <c r="I3215" s="738"/>
    </row>
    <row r="3216" spans="1:9" x14ac:dyDescent="0.2">
      <c r="A3216" s="939" t="s">
        <v>295</v>
      </c>
      <c r="B3216" s="241" t="s">
        <v>1664</v>
      </c>
      <c r="C3216" s="3" t="s">
        <v>2070</v>
      </c>
      <c r="D3216" s="2" t="s">
        <v>405</v>
      </c>
      <c r="E3216" s="114">
        <v>3</v>
      </c>
      <c r="F3216" s="23">
        <f>VLOOKUP(B3216,'BASE DE DATOS'!$A$5:$E$997,5,FALSE)</f>
        <v>2317</v>
      </c>
      <c r="G3216" s="104">
        <v>1.05</v>
      </c>
      <c r="H3216" s="252">
        <f t="shared" si="299"/>
        <v>7298.5499999999993</v>
      </c>
    </row>
    <row r="3217" spans="1:9" x14ac:dyDescent="0.2">
      <c r="A3217" s="939"/>
      <c r="B3217" s="241" t="s">
        <v>1256</v>
      </c>
      <c r="C3217" s="3" t="s">
        <v>216</v>
      </c>
      <c r="D3217" s="2" t="s">
        <v>217</v>
      </c>
      <c r="E3217" s="114">
        <v>0.17</v>
      </c>
      <c r="F3217" s="23">
        <f>H3216</f>
        <v>7298.5499999999993</v>
      </c>
      <c r="G3217" s="104">
        <v>0</v>
      </c>
      <c r="H3217" s="252">
        <f t="shared" si="299"/>
        <v>1240.7535</v>
      </c>
    </row>
    <row r="3218" spans="1:9" x14ac:dyDescent="0.2">
      <c r="A3218" s="939"/>
      <c r="B3218" s="241" t="s">
        <v>1716</v>
      </c>
      <c r="C3218" s="3" t="s">
        <v>3883</v>
      </c>
      <c r="D3218" s="2" t="s">
        <v>411</v>
      </c>
      <c r="E3218" s="114">
        <v>1</v>
      </c>
      <c r="F3218" s="23">
        <f>VLOOKUP(B3218,'BASE DE DATOS'!$A$5:$E$997,5,FALSE)</f>
        <v>1547</v>
      </c>
      <c r="G3218" s="104">
        <v>0</v>
      </c>
      <c r="H3218" s="252">
        <f>IF(G3218&gt;0,(G3218*F3218*E3218),(F3218*E3218))</f>
        <v>1547</v>
      </c>
    </row>
    <row r="3219" spans="1:9" x14ac:dyDescent="0.2">
      <c r="A3219" s="939"/>
      <c r="B3219" s="241" t="s">
        <v>1462</v>
      </c>
      <c r="C3219" s="3" t="s">
        <v>1</v>
      </c>
      <c r="D3219" s="2" t="s">
        <v>411</v>
      </c>
      <c r="E3219" s="114">
        <v>1.7999999999999999E-2</v>
      </c>
      <c r="F3219" s="23">
        <f>VLOOKUP(B3219,'BASE DE DATOS'!$A$5:$E$997,5,FALSE)</f>
        <v>46900</v>
      </c>
      <c r="G3219" s="104">
        <v>1.03</v>
      </c>
      <c r="H3219" s="252">
        <f t="shared" si="299"/>
        <v>869.52599999999995</v>
      </c>
    </row>
    <row r="3220" spans="1:9" x14ac:dyDescent="0.2">
      <c r="A3220" s="939"/>
      <c r="B3220" s="241" t="s">
        <v>1701</v>
      </c>
      <c r="C3220" s="3" t="s">
        <v>2071</v>
      </c>
      <c r="D3220" s="2" t="s">
        <v>411</v>
      </c>
      <c r="E3220" s="114">
        <v>1.7999999999999999E-2</v>
      </c>
      <c r="F3220" s="23">
        <f>VLOOKUP(B3220,'BASE DE DATOS'!$A$5:$E$997,5,FALSE)</f>
        <v>80900</v>
      </c>
      <c r="G3220" s="104">
        <v>1.03</v>
      </c>
      <c r="H3220" s="252">
        <f t="shared" si="299"/>
        <v>1499.886</v>
      </c>
    </row>
    <row r="3221" spans="1:9" ht="14.25" x14ac:dyDescent="0.2">
      <c r="A3221" s="64" t="s">
        <v>3252</v>
      </c>
      <c r="B3221" s="241" t="s">
        <v>810</v>
      </c>
      <c r="C3221" s="3" t="s">
        <v>2097</v>
      </c>
      <c r="D3221" s="2" t="s">
        <v>285</v>
      </c>
      <c r="E3221" s="114">
        <v>4.0000000000000001E-3</v>
      </c>
      <c r="F3221" s="23">
        <f>F90</f>
        <v>525897</v>
      </c>
      <c r="G3221" s="104">
        <v>1.05</v>
      </c>
      <c r="H3221" s="252">
        <f t="shared" si="299"/>
        <v>2208.7674000000002</v>
      </c>
    </row>
    <row r="3222" spans="1:9" x14ac:dyDescent="0.2">
      <c r="A3222" s="81" t="s">
        <v>2555</v>
      </c>
      <c r="B3222" s="241" t="s">
        <v>644</v>
      </c>
      <c r="C3222" s="3" t="s">
        <v>645</v>
      </c>
      <c r="D3222" s="2" t="s">
        <v>585</v>
      </c>
      <c r="E3222" s="114">
        <v>1</v>
      </c>
      <c r="F3222" s="23">
        <f>VLOOKUP(B3222,'BASE DE DATOS'!$A$5:$E$997,5,FALSE)</f>
        <v>248302</v>
      </c>
      <c r="G3222" s="104">
        <f>1/7</f>
        <v>0.14285714285714285</v>
      </c>
      <c r="H3222" s="252">
        <f t="shared" si="299"/>
        <v>35471.714285714283</v>
      </c>
    </row>
    <row r="3223" spans="1:9" ht="13.5" thickBot="1" x14ac:dyDescent="0.25">
      <c r="A3223" s="94" t="s">
        <v>293</v>
      </c>
      <c r="B3223" s="528" t="s">
        <v>269</v>
      </c>
      <c r="C3223" s="108" t="s">
        <v>284</v>
      </c>
      <c r="D3223" s="109" t="s">
        <v>586</v>
      </c>
      <c r="E3223" s="200">
        <v>0.1</v>
      </c>
      <c r="F3223" s="110">
        <f>H3222</f>
        <v>35471.714285714283</v>
      </c>
      <c r="G3223" s="156">
        <v>0</v>
      </c>
      <c r="H3223" s="479">
        <f t="shared" si="299"/>
        <v>3547.1714285714284</v>
      </c>
    </row>
    <row r="3224" spans="1:9" s="42" customFormat="1" ht="30" x14ac:dyDescent="0.2">
      <c r="A3224" s="67" t="s">
        <v>1035</v>
      </c>
      <c r="B3224" s="560"/>
      <c r="C3224" s="415" t="s">
        <v>3436</v>
      </c>
      <c r="D3224" s="441" t="s">
        <v>411</v>
      </c>
      <c r="E3224" s="395"/>
      <c r="F3224" s="391">
        <f>ROUND(SUM(H3224:H3231),0)</f>
        <v>51475</v>
      </c>
      <c r="G3224" s="437"/>
      <c r="H3224" s="442"/>
      <c r="I3224" s="738"/>
    </row>
    <row r="3225" spans="1:9" x14ac:dyDescent="0.2">
      <c r="A3225" s="939" t="s">
        <v>295</v>
      </c>
      <c r="B3225" s="241" t="s">
        <v>1664</v>
      </c>
      <c r="C3225" s="3" t="s">
        <v>2070</v>
      </c>
      <c r="D3225" s="2" t="s">
        <v>405</v>
      </c>
      <c r="E3225" s="114">
        <v>3</v>
      </c>
      <c r="F3225" s="23">
        <f>VLOOKUP(B3225,'BASE DE DATOS'!$A$5:$E$997,5,FALSE)</f>
        <v>2317</v>
      </c>
      <c r="G3225" s="104">
        <v>1.05</v>
      </c>
      <c r="H3225" s="252">
        <f t="shared" ref="H3225:H3240" si="300">IF(G3225&gt;0,(G3225*F3225*E3225),(F3225*E3225))</f>
        <v>7298.5499999999993</v>
      </c>
    </row>
    <row r="3226" spans="1:9" x14ac:dyDescent="0.2">
      <c r="A3226" s="939"/>
      <c r="B3226" s="241" t="s">
        <v>1256</v>
      </c>
      <c r="C3226" s="3" t="s">
        <v>216</v>
      </c>
      <c r="D3226" s="2" t="s">
        <v>217</v>
      </c>
      <c r="E3226" s="114">
        <v>0.17</v>
      </c>
      <c r="F3226" s="23">
        <f>H3225</f>
        <v>7298.5499999999993</v>
      </c>
      <c r="G3226" s="104">
        <v>0</v>
      </c>
      <c r="H3226" s="252">
        <f t="shared" si="300"/>
        <v>1240.7535</v>
      </c>
    </row>
    <row r="3227" spans="1:9" x14ac:dyDescent="0.2">
      <c r="A3227" s="939"/>
      <c r="B3227" s="241" t="s">
        <v>1716</v>
      </c>
      <c r="C3227" s="3" t="s">
        <v>3883</v>
      </c>
      <c r="D3227" s="2" t="s">
        <v>411</v>
      </c>
      <c r="E3227" s="114">
        <v>1</v>
      </c>
      <c r="F3227" s="23">
        <f>VLOOKUP(B3227,'BASE DE DATOS'!$A$5:$E$997,5,FALSE)</f>
        <v>1547</v>
      </c>
      <c r="G3227" s="104">
        <v>0</v>
      </c>
      <c r="H3227" s="252">
        <f>IF(G3227&gt;0,(G3227*F3227*E3227),(F3227*E3227))</f>
        <v>1547</v>
      </c>
    </row>
    <row r="3228" spans="1:9" x14ac:dyDescent="0.2">
      <c r="A3228" s="939"/>
      <c r="B3228" s="241" t="s">
        <v>1462</v>
      </c>
      <c r="C3228" s="3" t="s">
        <v>1</v>
      </c>
      <c r="D3228" s="2" t="s">
        <v>411</v>
      </c>
      <c r="E3228" s="114">
        <v>1.7999999999999999E-2</v>
      </c>
      <c r="F3228" s="23">
        <f>VLOOKUP(B3228,'BASE DE DATOS'!$A$5:$E$997,5,FALSE)</f>
        <v>46900</v>
      </c>
      <c r="G3228" s="104">
        <v>1.03</v>
      </c>
      <c r="H3228" s="252">
        <f t="shared" si="300"/>
        <v>869.52599999999995</v>
      </c>
    </row>
    <row r="3229" spans="1:9" x14ac:dyDescent="0.2">
      <c r="A3229" s="939"/>
      <c r="B3229" s="241" t="s">
        <v>1701</v>
      </c>
      <c r="C3229" s="3" t="s">
        <v>2071</v>
      </c>
      <c r="D3229" s="2" t="s">
        <v>411</v>
      </c>
      <c r="E3229" s="114">
        <v>1.7999999999999999E-2</v>
      </c>
      <c r="F3229" s="23">
        <f>VLOOKUP(B3229,'BASE DE DATOS'!$A$5:$E$997,5,FALSE)</f>
        <v>80900</v>
      </c>
      <c r="G3229" s="104">
        <v>1.03</v>
      </c>
      <c r="H3229" s="252">
        <f t="shared" si="300"/>
        <v>1499.886</v>
      </c>
    </row>
    <row r="3230" spans="1:9" x14ac:dyDescent="0.2">
      <c r="A3230" s="497" t="s">
        <v>2555</v>
      </c>
      <c r="B3230" s="241" t="s">
        <v>644</v>
      </c>
      <c r="C3230" s="3" t="s">
        <v>645</v>
      </c>
      <c r="D3230" s="2" t="s">
        <v>585</v>
      </c>
      <c r="E3230" s="114">
        <v>1</v>
      </c>
      <c r="F3230" s="23">
        <f>VLOOKUP(B3230,'BASE DE DATOS'!$A$5:$E$997,5,FALSE)</f>
        <v>248302</v>
      </c>
      <c r="G3230" s="104">
        <f>1/7</f>
        <v>0.14285714285714285</v>
      </c>
      <c r="H3230" s="252">
        <f t="shared" si="300"/>
        <v>35471.714285714283</v>
      </c>
    </row>
    <row r="3231" spans="1:9" ht="13.5" thickBot="1" x14ac:dyDescent="0.25">
      <c r="A3231" s="496" t="s">
        <v>293</v>
      </c>
      <c r="B3231" s="528" t="s">
        <v>269</v>
      </c>
      <c r="C3231" s="108" t="s">
        <v>284</v>
      </c>
      <c r="D3231" s="109" t="s">
        <v>586</v>
      </c>
      <c r="E3231" s="200">
        <v>0.1</v>
      </c>
      <c r="F3231" s="110">
        <f>H3230</f>
        <v>35471.714285714283</v>
      </c>
      <c r="G3231" s="156">
        <v>0</v>
      </c>
      <c r="H3231" s="479">
        <f t="shared" si="300"/>
        <v>3547.1714285714284</v>
      </c>
    </row>
    <row r="3232" spans="1:9" s="42" customFormat="1" ht="30" x14ac:dyDescent="0.2">
      <c r="A3232" s="67" t="s">
        <v>1036</v>
      </c>
      <c r="B3232" s="560"/>
      <c r="C3232" s="415" t="s">
        <v>3437</v>
      </c>
      <c r="D3232" s="441" t="s">
        <v>411</v>
      </c>
      <c r="E3232" s="390"/>
      <c r="F3232" s="391">
        <f>ROUND(SUM(H3232:H3240),0)</f>
        <v>78561</v>
      </c>
      <c r="G3232" s="437"/>
      <c r="H3232" s="442"/>
      <c r="I3232" s="738"/>
    </row>
    <row r="3233" spans="1:9" x14ac:dyDescent="0.2">
      <c r="A3233" s="939" t="s">
        <v>295</v>
      </c>
      <c r="B3233" s="241" t="s">
        <v>1612</v>
      </c>
      <c r="C3233" s="3" t="s">
        <v>2105</v>
      </c>
      <c r="D3233" s="2" t="s">
        <v>405</v>
      </c>
      <c r="E3233" s="114">
        <v>3</v>
      </c>
      <c r="F3233" s="23">
        <f>VLOOKUP(B3233,'BASE DE DATOS'!$A$5:$E$997,5,FALSE)</f>
        <v>4667</v>
      </c>
      <c r="G3233" s="104">
        <v>1.05</v>
      </c>
      <c r="H3233" s="252">
        <f t="shared" si="300"/>
        <v>14701.050000000001</v>
      </c>
    </row>
    <row r="3234" spans="1:9" x14ac:dyDescent="0.2">
      <c r="A3234" s="939"/>
      <c r="B3234" s="241" t="s">
        <v>1310</v>
      </c>
      <c r="C3234" s="3" t="s">
        <v>218</v>
      </c>
      <c r="D3234" s="2" t="s">
        <v>217</v>
      </c>
      <c r="E3234" s="114">
        <v>0.5</v>
      </c>
      <c r="F3234" s="23">
        <f>H3233</f>
        <v>14701.050000000001</v>
      </c>
      <c r="G3234" s="104">
        <v>0</v>
      </c>
      <c r="H3234" s="252">
        <f t="shared" si="300"/>
        <v>7350.5250000000005</v>
      </c>
    </row>
    <row r="3235" spans="1:9" x14ac:dyDescent="0.2">
      <c r="A3235" s="939"/>
      <c r="B3235" s="241" t="s">
        <v>1716</v>
      </c>
      <c r="C3235" s="3" t="s">
        <v>3883</v>
      </c>
      <c r="D3235" s="2" t="s">
        <v>411</v>
      </c>
      <c r="E3235" s="114">
        <v>1</v>
      </c>
      <c r="F3235" s="23">
        <f>VLOOKUP(B3235,'BASE DE DATOS'!$A$5:$E$997,5,FALSE)</f>
        <v>1547</v>
      </c>
      <c r="G3235" s="104">
        <v>0</v>
      </c>
      <c r="H3235" s="252">
        <f>IF(G3235&gt;0,(G3235*F3235*E3235),(F3235*E3235))</f>
        <v>1547</v>
      </c>
    </row>
    <row r="3236" spans="1:9" x14ac:dyDescent="0.2">
      <c r="A3236" s="939"/>
      <c r="B3236" s="241" t="s">
        <v>1462</v>
      </c>
      <c r="C3236" s="3" t="s">
        <v>1</v>
      </c>
      <c r="D3236" s="2" t="s">
        <v>411</v>
      </c>
      <c r="E3236" s="114">
        <v>1.7999999999999999E-2</v>
      </c>
      <c r="F3236" s="23">
        <f>VLOOKUP(B3236,'BASE DE DATOS'!$A$5:$E$997,5,FALSE)</f>
        <v>46900</v>
      </c>
      <c r="G3236" s="104">
        <v>1.03</v>
      </c>
      <c r="H3236" s="252">
        <f t="shared" si="300"/>
        <v>869.52599999999995</v>
      </c>
    </row>
    <row r="3237" spans="1:9" x14ac:dyDescent="0.2">
      <c r="A3237" s="939"/>
      <c r="B3237" s="241" t="s">
        <v>1725</v>
      </c>
      <c r="C3237" s="3" t="s">
        <v>2997</v>
      </c>
      <c r="D3237" s="2" t="s">
        <v>411</v>
      </c>
      <c r="E3237" s="114">
        <v>1.7999999999999999E-2</v>
      </c>
      <c r="F3237" s="23">
        <f>VLOOKUP(B3237,'BASE DE DATOS'!$A$5:$E$997,5,FALSE)</f>
        <v>104900</v>
      </c>
      <c r="G3237" s="104">
        <v>1.03</v>
      </c>
      <c r="H3237" s="252">
        <f t="shared" si="300"/>
        <v>1944.8459999999998</v>
      </c>
    </row>
    <row r="3238" spans="1:9" ht="14.25" x14ac:dyDescent="0.2">
      <c r="A3238" s="64" t="s">
        <v>3252</v>
      </c>
      <c r="B3238" s="241" t="s">
        <v>810</v>
      </c>
      <c r="C3238" s="3" t="s">
        <v>2097</v>
      </c>
      <c r="D3238" s="2" t="s">
        <v>285</v>
      </c>
      <c r="E3238" s="114">
        <v>1.2E-2</v>
      </c>
      <c r="F3238" s="23">
        <f>F90</f>
        <v>525897</v>
      </c>
      <c r="G3238" s="104">
        <v>1.05</v>
      </c>
      <c r="H3238" s="252">
        <f t="shared" si="300"/>
        <v>6626.3022000000001</v>
      </c>
    </row>
    <row r="3239" spans="1:9" x14ac:dyDescent="0.2">
      <c r="A3239" s="81" t="s">
        <v>2555</v>
      </c>
      <c r="B3239" s="241" t="s">
        <v>644</v>
      </c>
      <c r="C3239" s="3" t="s">
        <v>645</v>
      </c>
      <c r="D3239" s="2" t="s">
        <v>585</v>
      </c>
      <c r="E3239" s="114">
        <v>1</v>
      </c>
      <c r="F3239" s="23">
        <f>VLOOKUP(B3239,'BASE DE DATOS'!$A$5:$E$997,5,FALSE)</f>
        <v>248302</v>
      </c>
      <c r="G3239" s="104">
        <f>1/6</f>
        <v>0.16666666666666666</v>
      </c>
      <c r="H3239" s="252">
        <f t="shared" si="300"/>
        <v>41383.666666666664</v>
      </c>
    </row>
    <row r="3240" spans="1:9" ht="13.5" thickBot="1" x14ac:dyDescent="0.25">
      <c r="A3240" s="94" t="s">
        <v>293</v>
      </c>
      <c r="B3240" s="528" t="s">
        <v>269</v>
      </c>
      <c r="C3240" s="108" t="s">
        <v>284</v>
      </c>
      <c r="D3240" s="109" t="s">
        <v>586</v>
      </c>
      <c r="E3240" s="200">
        <v>0.1</v>
      </c>
      <c r="F3240" s="110">
        <f>H3239</f>
        <v>41383.666666666664</v>
      </c>
      <c r="G3240" s="156">
        <v>0</v>
      </c>
      <c r="H3240" s="479">
        <f t="shared" si="300"/>
        <v>4138.3666666666668</v>
      </c>
    </row>
    <row r="3241" spans="1:9" s="42" customFormat="1" ht="30" x14ac:dyDescent="0.2">
      <c r="A3241" s="67" t="s">
        <v>1037</v>
      </c>
      <c r="B3241" s="560"/>
      <c r="C3241" s="415" t="s">
        <v>3438</v>
      </c>
      <c r="D3241" s="441" t="s">
        <v>411</v>
      </c>
      <c r="E3241" s="390"/>
      <c r="F3241" s="391">
        <f>ROUND(SUM(H3241:H3248),0)</f>
        <v>71935</v>
      </c>
      <c r="G3241" s="437"/>
      <c r="H3241" s="442"/>
      <c r="I3241" s="738"/>
    </row>
    <row r="3242" spans="1:9" x14ac:dyDescent="0.2">
      <c r="A3242" s="939" t="s">
        <v>295</v>
      </c>
      <c r="B3242" s="241" t="s">
        <v>1612</v>
      </c>
      <c r="C3242" s="3" t="s">
        <v>2105</v>
      </c>
      <c r="D3242" s="2" t="s">
        <v>405</v>
      </c>
      <c r="E3242" s="114">
        <v>3</v>
      </c>
      <c r="F3242" s="23">
        <f>VLOOKUP(B3242,'BASE DE DATOS'!$A$5:$E$997,5,FALSE)</f>
        <v>4667</v>
      </c>
      <c r="G3242" s="104">
        <v>1.05</v>
      </c>
      <c r="H3242" s="252">
        <f t="shared" ref="H3242:H3305" si="301">IF(G3242&gt;0,(G3242*F3242*E3242),(F3242*E3242))</f>
        <v>14701.050000000001</v>
      </c>
    </row>
    <row r="3243" spans="1:9" x14ac:dyDescent="0.2">
      <c r="A3243" s="939"/>
      <c r="B3243" s="241" t="s">
        <v>1310</v>
      </c>
      <c r="C3243" s="3" t="s">
        <v>218</v>
      </c>
      <c r="D3243" s="2" t="s">
        <v>217</v>
      </c>
      <c r="E3243" s="114">
        <v>0.5</v>
      </c>
      <c r="F3243" s="23">
        <f>H3242</f>
        <v>14701.050000000001</v>
      </c>
      <c r="G3243" s="104">
        <v>0</v>
      </c>
      <c r="H3243" s="252">
        <f t="shared" si="301"/>
        <v>7350.5250000000005</v>
      </c>
    </row>
    <row r="3244" spans="1:9" x14ac:dyDescent="0.2">
      <c r="A3244" s="939"/>
      <c r="B3244" s="241" t="s">
        <v>1716</v>
      </c>
      <c r="C3244" s="3" t="s">
        <v>3883</v>
      </c>
      <c r="D3244" s="2" t="s">
        <v>411</v>
      </c>
      <c r="E3244" s="114">
        <v>1</v>
      </c>
      <c r="F3244" s="23">
        <f>VLOOKUP(B3244,'BASE DE DATOS'!$A$5:$E$997,5,FALSE)</f>
        <v>1547</v>
      </c>
      <c r="G3244" s="104">
        <v>0</v>
      </c>
      <c r="H3244" s="252">
        <f>IF(G3244&gt;0,(G3244*F3244*E3244),(F3244*E3244))</f>
        <v>1547</v>
      </c>
    </row>
    <row r="3245" spans="1:9" x14ac:dyDescent="0.2">
      <c r="A3245" s="939"/>
      <c r="B3245" s="241" t="s">
        <v>1462</v>
      </c>
      <c r="C3245" s="3" t="s">
        <v>1</v>
      </c>
      <c r="D3245" s="2" t="s">
        <v>411</v>
      </c>
      <c r="E3245" s="114">
        <v>1.7999999999999999E-2</v>
      </c>
      <c r="F3245" s="23">
        <f>VLOOKUP(B3245,'BASE DE DATOS'!$A$5:$E$997,5,FALSE)</f>
        <v>46900</v>
      </c>
      <c r="G3245" s="104">
        <v>1.03</v>
      </c>
      <c r="H3245" s="252">
        <f t="shared" si="301"/>
        <v>869.52599999999995</v>
      </c>
    </row>
    <row r="3246" spans="1:9" x14ac:dyDescent="0.2">
      <c r="A3246" s="939"/>
      <c r="B3246" s="241" t="s">
        <v>1725</v>
      </c>
      <c r="C3246" s="3" t="s">
        <v>2997</v>
      </c>
      <c r="D3246" s="2" t="s">
        <v>411</v>
      </c>
      <c r="E3246" s="114">
        <v>1.7999999999999999E-2</v>
      </c>
      <c r="F3246" s="23">
        <f>VLOOKUP(B3246,'BASE DE DATOS'!$A$5:$E$997,5,FALSE)</f>
        <v>104900</v>
      </c>
      <c r="G3246" s="104">
        <v>1.03</v>
      </c>
      <c r="H3246" s="252">
        <f t="shared" si="301"/>
        <v>1944.8459999999998</v>
      </c>
    </row>
    <row r="3247" spans="1:9" x14ac:dyDescent="0.2">
      <c r="A3247" s="497" t="s">
        <v>2555</v>
      </c>
      <c r="B3247" s="241" t="s">
        <v>644</v>
      </c>
      <c r="C3247" s="3" t="s">
        <v>645</v>
      </c>
      <c r="D3247" s="2" t="s">
        <v>585</v>
      </c>
      <c r="E3247" s="114">
        <v>1</v>
      </c>
      <c r="F3247" s="23">
        <f>VLOOKUP(B3247,'BASE DE DATOS'!$A$5:$E$997,5,FALSE)</f>
        <v>248302</v>
      </c>
      <c r="G3247" s="104">
        <f>1/6</f>
        <v>0.16666666666666666</v>
      </c>
      <c r="H3247" s="252">
        <f t="shared" si="301"/>
        <v>41383.666666666664</v>
      </c>
    </row>
    <row r="3248" spans="1:9" ht="13.5" thickBot="1" x14ac:dyDescent="0.25">
      <c r="A3248" s="496" t="s">
        <v>293</v>
      </c>
      <c r="B3248" s="528" t="s">
        <v>269</v>
      </c>
      <c r="C3248" s="108" t="s">
        <v>284</v>
      </c>
      <c r="D3248" s="109" t="s">
        <v>586</v>
      </c>
      <c r="E3248" s="200">
        <v>0.1</v>
      </c>
      <c r="F3248" s="110">
        <f>H3247</f>
        <v>41383.666666666664</v>
      </c>
      <c r="G3248" s="156">
        <v>0</v>
      </c>
      <c r="H3248" s="479">
        <f t="shared" si="301"/>
        <v>4138.3666666666668</v>
      </c>
    </row>
    <row r="3249" spans="1:9" s="42" customFormat="1" ht="15" x14ac:dyDescent="0.2">
      <c r="A3249" s="67" t="s">
        <v>1038</v>
      </c>
      <c r="B3249" s="560"/>
      <c r="C3249" s="415" t="s">
        <v>2110</v>
      </c>
      <c r="D3249" s="441" t="s">
        <v>411</v>
      </c>
      <c r="E3249" s="390"/>
      <c r="F3249" s="391">
        <f>ROUND(SUM(H3249:H3256),0)</f>
        <v>422997</v>
      </c>
      <c r="G3249" s="437"/>
      <c r="H3249" s="442"/>
      <c r="I3249" s="738"/>
    </row>
    <row r="3250" spans="1:9" x14ac:dyDescent="0.2">
      <c r="A3250" s="939" t="s">
        <v>295</v>
      </c>
      <c r="B3250" s="241" t="s">
        <v>1268</v>
      </c>
      <c r="C3250" s="3" t="s">
        <v>224</v>
      </c>
      <c r="D3250" s="2" t="s">
        <v>411</v>
      </c>
      <c r="E3250" s="114">
        <v>2</v>
      </c>
      <c r="F3250" s="23">
        <f>VLOOKUP(B3250,'BASE DE DATOS'!$A$5:$E$997,5,FALSE)</f>
        <v>5500</v>
      </c>
      <c r="G3250" s="104">
        <v>0</v>
      </c>
      <c r="H3250" s="252">
        <f>IF(G3250&gt;0,(G3250*F3250*E3250),(F3250*E3250))</f>
        <v>11000</v>
      </c>
    </row>
    <row r="3251" spans="1:9" x14ac:dyDescent="0.2">
      <c r="A3251" s="939"/>
      <c r="B3251" s="241" t="s">
        <v>1898</v>
      </c>
      <c r="C3251" s="3" t="s">
        <v>1888</v>
      </c>
      <c r="D3251" s="2" t="s">
        <v>411</v>
      </c>
      <c r="E3251" s="114">
        <v>1</v>
      </c>
      <c r="F3251" s="23">
        <f>VLOOKUP(B3251,'BASE DE DATOS'!$A$5:$E$997,5,FALSE)</f>
        <v>374900</v>
      </c>
      <c r="G3251" s="104">
        <v>0</v>
      </c>
      <c r="H3251" s="252">
        <f>IF(G3251&gt;0,(G3251*F3251*E3251),(F3251*E3251))</f>
        <v>374900</v>
      </c>
    </row>
    <row r="3252" spans="1:9" x14ac:dyDescent="0.2">
      <c r="A3252" s="939"/>
      <c r="B3252" s="241" t="s">
        <v>1347</v>
      </c>
      <c r="C3252" s="3" t="s">
        <v>2856</v>
      </c>
      <c r="D3252" s="2" t="s">
        <v>405</v>
      </c>
      <c r="E3252" s="114">
        <v>1</v>
      </c>
      <c r="F3252" s="23">
        <f>VLOOKUP(B3252,'BASE DE DATOS'!$A$5:$E$997,5,FALSE)</f>
        <v>290</v>
      </c>
      <c r="G3252" s="104">
        <f>1/50</f>
        <v>0.02</v>
      </c>
      <c r="H3252" s="252">
        <f>IF(G3252&gt;0,(G3252*F3252*E3252),(F3252*E3252))</f>
        <v>5.8</v>
      </c>
    </row>
    <row r="3253" spans="1:9" x14ac:dyDescent="0.2">
      <c r="A3253" s="939"/>
      <c r="B3253" s="241" t="s">
        <v>1462</v>
      </c>
      <c r="C3253" s="3" t="s">
        <v>1</v>
      </c>
      <c r="D3253" s="2" t="s">
        <v>411</v>
      </c>
      <c r="E3253" s="114">
        <v>1.4999999999999999E-2</v>
      </c>
      <c r="F3253" s="23">
        <f>VLOOKUP(B3253,'BASE DE DATOS'!$A$5:$E$997,5,FALSE)</f>
        <v>46900</v>
      </c>
      <c r="G3253" s="104">
        <v>1.03</v>
      </c>
      <c r="H3253" s="252">
        <f t="shared" si="301"/>
        <v>724.60500000000002</v>
      </c>
    </row>
    <row r="3254" spans="1:9" x14ac:dyDescent="0.2">
      <c r="A3254" s="939"/>
      <c r="B3254" s="241" t="s">
        <v>1701</v>
      </c>
      <c r="C3254" s="3" t="s">
        <v>2071</v>
      </c>
      <c r="D3254" s="2" t="s">
        <v>411</v>
      </c>
      <c r="E3254" s="114">
        <v>1.4999999999999999E-2</v>
      </c>
      <c r="F3254" s="23">
        <f>VLOOKUP(B3254,'BASE DE DATOS'!$A$5:$E$997,5,FALSE)</f>
        <v>80900</v>
      </c>
      <c r="G3254" s="104">
        <v>1.03</v>
      </c>
      <c r="H3254" s="252">
        <f t="shared" si="301"/>
        <v>1249.905</v>
      </c>
    </row>
    <row r="3255" spans="1:9" x14ac:dyDescent="0.2">
      <c r="A3255" s="81" t="s">
        <v>2555</v>
      </c>
      <c r="B3255" s="241" t="s">
        <v>599</v>
      </c>
      <c r="C3255" s="3" t="s">
        <v>600</v>
      </c>
      <c r="D3255" s="2" t="s">
        <v>585</v>
      </c>
      <c r="E3255" s="114">
        <v>1</v>
      </c>
      <c r="F3255" s="23">
        <f>VLOOKUP(B3255,'BASE DE DATOS'!$A$5:$E$997,5,FALSE)</f>
        <v>159623</v>
      </c>
      <c r="G3255" s="104">
        <f>1/5</f>
        <v>0.2</v>
      </c>
      <c r="H3255" s="252">
        <f t="shared" si="301"/>
        <v>31924.600000000002</v>
      </c>
    </row>
    <row r="3256" spans="1:9" ht="13.5" thickBot="1" x14ac:dyDescent="0.25">
      <c r="A3256" s="94" t="s">
        <v>293</v>
      </c>
      <c r="B3256" s="528" t="s">
        <v>269</v>
      </c>
      <c r="C3256" s="108" t="s">
        <v>284</v>
      </c>
      <c r="D3256" s="109" t="s">
        <v>586</v>
      </c>
      <c r="E3256" s="200">
        <v>0.1</v>
      </c>
      <c r="F3256" s="110">
        <f>H3255</f>
        <v>31924.600000000002</v>
      </c>
      <c r="G3256" s="156">
        <v>0</v>
      </c>
      <c r="H3256" s="479">
        <f t="shared" si="301"/>
        <v>3192.4600000000005</v>
      </c>
    </row>
    <row r="3257" spans="1:9" s="42" customFormat="1" ht="15" x14ac:dyDescent="0.2">
      <c r="A3257" s="67" t="s">
        <v>1039</v>
      </c>
      <c r="B3257" s="560"/>
      <c r="C3257" s="415" t="s">
        <v>697</v>
      </c>
      <c r="D3257" s="441" t="s">
        <v>411</v>
      </c>
      <c r="E3257" s="390"/>
      <c r="F3257" s="391">
        <f>ROUND(SUM(H3257:H3264),0)</f>
        <v>160606</v>
      </c>
      <c r="G3257" s="437"/>
      <c r="H3257" s="442"/>
      <c r="I3257" s="738"/>
    </row>
    <row r="3258" spans="1:9" x14ac:dyDescent="0.2">
      <c r="A3258" s="939" t="s">
        <v>295</v>
      </c>
      <c r="B3258" s="241" t="s">
        <v>1269</v>
      </c>
      <c r="C3258" s="3" t="s">
        <v>225</v>
      </c>
      <c r="D3258" s="2" t="s">
        <v>411</v>
      </c>
      <c r="E3258" s="114">
        <v>2</v>
      </c>
      <c r="F3258" s="23">
        <f>VLOOKUP(B3258,'BASE DE DATOS'!$A$5:$E$997,5,FALSE)</f>
        <v>2150</v>
      </c>
      <c r="G3258" s="104">
        <v>0</v>
      </c>
      <c r="H3258" s="252">
        <f t="shared" si="301"/>
        <v>4300</v>
      </c>
    </row>
    <row r="3259" spans="1:9" x14ac:dyDescent="0.2">
      <c r="A3259" s="939"/>
      <c r="B3259" s="545" t="s">
        <v>1897</v>
      </c>
      <c r="C3259" s="20" t="s">
        <v>1887</v>
      </c>
      <c r="D3259" s="19" t="s">
        <v>411</v>
      </c>
      <c r="E3259" s="194">
        <v>1</v>
      </c>
      <c r="F3259" s="23">
        <f>VLOOKUP(B3259,'BASE DE DATOS'!$A$5:$E$997,5,FALSE)</f>
        <v>129900</v>
      </c>
      <c r="G3259" s="58">
        <v>0</v>
      </c>
      <c r="H3259" s="252">
        <f>IF(G3259&gt;0,(G3259*F3259*E3259),(F3259*E3259))</f>
        <v>129900</v>
      </c>
    </row>
    <row r="3260" spans="1:9" x14ac:dyDescent="0.2">
      <c r="A3260" s="939"/>
      <c r="B3260" s="241" t="s">
        <v>1347</v>
      </c>
      <c r="C3260" s="3" t="s">
        <v>2856</v>
      </c>
      <c r="D3260" s="2" t="s">
        <v>405</v>
      </c>
      <c r="E3260" s="114">
        <v>1</v>
      </c>
      <c r="F3260" s="23">
        <f>VLOOKUP(B3260,'BASE DE DATOS'!$A$5:$E$997,5,FALSE)</f>
        <v>290</v>
      </c>
      <c r="G3260" s="104">
        <f>1/50</f>
        <v>0.02</v>
      </c>
      <c r="H3260" s="252">
        <f>IF(G3260&gt;0,(G3260*F3260*E3260),(F3260*E3260))</f>
        <v>5.8</v>
      </c>
    </row>
    <row r="3261" spans="1:9" x14ac:dyDescent="0.2">
      <c r="A3261" s="939"/>
      <c r="B3261" s="241" t="s">
        <v>1462</v>
      </c>
      <c r="C3261" s="3" t="s">
        <v>1</v>
      </c>
      <c r="D3261" s="2" t="s">
        <v>411</v>
      </c>
      <c r="E3261" s="114">
        <v>0.01</v>
      </c>
      <c r="F3261" s="23">
        <f>VLOOKUP(B3261,'BASE DE DATOS'!$A$5:$E$997,5,FALSE)</f>
        <v>46900</v>
      </c>
      <c r="G3261" s="104">
        <v>1.03</v>
      </c>
      <c r="H3261" s="252">
        <f t="shared" si="301"/>
        <v>483.07</v>
      </c>
    </row>
    <row r="3262" spans="1:9" x14ac:dyDescent="0.2">
      <c r="A3262" s="939"/>
      <c r="B3262" s="241" t="s">
        <v>1701</v>
      </c>
      <c r="C3262" s="3" t="s">
        <v>2071</v>
      </c>
      <c r="D3262" s="2" t="s">
        <v>411</v>
      </c>
      <c r="E3262" s="114">
        <v>0.01</v>
      </c>
      <c r="F3262" s="23">
        <f>VLOOKUP(B3262,'BASE DE DATOS'!$A$5:$E$997,5,FALSE)</f>
        <v>80900</v>
      </c>
      <c r="G3262" s="104">
        <v>1.03</v>
      </c>
      <c r="H3262" s="252">
        <f t="shared" si="301"/>
        <v>833.27</v>
      </c>
    </row>
    <row r="3263" spans="1:9" x14ac:dyDescent="0.2">
      <c r="A3263" s="81" t="s">
        <v>2555</v>
      </c>
      <c r="B3263" s="241" t="s">
        <v>599</v>
      </c>
      <c r="C3263" s="3" t="s">
        <v>600</v>
      </c>
      <c r="D3263" s="2" t="s">
        <v>585</v>
      </c>
      <c r="E3263" s="114">
        <v>1</v>
      </c>
      <c r="F3263" s="23">
        <f>VLOOKUP(B3263,'BASE DE DATOS'!$A$5:$E$997,5,FALSE)</f>
        <v>159623</v>
      </c>
      <c r="G3263" s="104">
        <f>1/7</f>
        <v>0.14285714285714285</v>
      </c>
      <c r="H3263" s="252">
        <f t="shared" si="301"/>
        <v>22803.285714285714</v>
      </c>
    </row>
    <row r="3264" spans="1:9" ht="13.5" thickBot="1" x14ac:dyDescent="0.25">
      <c r="A3264" s="94" t="s">
        <v>293</v>
      </c>
      <c r="B3264" s="528" t="s">
        <v>269</v>
      </c>
      <c r="C3264" s="108" t="s">
        <v>284</v>
      </c>
      <c r="D3264" s="109" t="s">
        <v>586</v>
      </c>
      <c r="E3264" s="200">
        <v>0.1</v>
      </c>
      <c r="F3264" s="110">
        <f>H3263</f>
        <v>22803.285714285714</v>
      </c>
      <c r="G3264" s="156">
        <v>0</v>
      </c>
      <c r="H3264" s="479">
        <f t="shared" si="301"/>
        <v>2280.3285714285716</v>
      </c>
    </row>
    <row r="3265" spans="1:9" s="42" customFormat="1" ht="15" x14ac:dyDescent="0.2">
      <c r="A3265" s="67" t="s">
        <v>1039</v>
      </c>
      <c r="B3265" s="560"/>
      <c r="C3265" s="415" t="s">
        <v>2111</v>
      </c>
      <c r="D3265" s="441" t="s">
        <v>411</v>
      </c>
      <c r="E3265" s="390"/>
      <c r="F3265" s="391">
        <f>ROUND(SUM(H3265:H3272),0)</f>
        <v>86242</v>
      </c>
      <c r="G3265" s="437"/>
      <c r="H3265" s="442"/>
      <c r="I3265" s="738"/>
    </row>
    <row r="3266" spans="1:9" x14ac:dyDescent="0.2">
      <c r="A3266" s="939" t="s">
        <v>295</v>
      </c>
      <c r="B3266" s="241" t="s">
        <v>1272</v>
      </c>
      <c r="C3266" s="3" t="s">
        <v>231</v>
      </c>
      <c r="D3266" s="2" t="s">
        <v>411</v>
      </c>
      <c r="E3266" s="114">
        <v>2</v>
      </c>
      <c r="F3266" s="23">
        <f>VLOOKUP(B3266,'BASE DE DATOS'!$A$5:$E$997,5,FALSE)</f>
        <v>1100</v>
      </c>
      <c r="G3266" s="104">
        <v>0</v>
      </c>
      <c r="H3266" s="252">
        <f t="shared" si="301"/>
        <v>2200</v>
      </c>
    </row>
    <row r="3267" spans="1:9" x14ac:dyDescent="0.2">
      <c r="A3267" s="939"/>
      <c r="B3267" s="581" t="s">
        <v>1895</v>
      </c>
      <c r="C3267" s="3" t="s">
        <v>1894</v>
      </c>
      <c r="D3267" s="2" t="s">
        <v>411</v>
      </c>
      <c r="E3267" s="114">
        <v>1</v>
      </c>
      <c r="F3267" s="23">
        <f>VLOOKUP(B3267,'BASE DE DATOS'!$A$5:$E$997,5,FALSE)</f>
        <v>57900</v>
      </c>
      <c r="G3267" s="104">
        <v>0</v>
      </c>
      <c r="H3267" s="252">
        <f>IF(G3267&gt;0,(G3267*F3267*E3267),(F3267*E3267))</f>
        <v>57900</v>
      </c>
    </row>
    <row r="3268" spans="1:9" x14ac:dyDescent="0.2">
      <c r="A3268" s="939"/>
      <c r="B3268" s="241" t="s">
        <v>1347</v>
      </c>
      <c r="C3268" s="3" t="s">
        <v>2856</v>
      </c>
      <c r="D3268" s="2" t="s">
        <v>405</v>
      </c>
      <c r="E3268" s="114">
        <v>1</v>
      </c>
      <c r="F3268" s="23">
        <f>VLOOKUP(B3268,'BASE DE DATOS'!$A$5:$E$997,5,FALSE)</f>
        <v>290</v>
      </c>
      <c r="G3268" s="104">
        <f>1/50</f>
        <v>0.02</v>
      </c>
      <c r="H3268" s="252">
        <f>IF(G3268&gt;0,(G3268*F3268*E3268),(F3268*E3268))</f>
        <v>5.8</v>
      </c>
    </row>
    <row r="3269" spans="1:9" x14ac:dyDescent="0.2">
      <c r="A3269" s="939"/>
      <c r="B3269" s="241" t="s">
        <v>1462</v>
      </c>
      <c r="C3269" s="3" t="s">
        <v>1</v>
      </c>
      <c r="D3269" s="2" t="s">
        <v>411</v>
      </c>
      <c r="E3269" s="114">
        <v>8.0000000000000002E-3</v>
      </c>
      <c r="F3269" s="23">
        <f>VLOOKUP(B3269,'BASE DE DATOS'!$A$5:$E$997,5,FALSE)</f>
        <v>46900</v>
      </c>
      <c r="G3269" s="104">
        <v>1.03</v>
      </c>
      <c r="H3269" s="252">
        <f t="shared" si="301"/>
        <v>386.45600000000002</v>
      </c>
    </row>
    <row r="3270" spans="1:9" x14ac:dyDescent="0.2">
      <c r="A3270" s="939"/>
      <c r="B3270" s="241" t="s">
        <v>1701</v>
      </c>
      <c r="C3270" s="3" t="s">
        <v>2071</v>
      </c>
      <c r="D3270" s="2" t="s">
        <v>411</v>
      </c>
      <c r="E3270" s="114">
        <v>8.0000000000000002E-3</v>
      </c>
      <c r="F3270" s="23">
        <f>VLOOKUP(B3270,'BASE DE DATOS'!$A$5:$E$997,5,FALSE)</f>
        <v>80900</v>
      </c>
      <c r="G3270" s="104">
        <v>1.03</v>
      </c>
      <c r="H3270" s="252">
        <f t="shared" si="301"/>
        <v>666.61599999999999</v>
      </c>
    </row>
    <row r="3271" spans="1:9" x14ac:dyDescent="0.2">
      <c r="A3271" s="81" t="s">
        <v>2555</v>
      </c>
      <c r="B3271" s="241" t="s">
        <v>599</v>
      </c>
      <c r="C3271" s="3" t="s">
        <v>600</v>
      </c>
      <c r="D3271" s="2" t="s">
        <v>585</v>
      </c>
      <c r="E3271" s="114">
        <v>1</v>
      </c>
      <c r="F3271" s="23">
        <f>VLOOKUP(B3271,'BASE DE DATOS'!$A$5:$E$997,5,FALSE)</f>
        <v>159623</v>
      </c>
      <c r="G3271" s="104">
        <f>1/7</f>
        <v>0.14285714285714285</v>
      </c>
      <c r="H3271" s="252">
        <f t="shared" si="301"/>
        <v>22803.285714285714</v>
      </c>
    </row>
    <row r="3272" spans="1:9" ht="13.5" thickBot="1" x14ac:dyDescent="0.25">
      <c r="A3272" s="94" t="s">
        <v>293</v>
      </c>
      <c r="B3272" s="528" t="s">
        <v>269</v>
      </c>
      <c r="C3272" s="108" t="s">
        <v>284</v>
      </c>
      <c r="D3272" s="109" t="s">
        <v>586</v>
      </c>
      <c r="E3272" s="200">
        <v>0.1</v>
      </c>
      <c r="F3272" s="110">
        <f>H3271</f>
        <v>22803.285714285714</v>
      </c>
      <c r="G3272" s="156">
        <v>0</v>
      </c>
      <c r="H3272" s="479">
        <f t="shared" si="301"/>
        <v>2280.3285714285716</v>
      </c>
    </row>
    <row r="3273" spans="1:9" s="42" customFormat="1" ht="15" x14ac:dyDescent="0.2">
      <c r="A3273" s="67" t="s">
        <v>1040</v>
      </c>
      <c r="B3273" s="560"/>
      <c r="C3273" s="415" t="s">
        <v>698</v>
      </c>
      <c r="D3273" s="441" t="s">
        <v>411</v>
      </c>
      <c r="E3273" s="390"/>
      <c r="F3273" s="391">
        <f>ROUND(SUM(H3273:H3280),0)</f>
        <v>39954</v>
      </c>
      <c r="G3273" s="437"/>
      <c r="H3273" s="442"/>
      <c r="I3273" s="738"/>
    </row>
    <row r="3274" spans="1:9" x14ac:dyDescent="0.2">
      <c r="A3274" s="939" t="s">
        <v>295</v>
      </c>
      <c r="B3274" s="241" t="s">
        <v>1270</v>
      </c>
      <c r="C3274" s="3" t="s">
        <v>226</v>
      </c>
      <c r="D3274" s="2" t="s">
        <v>411</v>
      </c>
      <c r="E3274" s="114">
        <v>2</v>
      </c>
      <c r="F3274" s="23">
        <f>VLOOKUP(B3274,'BASE DE DATOS'!$A$5:$E$997,5,FALSE)</f>
        <v>350</v>
      </c>
      <c r="G3274" s="104">
        <v>0</v>
      </c>
      <c r="H3274" s="252">
        <f>IF(G3274&gt;0,(G3274*F3274*E3274),(F3274*E3274))</f>
        <v>700</v>
      </c>
    </row>
    <row r="3275" spans="1:9" x14ac:dyDescent="0.2">
      <c r="A3275" s="939"/>
      <c r="B3275" s="540" t="s">
        <v>1896</v>
      </c>
      <c r="C3275" s="3" t="s">
        <v>1893</v>
      </c>
      <c r="D3275" s="2" t="s">
        <v>411</v>
      </c>
      <c r="E3275" s="114">
        <v>1</v>
      </c>
      <c r="F3275" s="23">
        <f>VLOOKUP(B3275,'BASE DE DATOS'!$A$5:$E$997,5,FALSE)</f>
        <v>20900</v>
      </c>
      <c r="G3275" s="104">
        <v>0</v>
      </c>
      <c r="H3275" s="252">
        <f>IF(G3275&gt;0,(G3275*F3275*E3275),(F3275*E3275))</f>
        <v>20900</v>
      </c>
    </row>
    <row r="3276" spans="1:9" x14ac:dyDescent="0.2">
      <c r="A3276" s="939"/>
      <c r="B3276" s="241" t="s">
        <v>1347</v>
      </c>
      <c r="C3276" s="3" t="s">
        <v>2856</v>
      </c>
      <c r="D3276" s="2" t="s">
        <v>405</v>
      </c>
      <c r="E3276" s="114">
        <v>1</v>
      </c>
      <c r="F3276" s="23">
        <f>VLOOKUP(B3276,'BASE DE DATOS'!$A$5:$E$997,5,FALSE)</f>
        <v>290</v>
      </c>
      <c r="G3276" s="104">
        <f>1/50</f>
        <v>0.02</v>
      </c>
      <c r="H3276" s="252">
        <f>IF(G3276&gt;0,(G3276*F3276*E3276),(F3276*E3276))</f>
        <v>5.8</v>
      </c>
    </row>
    <row r="3277" spans="1:9" x14ac:dyDescent="0.2">
      <c r="A3277" s="939"/>
      <c r="B3277" s="241" t="s">
        <v>1462</v>
      </c>
      <c r="C3277" s="3" t="s">
        <v>1</v>
      </c>
      <c r="D3277" s="2" t="s">
        <v>411</v>
      </c>
      <c r="E3277" s="114">
        <v>6.0000000000000001E-3</v>
      </c>
      <c r="F3277" s="23">
        <f>VLOOKUP(B3277,'BASE DE DATOS'!$A$5:$E$997,5,FALSE)</f>
        <v>46900</v>
      </c>
      <c r="G3277" s="104">
        <v>1.03</v>
      </c>
      <c r="H3277" s="252">
        <f t="shared" si="301"/>
        <v>289.84199999999998</v>
      </c>
    </row>
    <row r="3278" spans="1:9" x14ac:dyDescent="0.2">
      <c r="A3278" s="939"/>
      <c r="B3278" s="241" t="s">
        <v>1701</v>
      </c>
      <c r="C3278" s="3" t="s">
        <v>2071</v>
      </c>
      <c r="D3278" s="2" t="s">
        <v>411</v>
      </c>
      <c r="E3278" s="114">
        <v>6.0000000000000001E-3</v>
      </c>
      <c r="F3278" s="23">
        <f>VLOOKUP(B3278,'BASE DE DATOS'!$A$5:$E$997,5,FALSE)</f>
        <v>80900</v>
      </c>
      <c r="G3278" s="104">
        <v>1.03</v>
      </c>
      <c r="H3278" s="252">
        <f t="shared" si="301"/>
        <v>499.96199999999999</v>
      </c>
    </row>
    <row r="3279" spans="1:9" x14ac:dyDescent="0.2">
      <c r="A3279" s="81" t="s">
        <v>2555</v>
      </c>
      <c r="B3279" s="241" t="s">
        <v>599</v>
      </c>
      <c r="C3279" s="3" t="s">
        <v>600</v>
      </c>
      <c r="D3279" s="2" t="s">
        <v>585</v>
      </c>
      <c r="E3279" s="114">
        <v>1</v>
      </c>
      <c r="F3279" s="23">
        <f>VLOOKUP(B3279,'BASE DE DATOS'!$A$5:$E$997,5,FALSE)</f>
        <v>159623</v>
      </c>
      <c r="G3279" s="104">
        <f>1/10</f>
        <v>0.1</v>
      </c>
      <c r="H3279" s="252">
        <f t="shared" si="301"/>
        <v>15962.300000000001</v>
      </c>
    </row>
    <row r="3280" spans="1:9" ht="13.5" thickBot="1" x14ac:dyDescent="0.25">
      <c r="A3280" s="94" t="s">
        <v>293</v>
      </c>
      <c r="B3280" s="528" t="s">
        <v>269</v>
      </c>
      <c r="C3280" s="108" t="s">
        <v>284</v>
      </c>
      <c r="D3280" s="109" t="s">
        <v>586</v>
      </c>
      <c r="E3280" s="200">
        <v>0.1</v>
      </c>
      <c r="F3280" s="110">
        <f>H3279</f>
        <v>15962.300000000001</v>
      </c>
      <c r="G3280" s="156">
        <v>0</v>
      </c>
      <c r="H3280" s="479">
        <f t="shared" si="301"/>
        <v>1596.2300000000002</v>
      </c>
    </row>
    <row r="3281" spans="1:9" s="42" customFormat="1" ht="15" x14ac:dyDescent="0.2">
      <c r="A3281" s="67" t="s">
        <v>1041</v>
      </c>
      <c r="B3281" s="560"/>
      <c r="C3281" s="415" t="s">
        <v>488</v>
      </c>
      <c r="D3281" s="441" t="s">
        <v>411</v>
      </c>
      <c r="E3281" s="395"/>
      <c r="F3281" s="391">
        <f>ROUND(SUM(H3281:H3289),0)</f>
        <v>583388</v>
      </c>
      <c r="G3281" s="437"/>
      <c r="H3281" s="442"/>
      <c r="I3281" s="738"/>
    </row>
    <row r="3282" spans="1:9" ht="13.15" customHeight="1" x14ac:dyDescent="0.2">
      <c r="A3282" s="939" t="s">
        <v>295</v>
      </c>
      <c r="B3282" s="241" t="s">
        <v>1271</v>
      </c>
      <c r="C3282" s="3" t="s">
        <v>238</v>
      </c>
      <c r="D3282" s="2" t="s">
        <v>411</v>
      </c>
      <c r="E3282" s="196">
        <v>2</v>
      </c>
      <c r="F3282" s="23">
        <f>VLOOKUP(B3282,'BASE DE DATOS'!$A$5:$E$997,5,FALSE)</f>
        <v>7200</v>
      </c>
      <c r="G3282" s="104">
        <v>0</v>
      </c>
      <c r="H3282" s="252">
        <f t="shared" si="301"/>
        <v>14400</v>
      </c>
    </row>
    <row r="3283" spans="1:9" x14ac:dyDescent="0.2">
      <c r="A3283" s="939"/>
      <c r="B3283" s="241" t="s">
        <v>1347</v>
      </c>
      <c r="C3283" s="3" t="s">
        <v>2856</v>
      </c>
      <c r="D3283" s="2" t="s">
        <v>405</v>
      </c>
      <c r="E3283" s="196">
        <v>1</v>
      </c>
      <c r="F3283" s="23">
        <f>VLOOKUP(B3283,'BASE DE DATOS'!$A$5:$E$997,5,FALSE)</f>
        <v>290</v>
      </c>
      <c r="G3283" s="104">
        <f>1/30</f>
        <v>3.3333333333333333E-2</v>
      </c>
      <c r="H3283" s="252">
        <f>IF(G3283&gt;0,(G3283*F3283*E3283),(F3283*E3283))</f>
        <v>9.6666666666666661</v>
      </c>
    </row>
    <row r="3284" spans="1:9" x14ac:dyDescent="0.2">
      <c r="A3284" s="939"/>
      <c r="B3284" s="241" t="s">
        <v>1462</v>
      </c>
      <c r="C3284" s="3" t="s">
        <v>1</v>
      </c>
      <c r="D3284" s="2" t="s">
        <v>411</v>
      </c>
      <c r="E3284" s="114">
        <v>0.02</v>
      </c>
      <c r="F3284" s="23">
        <f>VLOOKUP(B3284,'BASE DE DATOS'!$A$5:$E$997,5,FALSE)</f>
        <v>46900</v>
      </c>
      <c r="G3284" s="104">
        <v>1.03</v>
      </c>
      <c r="H3284" s="252">
        <f t="shared" si="301"/>
        <v>966.14</v>
      </c>
    </row>
    <row r="3285" spans="1:9" x14ac:dyDescent="0.2">
      <c r="A3285" s="939"/>
      <c r="B3285" s="241" t="s">
        <v>1467</v>
      </c>
      <c r="C3285" s="3" t="s">
        <v>239</v>
      </c>
      <c r="D3285" s="2" t="s">
        <v>411</v>
      </c>
      <c r="E3285" s="196">
        <v>1</v>
      </c>
      <c r="F3285" s="23">
        <f>VLOOKUP(B3285,'BASE DE DATOS'!$A$5:$E$997,5,FALSE)</f>
        <v>460649</v>
      </c>
      <c r="G3285" s="104">
        <v>0</v>
      </c>
      <c r="H3285" s="252">
        <f>IF(G3285&gt;0,(G3285*F3285*E3285),(F3285*E3285))</f>
        <v>460649</v>
      </c>
    </row>
    <row r="3286" spans="1:9" x14ac:dyDescent="0.2">
      <c r="A3286" s="939"/>
      <c r="B3286" s="241" t="s">
        <v>1701</v>
      </c>
      <c r="C3286" s="3" t="s">
        <v>2071</v>
      </c>
      <c r="D3286" s="2" t="s">
        <v>411</v>
      </c>
      <c r="E3286" s="114">
        <v>0.02</v>
      </c>
      <c r="F3286" s="23">
        <f>VLOOKUP(B3286,'BASE DE DATOS'!$A$5:$E$997,5,FALSE)</f>
        <v>80900</v>
      </c>
      <c r="G3286" s="104">
        <v>1.03</v>
      </c>
      <c r="H3286" s="252">
        <f t="shared" si="301"/>
        <v>1666.54</v>
      </c>
    </row>
    <row r="3287" spans="1:9" x14ac:dyDescent="0.2">
      <c r="A3287" s="939"/>
      <c r="B3287" s="241" t="s">
        <v>1683</v>
      </c>
      <c r="C3287" s="3" t="s">
        <v>5</v>
      </c>
      <c r="D3287" s="2" t="s">
        <v>411</v>
      </c>
      <c r="E3287" s="114">
        <v>2</v>
      </c>
      <c r="F3287" s="23">
        <f>VLOOKUP(B3287,'BASE DE DATOS'!$A$5:$E$997,5,FALSE)</f>
        <v>30900</v>
      </c>
      <c r="G3287" s="104">
        <v>0</v>
      </c>
      <c r="H3287" s="252">
        <f t="shared" si="301"/>
        <v>61800</v>
      </c>
    </row>
    <row r="3288" spans="1:9" x14ac:dyDescent="0.2">
      <c r="A3288" s="81" t="s">
        <v>2555</v>
      </c>
      <c r="B3288" s="241" t="s">
        <v>599</v>
      </c>
      <c r="C3288" s="3" t="s">
        <v>600</v>
      </c>
      <c r="D3288" s="2" t="s">
        <v>585</v>
      </c>
      <c r="E3288" s="196">
        <v>1</v>
      </c>
      <c r="F3288" s="23">
        <f>VLOOKUP(B3288,'BASE DE DATOS'!$A$5:$E$997,5,FALSE)</f>
        <v>159623</v>
      </c>
      <c r="G3288" s="104">
        <f>1/4</f>
        <v>0.25</v>
      </c>
      <c r="H3288" s="252">
        <f t="shared" si="301"/>
        <v>39905.75</v>
      </c>
    </row>
    <row r="3289" spans="1:9" ht="13.5" thickBot="1" x14ac:dyDescent="0.25">
      <c r="A3289" s="94" t="s">
        <v>293</v>
      </c>
      <c r="B3289" s="528" t="s">
        <v>269</v>
      </c>
      <c r="C3289" s="108" t="s">
        <v>284</v>
      </c>
      <c r="D3289" s="109" t="s">
        <v>586</v>
      </c>
      <c r="E3289" s="203">
        <v>0.1</v>
      </c>
      <c r="F3289" s="110">
        <f>H3288</f>
        <v>39905.75</v>
      </c>
      <c r="G3289" s="156">
        <v>0</v>
      </c>
      <c r="H3289" s="479">
        <f t="shared" si="301"/>
        <v>3990.5750000000003</v>
      </c>
    </row>
    <row r="3290" spans="1:9" s="42" customFormat="1" ht="15" x14ac:dyDescent="0.2">
      <c r="A3290" s="67" t="s">
        <v>1042</v>
      </c>
      <c r="B3290" s="560"/>
      <c r="C3290" s="415" t="s">
        <v>485</v>
      </c>
      <c r="D3290" s="441" t="s">
        <v>411</v>
      </c>
      <c r="E3290" s="390"/>
      <c r="F3290" s="391">
        <f>ROUND(SUM(H3290:H3298),0)</f>
        <v>410046</v>
      </c>
      <c r="G3290" s="437"/>
      <c r="H3290" s="442"/>
      <c r="I3290" s="738"/>
    </row>
    <row r="3291" spans="1:9" ht="13.15" customHeight="1" x14ac:dyDescent="0.2">
      <c r="A3291" s="939" t="s">
        <v>295</v>
      </c>
      <c r="B3291" s="241" t="s">
        <v>1268</v>
      </c>
      <c r="C3291" s="3" t="s">
        <v>224</v>
      </c>
      <c r="D3291" s="2" t="s">
        <v>411</v>
      </c>
      <c r="E3291" s="114">
        <v>2</v>
      </c>
      <c r="F3291" s="23">
        <f>VLOOKUP(B3291,'BASE DE DATOS'!$A$5:$E$997,5,FALSE)</f>
        <v>5500</v>
      </c>
      <c r="G3291" s="104">
        <v>0</v>
      </c>
      <c r="H3291" s="252">
        <f>IF(G3291&gt;0,(G3291*F3291*E3291),(F3291*E3291))</f>
        <v>11000</v>
      </c>
    </row>
    <row r="3292" spans="1:9" x14ac:dyDescent="0.2">
      <c r="A3292" s="939"/>
      <c r="B3292" s="241" t="s">
        <v>1347</v>
      </c>
      <c r="C3292" s="3" t="s">
        <v>2856</v>
      </c>
      <c r="D3292" s="2" t="s">
        <v>405</v>
      </c>
      <c r="E3292" s="114">
        <v>1</v>
      </c>
      <c r="F3292" s="23">
        <f>VLOOKUP(B3292,'BASE DE DATOS'!$A$5:$E$997,5,FALSE)</f>
        <v>290</v>
      </c>
      <c r="G3292" s="104">
        <f>1/50</f>
        <v>0.02</v>
      </c>
      <c r="H3292" s="252">
        <f>IF(G3292&gt;0,(G3292*F3292*E3292),(F3292*E3292))</f>
        <v>5.8</v>
      </c>
    </row>
    <row r="3293" spans="1:9" ht="13.15" customHeight="1" x14ac:dyDescent="0.2">
      <c r="A3293" s="939"/>
      <c r="B3293" s="241" t="s">
        <v>1462</v>
      </c>
      <c r="C3293" s="3" t="s">
        <v>1</v>
      </c>
      <c r="D3293" s="2" t="s">
        <v>411</v>
      </c>
      <c r="E3293" s="114">
        <v>1.4999999999999999E-2</v>
      </c>
      <c r="F3293" s="23">
        <f>VLOOKUP(B3293,'BASE DE DATOS'!$A$5:$E$997,5,FALSE)</f>
        <v>46900</v>
      </c>
      <c r="G3293" s="104">
        <v>1.03</v>
      </c>
      <c r="H3293" s="252">
        <f t="shared" si="301"/>
        <v>724.60500000000002</v>
      </c>
    </row>
    <row r="3294" spans="1:9" x14ac:dyDescent="0.2">
      <c r="A3294" s="939"/>
      <c r="B3294" s="241" t="s">
        <v>1464</v>
      </c>
      <c r="C3294" s="3" t="s">
        <v>229</v>
      </c>
      <c r="D3294" s="2" t="s">
        <v>411</v>
      </c>
      <c r="E3294" s="114">
        <v>1</v>
      </c>
      <c r="F3294" s="23">
        <f>VLOOKUP(B3294,'BASE DE DATOS'!$A$5:$E$997,5,FALSE)</f>
        <v>285369</v>
      </c>
      <c r="G3294" s="104">
        <v>0</v>
      </c>
      <c r="H3294" s="252">
        <f>IF(G3294&gt;0,(G3294*F3294*E3294),(F3294*E3294))</f>
        <v>285369</v>
      </c>
    </row>
    <row r="3295" spans="1:9" x14ac:dyDescent="0.2">
      <c r="A3295" s="939"/>
      <c r="B3295" s="241" t="s">
        <v>1701</v>
      </c>
      <c r="C3295" s="3" t="s">
        <v>2071</v>
      </c>
      <c r="D3295" s="2" t="s">
        <v>411</v>
      </c>
      <c r="E3295" s="114">
        <v>1.4999999999999999E-2</v>
      </c>
      <c r="F3295" s="23">
        <f>VLOOKUP(B3295,'BASE DE DATOS'!$A$5:$E$997,5,FALSE)</f>
        <v>80900</v>
      </c>
      <c r="G3295" s="104">
        <v>1.03</v>
      </c>
      <c r="H3295" s="252">
        <f t="shared" si="301"/>
        <v>1249.905</v>
      </c>
    </row>
    <row r="3296" spans="1:9" x14ac:dyDescent="0.2">
      <c r="A3296" s="939"/>
      <c r="B3296" s="241" t="s">
        <v>1680</v>
      </c>
      <c r="C3296" s="3" t="s">
        <v>2</v>
      </c>
      <c r="D3296" s="2" t="s">
        <v>411</v>
      </c>
      <c r="E3296" s="114">
        <v>2</v>
      </c>
      <c r="F3296" s="23">
        <f>VLOOKUP(B3296,'BASE DE DATOS'!$A$5:$E$997,5,FALSE)</f>
        <v>33900</v>
      </c>
      <c r="G3296" s="104">
        <v>0</v>
      </c>
      <c r="H3296" s="252">
        <f t="shared" si="301"/>
        <v>67800</v>
      </c>
    </row>
    <row r="3297" spans="1:9" x14ac:dyDescent="0.2">
      <c r="A3297" s="81" t="s">
        <v>2555</v>
      </c>
      <c r="B3297" s="241" t="s">
        <v>599</v>
      </c>
      <c r="C3297" s="3" t="s">
        <v>600</v>
      </c>
      <c r="D3297" s="2" t="s">
        <v>585</v>
      </c>
      <c r="E3297" s="114">
        <v>1</v>
      </c>
      <c r="F3297" s="23">
        <f>VLOOKUP(B3297,'BASE DE DATOS'!$A$5:$E$997,5,FALSE)</f>
        <v>159623</v>
      </c>
      <c r="G3297" s="104">
        <f>1/4</f>
        <v>0.25</v>
      </c>
      <c r="H3297" s="252">
        <f t="shared" si="301"/>
        <v>39905.75</v>
      </c>
    </row>
    <row r="3298" spans="1:9" ht="13.5" thickBot="1" x14ac:dyDescent="0.25">
      <c r="A3298" s="94" t="s">
        <v>293</v>
      </c>
      <c r="B3298" s="528" t="s">
        <v>269</v>
      </c>
      <c r="C3298" s="108" t="s">
        <v>284</v>
      </c>
      <c r="D3298" s="109" t="s">
        <v>586</v>
      </c>
      <c r="E3298" s="200">
        <v>0.1</v>
      </c>
      <c r="F3298" s="110">
        <f>H3297</f>
        <v>39905.75</v>
      </c>
      <c r="G3298" s="156">
        <v>0</v>
      </c>
      <c r="H3298" s="479">
        <f t="shared" si="301"/>
        <v>3990.5750000000003</v>
      </c>
    </row>
    <row r="3299" spans="1:9" s="42" customFormat="1" ht="15" x14ac:dyDescent="0.2">
      <c r="A3299" s="67" t="s">
        <v>1043</v>
      </c>
      <c r="B3299" s="560"/>
      <c r="C3299" s="415" t="s">
        <v>486</v>
      </c>
      <c r="D3299" s="441" t="s">
        <v>411</v>
      </c>
      <c r="E3299" s="390"/>
      <c r="F3299" s="391">
        <f>SUM(H3299:H3307)</f>
        <v>189218.46500000003</v>
      </c>
      <c r="G3299" s="437"/>
      <c r="H3299" s="442"/>
      <c r="I3299" s="738"/>
    </row>
    <row r="3300" spans="1:9" ht="13.15" customHeight="1" x14ac:dyDescent="0.2">
      <c r="A3300" s="939" t="s">
        <v>295</v>
      </c>
      <c r="B3300" s="241" t="s">
        <v>1269</v>
      </c>
      <c r="C3300" s="3" t="s">
        <v>225</v>
      </c>
      <c r="D3300" s="2" t="s">
        <v>411</v>
      </c>
      <c r="E3300" s="114">
        <v>2</v>
      </c>
      <c r="F3300" s="23">
        <f>VLOOKUP(B3300,'BASE DE DATOS'!$A$5:$E$997,5,FALSE)</f>
        <v>2150</v>
      </c>
      <c r="G3300" s="104">
        <v>0</v>
      </c>
      <c r="H3300" s="252">
        <f t="shared" si="301"/>
        <v>4300</v>
      </c>
    </row>
    <row r="3301" spans="1:9" x14ac:dyDescent="0.2">
      <c r="A3301" s="939"/>
      <c r="B3301" s="241" t="s">
        <v>1347</v>
      </c>
      <c r="C3301" s="3" t="s">
        <v>2856</v>
      </c>
      <c r="D3301" s="2" t="s">
        <v>405</v>
      </c>
      <c r="E3301" s="114">
        <v>1</v>
      </c>
      <c r="F3301" s="23">
        <f>VLOOKUP(B3301,'BASE DE DATOS'!$A$5:$E$997,5,FALSE)</f>
        <v>290</v>
      </c>
      <c r="G3301" s="104">
        <f>1/50</f>
        <v>0.02</v>
      </c>
      <c r="H3301" s="252">
        <f>IF(G3301&gt;0,(G3301*F3301*E3301),(F3301*E3301))</f>
        <v>5.8</v>
      </c>
    </row>
    <row r="3302" spans="1:9" x14ac:dyDescent="0.2">
      <c r="A3302" s="939"/>
      <c r="B3302" s="241" t="s">
        <v>1462</v>
      </c>
      <c r="C3302" s="3" t="s">
        <v>1</v>
      </c>
      <c r="D3302" s="2" t="s">
        <v>411</v>
      </c>
      <c r="E3302" s="114">
        <v>0.01</v>
      </c>
      <c r="F3302" s="23">
        <f>VLOOKUP(B3302,'BASE DE DATOS'!$A$5:$E$997,5,FALSE)</f>
        <v>46900</v>
      </c>
      <c r="G3302" s="104">
        <v>1.03</v>
      </c>
      <c r="H3302" s="252">
        <f t="shared" si="301"/>
        <v>483.07</v>
      </c>
    </row>
    <row r="3303" spans="1:9" x14ac:dyDescent="0.2">
      <c r="A3303" s="939"/>
      <c r="B3303" s="241" t="s">
        <v>1465</v>
      </c>
      <c r="C3303" s="3" t="s">
        <v>3842</v>
      </c>
      <c r="D3303" s="2" t="s">
        <v>411</v>
      </c>
      <c r="E3303" s="114">
        <v>1</v>
      </c>
      <c r="F3303" s="23">
        <f>VLOOKUP(B3303,'BASE DE DATOS'!$A$5:$E$997,5,FALSE)</f>
        <v>109900</v>
      </c>
      <c r="G3303" s="104">
        <v>0</v>
      </c>
      <c r="H3303" s="252">
        <f>IF(G3303&gt;0,(G3303*F3303*E3303),(F3303*E3303))</f>
        <v>109900</v>
      </c>
    </row>
    <row r="3304" spans="1:9" x14ac:dyDescent="0.2">
      <c r="A3304" s="939"/>
      <c r="B3304" s="241" t="s">
        <v>1701</v>
      </c>
      <c r="C3304" s="3" t="s">
        <v>2071</v>
      </c>
      <c r="D3304" s="2" t="s">
        <v>411</v>
      </c>
      <c r="E3304" s="114">
        <v>0.01</v>
      </c>
      <c r="F3304" s="23">
        <f>VLOOKUP(B3304,'BASE DE DATOS'!$A$5:$E$997,5,FALSE)</f>
        <v>80900</v>
      </c>
      <c r="G3304" s="104">
        <v>1.03</v>
      </c>
      <c r="H3304" s="252">
        <f t="shared" si="301"/>
        <v>833.27</v>
      </c>
    </row>
    <row r="3305" spans="1:9" x14ac:dyDescent="0.2">
      <c r="A3305" s="939"/>
      <c r="B3305" s="241" t="s">
        <v>1779</v>
      </c>
      <c r="C3305" s="3" t="s">
        <v>1782</v>
      </c>
      <c r="D3305" s="2" t="s">
        <v>411</v>
      </c>
      <c r="E3305" s="114">
        <v>2</v>
      </c>
      <c r="F3305" s="23">
        <f>VLOOKUP(B3305,'BASE DE DATOS'!$A$5:$E$997,5,FALSE)</f>
        <v>14900</v>
      </c>
      <c r="G3305" s="104">
        <v>0</v>
      </c>
      <c r="H3305" s="252">
        <f t="shared" si="301"/>
        <v>29800</v>
      </c>
    </row>
    <row r="3306" spans="1:9" x14ac:dyDescent="0.2">
      <c r="A3306" s="81" t="s">
        <v>2555</v>
      </c>
      <c r="B3306" s="241" t="s">
        <v>599</v>
      </c>
      <c r="C3306" s="3" t="s">
        <v>600</v>
      </c>
      <c r="D3306" s="2" t="s">
        <v>585</v>
      </c>
      <c r="E3306" s="114">
        <v>1</v>
      </c>
      <c r="F3306" s="23">
        <f>VLOOKUP(B3306,'BASE DE DATOS'!$A$5:$E$997,5,FALSE)</f>
        <v>159623</v>
      </c>
      <c r="G3306" s="104">
        <f>1/4</f>
        <v>0.25</v>
      </c>
      <c r="H3306" s="252">
        <f t="shared" ref="H3306:H3307" si="302">IF(G3306&gt;0,(G3306*F3306*E3306),(F3306*E3306))</f>
        <v>39905.75</v>
      </c>
    </row>
    <row r="3307" spans="1:9" ht="13.5" thickBot="1" x14ac:dyDescent="0.25">
      <c r="A3307" s="84" t="s">
        <v>293</v>
      </c>
      <c r="B3307" s="528" t="s">
        <v>269</v>
      </c>
      <c r="C3307" s="108" t="s">
        <v>284</v>
      </c>
      <c r="D3307" s="109" t="s">
        <v>586</v>
      </c>
      <c r="E3307" s="200">
        <v>0.1</v>
      </c>
      <c r="F3307" s="110">
        <f>H3306</f>
        <v>39905.75</v>
      </c>
      <c r="G3307" s="156">
        <v>0</v>
      </c>
      <c r="H3307" s="479">
        <f t="shared" si="302"/>
        <v>3990.5750000000003</v>
      </c>
    </row>
    <row r="3308" spans="1:9" s="42" customFormat="1" ht="15" x14ac:dyDescent="0.2">
      <c r="A3308" s="67" t="s">
        <v>1044</v>
      </c>
      <c r="B3308" s="560"/>
      <c r="C3308" s="415" t="s">
        <v>489</v>
      </c>
      <c r="D3308" s="441" t="s">
        <v>411</v>
      </c>
      <c r="E3308" s="390"/>
      <c r="F3308" s="391">
        <f>ROUND(SUM(H3308:H3316),0)</f>
        <v>161695</v>
      </c>
      <c r="G3308" s="437"/>
      <c r="H3308" s="442"/>
      <c r="I3308" s="738"/>
    </row>
    <row r="3309" spans="1:9" x14ac:dyDescent="0.2">
      <c r="A3309" s="939" t="s">
        <v>295</v>
      </c>
      <c r="B3309" s="241" t="s">
        <v>1272</v>
      </c>
      <c r="C3309" s="3" t="s">
        <v>231</v>
      </c>
      <c r="D3309" s="2" t="s">
        <v>411</v>
      </c>
      <c r="E3309" s="114">
        <v>2</v>
      </c>
      <c r="F3309" s="23">
        <f>VLOOKUP(B3309,'BASE DE DATOS'!$A$5:$E$997,5,FALSE)</f>
        <v>1100</v>
      </c>
      <c r="G3309" s="104">
        <v>0</v>
      </c>
      <c r="H3309" s="252">
        <f>IF(G3309&gt;0,(G3309*F3309*E3309),(F3309*E3309))</f>
        <v>2200</v>
      </c>
    </row>
    <row r="3310" spans="1:9" x14ac:dyDescent="0.2">
      <c r="A3310" s="939"/>
      <c r="B3310" s="241" t="s">
        <v>1347</v>
      </c>
      <c r="C3310" s="3" t="s">
        <v>2856</v>
      </c>
      <c r="D3310" s="2" t="s">
        <v>405</v>
      </c>
      <c r="E3310" s="114">
        <v>1</v>
      </c>
      <c r="F3310" s="23">
        <f>VLOOKUP(B3310,'BASE DE DATOS'!$A$5:$E$997,5,FALSE)</f>
        <v>290</v>
      </c>
      <c r="G3310" s="104">
        <f>1/50</f>
        <v>0.02</v>
      </c>
      <c r="H3310" s="252">
        <f>IF(G3310&gt;0,(G3310*F3310*E3310),(F3310*E3310))</f>
        <v>5.8</v>
      </c>
    </row>
    <row r="3311" spans="1:9" ht="13.15" customHeight="1" x14ac:dyDescent="0.2">
      <c r="A3311" s="939"/>
      <c r="B3311" s="241" t="s">
        <v>1462</v>
      </c>
      <c r="C3311" s="3" t="s">
        <v>1</v>
      </c>
      <c r="D3311" s="2" t="s">
        <v>411</v>
      </c>
      <c r="E3311" s="114">
        <v>8.0000000000000002E-3</v>
      </c>
      <c r="F3311" s="23">
        <f>VLOOKUP(B3311,'BASE DE DATOS'!$A$5:$E$997,5,FALSE)</f>
        <v>46900</v>
      </c>
      <c r="G3311" s="104">
        <v>1.03</v>
      </c>
      <c r="H3311" s="252">
        <f t="shared" ref="H3311:H3345" si="303">IF(G3311&gt;0,(G3311*F3311*E3311),(F3311*E3311))</f>
        <v>386.45600000000002</v>
      </c>
    </row>
    <row r="3312" spans="1:9" x14ac:dyDescent="0.2">
      <c r="A3312" s="939"/>
      <c r="B3312" s="241" t="s">
        <v>1468</v>
      </c>
      <c r="C3312" s="3" t="s">
        <v>230</v>
      </c>
      <c r="D3312" s="2" t="s">
        <v>411</v>
      </c>
      <c r="E3312" s="114">
        <v>1</v>
      </c>
      <c r="F3312" s="23">
        <f>VLOOKUP(B3312,'BASE DE DATOS'!$A$5:$E$997,5,FALSE)</f>
        <v>111372</v>
      </c>
      <c r="G3312" s="104">
        <v>0</v>
      </c>
      <c r="H3312" s="252">
        <f>IF(G3312&gt;0,(G3312*F3312*E3312),(F3312*E3312))</f>
        <v>111372</v>
      </c>
    </row>
    <row r="3313" spans="1:9" x14ac:dyDescent="0.2">
      <c r="A3313" s="939"/>
      <c r="B3313" s="241" t="s">
        <v>1701</v>
      </c>
      <c r="C3313" s="3" t="s">
        <v>2071</v>
      </c>
      <c r="D3313" s="2" t="s">
        <v>411</v>
      </c>
      <c r="E3313" s="114">
        <v>8.0000000000000002E-3</v>
      </c>
      <c r="F3313" s="23">
        <f>VLOOKUP(B3313,'BASE DE DATOS'!$A$5:$E$997,5,FALSE)</f>
        <v>80900</v>
      </c>
      <c r="G3313" s="104">
        <v>1.03</v>
      </c>
      <c r="H3313" s="252">
        <f t="shared" si="303"/>
        <v>666.61599999999999</v>
      </c>
    </row>
    <row r="3314" spans="1:9" x14ac:dyDescent="0.2">
      <c r="A3314" s="939"/>
      <c r="B3314" s="241" t="s">
        <v>1684</v>
      </c>
      <c r="C3314" s="3" t="s">
        <v>3</v>
      </c>
      <c r="D3314" s="2" t="s">
        <v>411</v>
      </c>
      <c r="E3314" s="114">
        <v>2</v>
      </c>
      <c r="F3314" s="23">
        <f>VLOOKUP(B3314,'BASE DE DATOS'!$A$5:$E$997,5,FALSE)</f>
        <v>8900</v>
      </c>
      <c r="G3314" s="104">
        <v>0</v>
      </c>
      <c r="H3314" s="252">
        <f t="shared" si="303"/>
        <v>17800</v>
      </c>
    </row>
    <row r="3315" spans="1:9" x14ac:dyDescent="0.2">
      <c r="A3315" s="81" t="s">
        <v>2555</v>
      </c>
      <c r="B3315" s="241" t="s">
        <v>599</v>
      </c>
      <c r="C3315" s="3" t="s">
        <v>600</v>
      </c>
      <c r="D3315" s="2" t="s">
        <v>585</v>
      </c>
      <c r="E3315" s="114">
        <v>1</v>
      </c>
      <c r="F3315" s="23">
        <f>VLOOKUP(B3315,'BASE DE DATOS'!$A$5:$E$997,5,FALSE)</f>
        <v>159623</v>
      </c>
      <c r="G3315" s="104">
        <f>1/6</f>
        <v>0.16666666666666666</v>
      </c>
      <c r="H3315" s="252">
        <f t="shared" si="303"/>
        <v>26603.833333333332</v>
      </c>
    </row>
    <row r="3316" spans="1:9" ht="13.5" thickBot="1" x14ac:dyDescent="0.25">
      <c r="A3316" s="94" t="s">
        <v>293</v>
      </c>
      <c r="B3316" s="528" t="s">
        <v>269</v>
      </c>
      <c r="C3316" s="108" t="s">
        <v>284</v>
      </c>
      <c r="D3316" s="109" t="s">
        <v>586</v>
      </c>
      <c r="E3316" s="200">
        <v>0.1</v>
      </c>
      <c r="F3316" s="110">
        <f>H3315</f>
        <v>26603.833333333332</v>
      </c>
      <c r="G3316" s="156">
        <v>0</v>
      </c>
      <c r="H3316" s="479">
        <f t="shared" si="303"/>
        <v>2660.3833333333332</v>
      </c>
    </row>
    <row r="3317" spans="1:9" s="42" customFormat="1" ht="15" x14ac:dyDescent="0.2">
      <c r="A3317" s="67" t="s">
        <v>1045</v>
      </c>
      <c r="B3317" s="560"/>
      <c r="C3317" s="415" t="s">
        <v>487</v>
      </c>
      <c r="D3317" s="441" t="s">
        <v>411</v>
      </c>
      <c r="E3317" s="390"/>
      <c r="F3317" s="391">
        <f>ROUND(SUM(H3317:H3325),0)</f>
        <v>128460</v>
      </c>
      <c r="G3317" s="437"/>
      <c r="H3317" s="442"/>
      <c r="I3317" s="738"/>
    </row>
    <row r="3318" spans="1:9" x14ac:dyDescent="0.2">
      <c r="A3318" s="939" t="s">
        <v>295</v>
      </c>
      <c r="B3318" s="241" t="s">
        <v>1270</v>
      </c>
      <c r="C3318" s="3" t="s">
        <v>226</v>
      </c>
      <c r="D3318" s="2" t="s">
        <v>411</v>
      </c>
      <c r="E3318" s="114">
        <v>2</v>
      </c>
      <c r="F3318" s="23">
        <f>VLOOKUP(B3318,'BASE DE DATOS'!$A$5:$E$997,5,FALSE)</f>
        <v>350</v>
      </c>
      <c r="G3318" s="104">
        <v>0</v>
      </c>
      <c r="H3318" s="252">
        <f>IF(G3318&gt;0,(G3318*F3318*E3318),(F3318*E3318))</f>
        <v>700</v>
      </c>
    </row>
    <row r="3319" spans="1:9" x14ac:dyDescent="0.2">
      <c r="A3319" s="939"/>
      <c r="B3319" s="241" t="s">
        <v>1347</v>
      </c>
      <c r="C3319" s="3" t="s">
        <v>2856</v>
      </c>
      <c r="D3319" s="2" t="s">
        <v>405</v>
      </c>
      <c r="E3319" s="114">
        <v>1</v>
      </c>
      <c r="F3319" s="23">
        <f>VLOOKUP(B3319,'BASE DE DATOS'!$A$5:$E$997,5,FALSE)</f>
        <v>290</v>
      </c>
      <c r="G3319" s="104">
        <f>1/50</f>
        <v>0.02</v>
      </c>
      <c r="H3319" s="252">
        <f>IF(G3319&gt;0,(G3319*F3319*E3319),(F3319*E3319))</f>
        <v>5.8</v>
      </c>
    </row>
    <row r="3320" spans="1:9" ht="13.15" customHeight="1" x14ac:dyDescent="0.2">
      <c r="A3320" s="939"/>
      <c r="B3320" s="241" t="s">
        <v>1462</v>
      </c>
      <c r="C3320" s="3" t="s">
        <v>1</v>
      </c>
      <c r="D3320" s="2" t="s">
        <v>411</v>
      </c>
      <c r="E3320" s="114">
        <v>6.0000000000000001E-3</v>
      </c>
      <c r="F3320" s="23">
        <f>VLOOKUP(B3320,'BASE DE DATOS'!$A$5:$E$997,5,FALSE)</f>
        <v>46900</v>
      </c>
      <c r="G3320" s="104">
        <v>1.03</v>
      </c>
      <c r="H3320" s="252">
        <f t="shared" si="303"/>
        <v>289.84199999999998</v>
      </c>
    </row>
    <row r="3321" spans="1:9" x14ac:dyDescent="0.2">
      <c r="A3321" s="939"/>
      <c r="B3321" s="241" t="s">
        <v>1466</v>
      </c>
      <c r="C3321" s="3" t="s">
        <v>3841</v>
      </c>
      <c r="D3321" s="2" t="s">
        <v>411</v>
      </c>
      <c r="E3321" s="114">
        <v>1</v>
      </c>
      <c r="F3321" s="23">
        <f>VLOOKUP(B3321,'BASE DE DATOS'!$A$5:$E$997,5,FALSE)</f>
        <v>79900</v>
      </c>
      <c r="G3321" s="104">
        <v>0</v>
      </c>
      <c r="H3321" s="252">
        <f>IF(G3321&gt;0,(G3321*F3321*E3321),(F3321*E3321))</f>
        <v>79900</v>
      </c>
    </row>
    <row r="3322" spans="1:9" x14ac:dyDescent="0.2">
      <c r="A3322" s="939"/>
      <c r="B3322" s="241" t="s">
        <v>1701</v>
      </c>
      <c r="C3322" s="3" t="s">
        <v>2071</v>
      </c>
      <c r="D3322" s="2" t="s">
        <v>411</v>
      </c>
      <c r="E3322" s="114">
        <v>6.0000000000000001E-3</v>
      </c>
      <c r="F3322" s="23">
        <f>VLOOKUP(B3322,'BASE DE DATOS'!$A$5:$E$997,5,FALSE)</f>
        <v>80900</v>
      </c>
      <c r="G3322" s="104">
        <v>1.03</v>
      </c>
      <c r="H3322" s="252">
        <f t="shared" si="303"/>
        <v>499.96199999999999</v>
      </c>
    </row>
    <row r="3323" spans="1:9" x14ac:dyDescent="0.2">
      <c r="A3323" s="939"/>
      <c r="B3323" s="241" t="s">
        <v>1780</v>
      </c>
      <c r="C3323" s="3" t="s">
        <v>4</v>
      </c>
      <c r="D3323" s="2" t="s">
        <v>411</v>
      </c>
      <c r="E3323" s="114">
        <v>2</v>
      </c>
      <c r="F3323" s="23">
        <f>VLOOKUP(B3323,'BASE DE DATOS'!$A$5:$E$997,5,FALSE)</f>
        <v>8900</v>
      </c>
      <c r="G3323" s="104">
        <v>0</v>
      </c>
      <c r="H3323" s="252">
        <f t="shared" si="303"/>
        <v>17800</v>
      </c>
    </row>
    <row r="3324" spans="1:9" x14ac:dyDescent="0.2">
      <c r="A3324" s="81" t="s">
        <v>2555</v>
      </c>
      <c r="B3324" s="241" t="s">
        <v>599</v>
      </c>
      <c r="C3324" s="3" t="s">
        <v>600</v>
      </c>
      <c r="D3324" s="2" t="s">
        <v>585</v>
      </c>
      <c r="E3324" s="114">
        <v>1</v>
      </c>
      <c r="F3324" s="23">
        <f>VLOOKUP(B3324,'BASE DE DATOS'!$A$5:$E$997,5,FALSE)</f>
        <v>159623</v>
      </c>
      <c r="G3324" s="104">
        <f>1/6</f>
        <v>0.16666666666666666</v>
      </c>
      <c r="H3324" s="252">
        <f t="shared" si="303"/>
        <v>26603.833333333332</v>
      </c>
    </row>
    <row r="3325" spans="1:9" ht="13.5" thickBot="1" x14ac:dyDescent="0.25">
      <c r="A3325" s="94" t="s">
        <v>293</v>
      </c>
      <c r="B3325" s="528" t="s">
        <v>269</v>
      </c>
      <c r="C3325" s="108" t="s">
        <v>284</v>
      </c>
      <c r="D3325" s="109" t="s">
        <v>586</v>
      </c>
      <c r="E3325" s="200">
        <v>0.1</v>
      </c>
      <c r="F3325" s="110">
        <f>H3324</f>
        <v>26603.833333333332</v>
      </c>
      <c r="G3325" s="156">
        <v>0</v>
      </c>
      <c r="H3325" s="479">
        <f t="shared" si="303"/>
        <v>2660.3833333333332</v>
      </c>
    </row>
    <row r="3326" spans="1:9" s="42" customFormat="1" ht="15" x14ac:dyDescent="0.2">
      <c r="A3326" s="67" t="s">
        <v>1046</v>
      </c>
      <c r="B3326" s="560"/>
      <c r="C3326" s="415" t="s">
        <v>541</v>
      </c>
      <c r="D3326" s="441" t="s">
        <v>411</v>
      </c>
      <c r="E3326" s="395"/>
      <c r="F3326" s="391">
        <f>ROUND(SUM(H3326:H3329),0)</f>
        <v>39523</v>
      </c>
      <c r="G3326" s="437"/>
      <c r="H3326" s="442"/>
      <c r="I3326" s="738"/>
    </row>
    <row r="3327" spans="1:9" x14ac:dyDescent="0.2">
      <c r="A3327" s="82" t="s">
        <v>382</v>
      </c>
      <c r="B3327" s="241" t="s">
        <v>1588</v>
      </c>
      <c r="C3327" s="3" t="s">
        <v>541</v>
      </c>
      <c r="D3327" s="2" t="s">
        <v>411</v>
      </c>
      <c r="E3327" s="196">
        <v>1</v>
      </c>
      <c r="F3327" s="23">
        <f>VLOOKUP(B3327,'BASE DE DATOS'!$A$5:$E$997,5,FALSE)</f>
        <v>20900</v>
      </c>
      <c r="G3327" s="104">
        <v>0</v>
      </c>
      <c r="H3327" s="252">
        <f t="shared" si="303"/>
        <v>20900</v>
      </c>
    </row>
    <row r="3328" spans="1:9" x14ac:dyDescent="0.2">
      <c r="A3328" s="81" t="s">
        <v>2555</v>
      </c>
      <c r="B3328" s="241" t="s">
        <v>644</v>
      </c>
      <c r="C3328" s="3" t="s">
        <v>645</v>
      </c>
      <c r="D3328" s="2" t="s">
        <v>585</v>
      </c>
      <c r="E3328" s="196">
        <v>1</v>
      </c>
      <c r="F3328" s="23">
        <f>VLOOKUP(B3328,'BASE DE DATOS'!$A$5:$E$997,5,FALSE)</f>
        <v>248302</v>
      </c>
      <c r="G3328" s="104">
        <f>1/20</f>
        <v>0.05</v>
      </c>
      <c r="H3328" s="252">
        <f t="shared" si="303"/>
        <v>12415.1</v>
      </c>
    </row>
    <row r="3329" spans="1:9" ht="13.5" thickBot="1" x14ac:dyDescent="0.25">
      <c r="A3329" s="94" t="s">
        <v>293</v>
      </c>
      <c r="B3329" s="528" t="s">
        <v>269</v>
      </c>
      <c r="C3329" s="108" t="s">
        <v>284</v>
      </c>
      <c r="D3329" s="109" t="s">
        <v>586</v>
      </c>
      <c r="E3329" s="203">
        <v>0.5</v>
      </c>
      <c r="F3329" s="110">
        <f>H3328</f>
        <v>12415.1</v>
      </c>
      <c r="G3329" s="156">
        <v>0</v>
      </c>
      <c r="H3329" s="479">
        <f t="shared" si="303"/>
        <v>6207.55</v>
      </c>
    </row>
    <row r="3330" spans="1:9" s="42" customFormat="1" ht="15" x14ac:dyDescent="0.2">
      <c r="A3330" s="67" t="s">
        <v>1047</v>
      </c>
      <c r="B3330" s="560"/>
      <c r="C3330" s="415" t="s">
        <v>490</v>
      </c>
      <c r="D3330" s="441" t="s">
        <v>411</v>
      </c>
      <c r="E3330" s="395"/>
      <c r="F3330" s="391">
        <f>ROUND(SUM(H3330:H3337),0)</f>
        <v>47751</v>
      </c>
      <c r="G3330" s="437"/>
      <c r="H3330" s="442"/>
      <c r="I3330" s="738"/>
    </row>
    <row r="3331" spans="1:9" x14ac:dyDescent="0.2">
      <c r="A3331" s="939" t="s">
        <v>295</v>
      </c>
      <c r="B3331" s="241" t="s">
        <v>1270</v>
      </c>
      <c r="C3331" s="3" t="s">
        <v>226</v>
      </c>
      <c r="D3331" s="2" t="s">
        <v>411</v>
      </c>
      <c r="E3331" s="114">
        <v>1</v>
      </c>
      <c r="F3331" s="23">
        <f>VLOOKUP(B3331,'BASE DE DATOS'!$A$5:$E$997,5,FALSE)</f>
        <v>350</v>
      </c>
      <c r="G3331" s="104">
        <v>0</v>
      </c>
      <c r="H3331" s="252">
        <f>IF(G3331&gt;0,(G3331*F3331*E3331),(F3331*E3331))</f>
        <v>350</v>
      </c>
    </row>
    <row r="3332" spans="1:9" x14ac:dyDescent="0.2">
      <c r="A3332" s="939"/>
      <c r="B3332" s="241" t="s">
        <v>1347</v>
      </c>
      <c r="C3332" s="3" t="s">
        <v>2856</v>
      </c>
      <c r="D3332" s="2" t="s">
        <v>405</v>
      </c>
      <c r="E3332" s="114">
        <v>1</v>
      </c>
      <c r="F3332" s="23">
        <f>VLOOKUP(B3332,'BASE DE DATOS'!$A$5:$E$997,5,FALSE)</f>
        <v>290</v>
      </c>
      <c r="G3332" s="104">
        <f>1/50</f>
        <v>0.02</v>
      </c>
      <c r="H3332" s="252">
        <f>IF(G3332&gt;0,(G3332*F3332*E3332),(F3332*E3332))</f>
        <v>5.8</v>
      </c>
    </row>
    <row r="3333" spans="1:9" x14ac:dyDescent="0.2">
      <c r="A3333" s="939"/>
      <c r="B3333" s="241" t="s">
        <v>1462</v>
      </c>
      <c r="C3333" s="3" t="s">
        <v>1</v>
      </c>
      <c r="D3333" s="2" t="s">
        <v>411</v>
      </c>
      <c r="E3333" s="114">
        <v>6.0000000000000001E-3</v>
      </c>
      <c r="F3333" s="23">
        <f>VLOOKUP(B3333,'BASE DE DATOS'!$A$5:$E$997,5,FALSE)</f>
        <v>46900</v>
      </c>
      <c r="G3333" s="104">
        <v>1.03</v>
      </c>
      <c r="H3333" s="252">
        <f t="shared" si="303"/>
        <v>289.84199999999998</v>
      </c>
    </row>
    <row r="3334" spans="1:9" x14ac:dyDescent="0.2">
      <c r="A3334" s="939"/>
      <c r="B3334" s="241" t="s">
        <v>1469</v>
      </c>
      <c r="C3334" s="3" t="s">
        <v>490</v>
      </c>
      <c r="D3334" s="2" t="s">
        <v>411</v>
      </c>
      <c r="E3334" s="114">
        <v>1</v>
      </c>
      <c r="F3334" s="23">
        <f>VLOOKUP(B3334,'BASE DE DATOS'!$A$5:$E$997,5,FALSE)</f>
        <v>34900</v>
      </c>
      <c r="G3334" s="104">
        <v>0</v>
      </c>
      <c r="H3334" s="252">
        <f>IF(G3334&gt;0,(G3334*F3334*E3334),(F3334*E3334))</f>
        <v>34900</v>
      </c>
    </row>
    <row r="3335" spans="1:9" x14ac:dyDescent="0.2">
      <c r="A3335" s="939"/>
      <c r="B3335" s="241" t="s">
        <v>1701</v>
      </c>
      <c r="C3335" s="3" t="s">
        <v>2071</v>
      </c>
      <c r="D3335" s="2" t="s">
        <v>411</v>
      </c>
      <c r="E3335" s="114">
        <v>6.0000000000000001E-3</v>
      </c>
      <c r="F3335" s="23">
        <f>VLOOKUP(B3335,'BASE DE DATOS'!$A$5:$E$997,5,FALSE)</f>
        <v>80900</v>
      </c>
      <c r="G3335" s="104">
        <v>1.03</v>
      </c>
      <c r="H3335" s="252">
        <f t="shared" si="303"/>
        <v>499.96199999999999</v>
      </c>
    </row>
    <row r="3336" spans="1:9" x14ac:dyDescent="0.2">
      <c r="A3336" s="81" t="s">
        <v>2555</v>
      </c>
      <c r="B3336" s="241" t="s">
        <v>599</v>
      </c>
      <c r="C3336" s="3" t="s">
        <v>600</v>
      </c>
      <c r="D3336" s="2" t="s">
        <v>585</v>
      </c>
      <c r="E3336" s="114">
        <v>1</v>
      </c>
      <c r="F3336" s="23">
        <f>VLOOKUP(B3336,'BASE DE DATOS'!$A$5:$E$997,5,FALSE)</f>
        <v>159623</v>
      </c>
      <c r="G3336" s="104">
        <f>1/15</f>
        <v>6.6666666666666666E-2</v>
      </c>
      <c r="H3336" s="252">
        <f t="shared" si="303"/>
        <v>10641.533333333333</v>
      </c>
    </row>
    <row r="3337" spans="1:9" ht="13.5" thickBot="1" x14ac:dyDescent="0.25">
      <c r="A3337" s="94" t="s">
        <v>293</v>
      </c>
      <c r="B3337" s="528" t="s">
        <v>269</v>
      </c>
      <c r="C3337" s="108" t="s">
        <v>284</v>
      </c>
      <c r="D3337" s="109" t="s">
        <v>586</v>
      </c>
      <c r="E3337" s="200">
        <v>0.1</v>
      </c>
      <c r="F3337" s="110">
        <f>H3336</f>
        <v>10641.533333333333</v>
      </c>
      <c r="G3337" s="156">
        <v>0</v>
      </c>
      <c r="H3337" s="479">
        <f t="shared" si="303"/>
        <v>1064.1533333333334</v>
      </c>
    </row>
    <row r="3338" spans="1:9" s="42" customFormat="1" ht="15" x14ac:dyDescent="0.2">
      <c r="A3338" s="67" t="s">
        <v>3384</v>
      </c>
      <c r="B3338" s="560"/>
      <c r="C3338" s="415" t="s">
        <v>491</v>
      </c>
      <c r="D3338" s="441" t="s">
        <v>411</v>
      </c>
      <c r="E3338" s="395"/>
      <c r="F3338" s="391">
        <f>ROUND(SUM(H3338:H3345),0)</f>
        <v>27811</v>
      </c>
      <c r="G3338" s="437"/>
      <c r="H3338" s="442"/>
      <c r="I3338" s="738">
        <v>58</v>
      </c>
    </row>
    <row r="3339" spans="1:9" x14ac:dyDescent="0.2">
      <c r="A3339" s="939" t="s">
        <v>295</v>
      </c>
      <c r="B3339" s="241" t="s">
        <v>1270</v>
      </c>
      <c r="C3339" s="3" t="s">
        <v>226</v>
      </c>
      <c r="D3339" s="2" t="s">
        <v>411</v>
      </c>
      <c r="E3339" s="114">
        <v>1</v>
      </c>
      <c r="F3339" s="23">
        <f>VLOOKUP(B3339,'BASE DE DATOS'!$A$5:$E$997,5,FALSE)</f>
        <v>350</v>
      </c>
      <c r="G3339" s="104">
        <v>0</v>
      </c>
      <c r="H3339" s="252">
        <f>IF(G3339&gt;0,(G3339*F3339*E3339),(F3339*E3339))</f>
        <v>350</v>
      </c>
    </row>
    <row r="3340" spans="1:9" x14ac:dyDescent="0.2">
      <c r="A3340" s="939"/>
      <c r="B3340" s="241" t="s">
        <v>1347</v>
      </c>
      <c r="C3340" s="3" t="s">
        <v>2856</v>
      </c>
      <c r="D3340" s="2" t="s">
        <v>405</v>
      </c>
      <c r="E3340" s="114">
        <v>1</v>
      </c>
      <c r="F3340" s="23">
        <f>VLOOKUP(B3340,'BASE DE DATOS'!$A$5:$E$997,5,FALSE)</f>
        <v>290</v>
      </c>
      <c r="G3340" s="104">
        <f>1/50</f>
        <v>0.02</v>
      </c>
      <c r="H3340" s="252">
        <f>IF(G3340&gt;0,(G3340*F3340*E3340),(F3340*E3340))</f>
        <v>5.8</v>
      </c>
    </row>
    <row r="3341" spans="1:9" x14ac:dyDescent="0.2">
      <c r="A3341" s="939"/>
      <c r="B3341" s="241" t="s">
        <v>1462</v>
      </c>
      <c r="C3341" s="3" t="s">
        <v>1</v>
      </c>
      <c r="D3341" s="2" t="s">
        <v>411</v>
      </c>
      <c r="E3341" s="114">
        <v>6.0000000000000001E-3</v>
      </c>
      <c r="F3341" s="23">
        <f>VLOOKUP(B3341,'BASE DE DATOS'!$A$5:$E$997,5,FALSE)</f>
        <v>46900</v>
      </c>
      <c r="G3341" s="104">
        <v>1.03</v>
      </c>
      <c r="H3341" s="252">
        <f>IF(G3341&gt;0,(G3341*F3341*E3341),(F3341*E3341))</f>
        <v>289.84199999999998</v>
      </c>
    </row>
    <row r="3342" spans="1:9" x14ac:dyDescent="0.2">
      <c r="A3342" s="939"/>
      <c r="B3342" s="241" t="s">
        <v>1470</v>
      </c>
      <c r="C3342" s="3" t="s">
        <v>233</v>
      </c>
      <c r="D3342" s="2" t="s">
        <v>411</v>
      </c>
      <c r="E3342" s="114">
        <v>1</v>
      </c>
      <c r="F3342" s="23">
        <f>VLOOKUP(B3342,'BASE DE DATOS'!$A$5:$E$997,5,FALSE)</f>
        <v>14960</v>
      </c>
      <c r="G3342" s="104">
        <v>0</v>
      </c>
      <c r="H3342" s="252">
        <f t="shared" si="303"/>
        <v>14960</v>
      </c>
    </row>
    <row r="3343" spans="1:9" x14ac:dyDescent="0.2">
      <c r="A3343" s="939"/>
      <c r="B3343" s="241" t="s">
        <v>1701</v>
      </c>
      <c r="C3343" s="3" t="s">
        <v>2071</v>
      </c>
      <c r="D3343" s="2" t="s">
        <v>411</v>
      </c>
      <c r="E3343" s="114">
        <v>6.0000000000000001E-3</v>
      </c>
      <c r="F3343" s="23">
        <f>VLOOKUP(B3343,'BASE DE DATOS'!$A$5:$E$997,5,FALSE)</f>
        <v>80900</v>
      </c>
      <c r="G3343" s="104">
        <v>1.03</v>
      </c>
      <c r="H3343" s="252">
        <f t="shared" si="303"/>
        <v>499.96199999999999</v>
      </c>
    </row>
    <row r="3344" spans="1:9" x14ac:dyDescent="0.2">
      <c r="A3344" s="81" t="s">
        <v>2555</v>
      </c>
      <c r="B3344" s="241" t="s">
        <v>599</v>
      </c>
      <c r="C3344" s="3" t="s">
        <v>600</v>
      </c>
      <c r="D3344" s="2" t="s">
        <v>585</v>
      </c>
      <c r="E3344" s="114">
        <v>1</v>
      </c>
      <c r="F3344" s="23">
        <f>VLOOKUP(B3344,'BASE DE DATOS'!$A$5:$E$997,5,FALSE)</f>
        <v>159623</v>
      </c>
      <c r="G3344" s="104">
        <f>1/15</f>
        <v>6.6666666666666666E-2</v>
      </c>
      <c r="H3344" s="252">
        <f t="shared" si="303"/>
        <v>10641.533333333333</v>
      </c>
    </row>
    <row r="3345" spans="1:9" ht="13.5" thickBot="1" x14ac:dyDescent="0.25">
      <c r="A3345" s="94" t="s">
        <v>293</v>
      </c>
      <c r="B3345" s="528" t="s">
        <v>269</v>
      </c>
      <c r="C3345" s="108" t="s">
        <v>284</v>
      </c>
      <c r="D3345" s="109" t="s">
        <v>586</v>
      </c>
      <c r="E3345" s="200">
        <v>0.1</v>
      </c>
      <c r="F3345" s="110">
        <f>H3344</f>
        <v>10641.533333333333</v>
      </c>
      <c r="G3345" s="156">
        <v>0</v>
      </c>
      <c r="H3345" s="252">
        <f t="shared" si="303"/>
        <v>1064.1533333333334</v>
      </c>
    </row>
    <row r="3346" spans="1:9" ht="16.5" thickBot="1" x14ac:dyDescent="0.25">
      <c r="A3346" s="1028" t="s">
        <v>3584</v>
      </c>
      <c r="B3346" s="1028"/>
      <c r="C3346" s="1028"/>
      <c r="D3346" s="1028"/>
      <c r="E3346" s="1028"/>
      <c r="F3346" s="1029"/>
      <c r="G3346" s="1028"/>
      <c r="H3346" s="1030"/>
    </row>
    <row r="3347" spans="1:9" s="42" customFormat="1" ht="15" x14ac:dyDescent="0.2">
      <c r="A3347" s="67" t="s">
        <v>3385</v>
      </c>
      <c r="B3347" s="527"/>
      <c r="C3347" s="388" t="s">
        <v>3439</v>
      </c>
      <c r="D3347" s="389" t="s">
        <v>405</v>
      </c>
      <c r="E3347" s="390"/>
      <c r="F3347" s="391">
        <f>ROUND(SUM(H3347:H3353),0)</f>
        <v>17607</v>
      </c>
      <c r="G3347" s="392"/>
      <c r="H3347" s="393"/>
      <c r="I3347" s="738"/>
    </row>
    <row r="3348" spans="1:9" x14ac:dyDescent="0.2">
      <c r="A3348" s="936" t="s">
        <v>382</v>
      </c>
      <c r="B3348" s="241" t="s">
        <v>1637</v>
      </c>
      <c r="C3348" s="3" t="s">
        <v>564</v>
      </c>
      <c r="D3348" s="2" t="s">
        <v>405</v>
      </c>
      <c r="E3348" s="114">
        <v>1</v>
      </c>
      <c r="F3348" s="23">
        <f>VLOOKUP(B3348,'BASE DE DATOS'!$A$5:$E$997,5,FALSE)</f>
        <v>8484</v>
      </c>
      <c r="G3348" s="104">
        <v>1.05</v>
      </c>
      <c r="H3348" s="252">
        <f t="shared" ref="H3348:H3412" si="304">IF(G3348&gt;0,(G3348*F3348*E3348),(F3348*E3348))</f>
        <v>8908.2000000000007</v>
      </c>
    </row>
    <row r="3349" spans="1:9" x14ac:dyDescent="0.2">
      <c r="A3349" s="936"/>
      <c r="B3349" s="241" t="s">
        <v>1255</v>
      </c>
      <c r="C3349" s="3" t="s">
        <v>241</v>
      </c>
      <c r="D3349" s="2" t="s">
        <v>217</v>
      </c>
      <c r="E3349" s="114">
        <v>0.17</v>
      </c>
      <c r="F3349" s="23">
        <f>H3348</f>
        <v>8908.2000000000007</v>
      </c>
      <c r="G3349" s="104">
        <v>0</v>
      </c>
      <c r="H3349" s="252">
        <f t="shared" si="304"/>
        <v>1514.3940000000002</v>
      </c>
    </row>
    <row r="3350" spans="1:9" x14ac:dyDescent="0.2">
      <c r="A3350" s="936"/>
      <c r="B3350" s="241" t="s">
        <v>1462</v>
      </c>
      <c r="C3350" s="3" t="s">
        <v>1</v>
      </c>
      <c r="D3350" s="2" t="s">
        <v>411</v>
      </c>
      <c r="E3350" s="114">
        <v>0.02</v>
      </c>
      <c r="F3350" s="23">
        <f>VLOOKUP(B3350,'BASE DE DATOS'!$A$5:$E$997,5,FALSE)</f>
        <v>46900</v>
      </c>
      <c r="G3350" s="104">
        <v>1.03</v>
      </c>
      <c r="H3350" s="252">
        <f t="shared" si="304"/>
        <v>966.14</v>
      </c>
    </row>
    <row r="3351" spans="1:9" x14ac:dyDescent="0.2">
      <c r="A3351" s="936"/>
      <c r="B3351" s="241" t="s">
        <v>1701</v>
      </c>
      <c r="C3351" s="3" t="s">
        <v>2071</v>
      </c>
      <c r="D3351" s="2" t="s">
        <v>411</v>
      </c>
      <c r="E3351" s="114">
        <v>0.02</v>
      </c>
      <c r="F3351" s="23">
        <f>VLOOKUP(B3351,'BASE DE DATOS'!$A$5:$E$997,5,FALSE)</f>
        <v>80900</v>
      </c>
      <c r="G3351" s="104">
        <v>1.03</v>
      </c>
      <c r="H3351" s="252">
        <f t="shared" si="304"/>
        <v>1666.54</v>
      </c>
    </row>
    <row r="3352" spans="1:9" x14ac:dyDescent="0.2">
      <c r="A3352" s="81" t="s">
        <v>2555</v>
      </c>
      <c r="B3352" s="241" t="s">
        <v>644</v>
      </c>
      <c r="C3352" s="3" t="s">
        <v>645</v>
      </c>
      <c r="D3352" s="2" t="s">
        <v>585</v>
      </c>
      <c r="E3352" s="114">
        <v>1</v>
      </c>
      <c r="F3352" s="23">
        <f>VLOOKUP(B3352,'BASE DE DATOS'!$A$5:$E$997,5,FALSE)</f>
        <v>248302</v>
      </c>
      <c r="G3352" s="104">
        <f>1/60</f>
        <v>1.6666666666666666E-2</v>
      </c>
      <c r="H3352" s="252">
        <f t="shared" si="304"/>
        <v>4138.3666666666668</v>
      </c>
    </row>
    <row r="3353" spans="1:9" ht="13.5" thickBot="1" x14ac:dyDescent="0.25">
      <c r="A3353" s="94" t="s">
        <v>293</v>
      </c>
      <c r="B3353" s="528" t="s">
        <v>269</v>
      </c>
      <c r="C3353" s="108" t="s">
        <v>284</v>
      </c>
      <c r="D3353" s="109" t="s">
        <v>586</v>
      </c>
      <c r="E3353" s="200">
        <v>0.1</v>
      </c>
      <c r="F3353" s="110">
        <f>H3352</f>
        <v>4138.3666666666668</v>
      </c>
      <c r="G3353" s="156">
        <v>0</v>
      </c>
      <c r="H3353" s="479">
        <f t="shared" si="304"/>
        <v>413.8366666666667</v>
      </c>
    </row>
    <row r="3354" spans="1:9" s="42" customFormat="1" ht="15" x14ac:dyDescent="0.2">
      <c r="A3354" s="67" t="s">
        <v>3386</v>
      </c>
      <c r="B3354" s="529"/>
      <c r="C3354" s="388" t="s">
        <v>3440</v>
      </c>
      <c r="D3354" s="389" t="s">
        <v>405</v>
      </c>
      <c r="E3354" s="390"/>
      <c r="F3354" s="391">
        <f>ROUND(SUM(H3354:H3360),0)</f>
        <v>23633</v>
      </c>
      <c r="G3354" s="392"/>
      <c r="H3354" s="393"/>
      <c r="I3354" s="738"/>
    </row>
    <row r="3355" spans="1:9" x14ac:dyDescent="0.2">
      <c r="A3355" s="936" t="s">
        <v>382</v>
      </c>
      <c r="B3355" s="241" t="s">
        <v>1638</v>
      </c>
      <c r="C3355" s="3" t="s">
        <v>565</v>
      </c>
      <c r="D3355" s="2" t="s">
        <v>405</v>
      </c>
      <c r="E3355" s="114">
        <v>1</v>
      </c>
      <c r="F3355" s="23">
        <f>VLOOKUP(B3355,'BASE DE DATOS'!$A$5:$E$997,5,FALSE)</f>
        <v>12317</v>
      </c>
      <c r="G3355" s="104">
        <v>1.05</v>
      </c>
      <c r="H3355" s="252">
        <f t="shared" si="304"/>
        <v>12932.85</v>
      </c>
    </row>
    <row r="3356" spans="1:9" x14ac:dyDescent="0.2">
      <c r="A3356" s="936"/>
      <c r="B3356" s="241" t="s">
        <v>1255</v>
      </c>
      <c r="C3356" s="3" t="s">
        <v>241</v>
      </c>
      <c r="D3356" s="2" t="s">
        <v>217</v>
      </c>
      <c r="E3356" s="114">
        <v>0.17</v>
      </c>
      <c r="F3356" s="23">
        <f>H3355</f>
        <v>12932.85</v>
      </c>
      <c r="G3356" s="104">
        <v>0</v>
      </c>
      <c r="H3356" s="252">
        <f t="shared" si="304"/>
        <v>2198.5845000000004</v>
      </c>
    </row>
    <row r="3357" spans="1:9" x14ac:dyDescent="0.2">
      <c r="A3357" s="936"/>
      <c r="B3357" s="241" t="s">
        <v>1462</v>
      </c>
      <c r="C3357" s="3" t="s">
        <v>1</v>
      </c>
      <c r="D3357" s="2" t="s">
        <v>411</v>
      </c>
      <c r="E3357" s="114">
        <v>0.03</v>
      </c>
      <c r="F3357" s="23">
        <f>VLOOKUP(B3357,'BASE DE DATOS'!$A$5:$E$997,5,FALSE)</f>
        <v>46900</v>
      </c>
      <c r="G3357" s="104">
        <v>1.03</v>
      </c>
      <c r="H3357" s="252">
        <f t="shared" si="304"/>
        <v>1449.21</v>
      </c>
    </row>
    <row r="3358" spans="1:9" x14ac:dyDescent="0.2">
      <c r="A3358" s="936"/>
      <c r="B3358" s="241" t="s">
        <v>1701</v>
      </c>
      <c r="C3358" s="3" t="s">
        <v>2071</v>
      </c>
      <c r="D3358" s="2" t="s">
        <v>411</v>
      </c>
      <c r="E3358" s="114">
        <v>0.03</v>
      </c>
      <c r="F3358" s="23">
        <f>VLOOKUP(B3358,'BASE DE DATOS'!$A$5:$E$997,5,FALSE)</f>
        <v>80900</v>
      </c>
      <c r="G3358" s="104">
        <v>1.03</v>
      </c>
      <c r="H3358" s="252">
        <f t="shared" si="304"/>
        <v>2499.81</v>
      </c>
    </row>
    <row r="3359" spans="1:9" x14ac:dyDescent="0.2">
      <c r="A3359" s="81" t="s">
        <v>2555</v>
      </c>
      <c r="B3359" s="241" t="s">
        <v>644</v>
      </c>
      <c r="C3359" s="3" t="s">
        <v>645</v>
      </c>
      <c r="D3359" s="2" t="s">
        <v>585</v>
      </c>
      <c r="E3359" s="114">
        <v>1</v>
      </c>
      <c r="F3359" s="23">
        <f>VLOOKUP(B3359,'BASE DE DATOS'!$A$5:$E$997,5,FALSE)</f>
        <v>248302</v>
      </c>
      <c r="G3359" s="104">
        <f>1/60</f>
        <v>1.6666666666666666E-2</v>
      </c>
      <c r="H3359" s="252">
        <f t="shared" si="304"/>
        <v>4138.3666666666668</v>
      </c>
    </row>
    <row r="3360" spans="1:9" ht="13.5" thickBot="1" x14ac:dyDescent="0.25">
      <c r="A3360" s="94" t="s">
        <v>293</v>
      </c>
      <c r="B3360" s="528" t="s">
        <v>269</v>
      </c>
      <c r="C3360" s="108" t="s">
        <v>284</v>
      </c>
      <c r="D3360" s="109" t="s">
        <v>586</v>
      </c>
      <c r="E3360" s="200">
        <v>0.1</v>
      </c>
      <c r="F3360" s="110">
        <f>H3359</f>
        <v>4138.3666666666668</v>
      </c>
      <c r="G3360" s="156">
        <v>0</v>
      </c>
      <c r="H3360" s="479">
        <f t="shared" si="304"/>
        <v>413.8366666666667</v>
      </c>
    </row>
    <row r="3361" spans="1:9" s="42" customFormat="1" ht="15" x14ac:dyDescent="0.2">
      <c r="A3361" s="67" t="s">
        <v>3387</v>
      </c>
      <c r="B3361" s="529"/>
      <c r="C3361" s="388" t="s">
        <v>3441</v>
      </c>
      <c r="D3361" s="389" t="s">
        <v>405</v>
      </c>
      <c r="E3361" s="390"/>
      <c r="F3361" s="391">
        <f>ROUND(SUM(H3361:H3368),0)</f>
        <v>30061</v>
      </c>
      <c r="G3361" s="392"/>
      <c r="H3361" s="393"/>
      <c r="I3361" s="738"/>
    </row>
    <row r="3362" spans="1:9" x14ac:dyDescent="0.2">
      <c r="A3362" s="936" t="s">
        <v>382</v>
      </c>
      <c r="B3362" s="241" t="s">
        <v>1639</v>
      </c>
      <c r="C3362" s="3" t="s">
        <v>566</v>
      </c>
      <c r="D3362" s="2" t="s">
        <v>405</v>
      </c>
      <c r="E3362" s="114">
        <v>1</v>
      </c>
      <c r="F3362" s="23">
        <f>VLOOKUP(B3362,'BASE DE DATOS'!$A$5:$E$997,5,FALSE)</f>
        <v>16141.666666666666</v>
      </c>
      <c r="G3362" s="104">
        <v>1.05</v>
      </c>
      <c r="H3362" s="252">
        <f t="shared" si="304"/>
        <v>16948.75</v>
      </c>
    </row>
    <row r="3363" spans="1:9" x14ac:dyDescent="0.2">
      <c r="A3363" s="936"/>
      <c r="B3363" s="241" t="s">
        <v>1255</v>
      </c>
      <c r="C3363" s="3" t="s">
        <v>241</v>
      </c>
      <c r="D3363" s="2" t="s">
        <v>217</v>
      </c>
      <c r="E3363" s="114">
        <v>0.17</v>
      </c>
      <c r="F3363" s="23">
        <f>H3362</f>
        <v>16948.75</v>
      </c>
      <c r="G3363" s="104">
        <v>0</v>
      </c>
      <c r="H3363" s="252">
        <f t="shared" si="304"/>
        <v>2881.2875000000004</v>
      </c>
    </row>
    <row r="3364" spans="1:9" x14ac:dyDescent="0.2">
      <c r="A3364" s="936"/>
      <c r="B3364" s="241" t="s">
        <v>1462</v>
      </c>
      <c r="C3364" s="3" t="s">
        <v>1</v>
      </c>
      <c r="D3364" s="2" t="s">
        <v>411</v>
      </c>
      <c r="E3364" s="114">
        <v>0.04</v>
      </c>
      <c r="F3364" s="23">
        <f>VLOOKUP(B3364,'BASE DE DATOS'!$A$5:$E$997,5,FALSE)</f>
        <v>46900</v>
      </c>
      <c r="G3364" s="104">
        <v>1.03</v>
      </c>
      <c r="H3364" s="252">
        <f t="shared" si="304"/>
        <v>1932.28</v>
      </c>
    </row>
    <row r="3365" spans="1:9" x14ac:dyDescent="0.2">
      <c r="A3365" s="936"/>
      <c r="B3365" s="241" t="s">
        <v>1701</v>
      </c>
      <c r="C3365" s="3" t="s">
        <v>2071</v>
      </c>
      <c r="D3365" s="2" t="s">
        <v>411</v>
      </c>
      <c r="E3365" s="114">
        <v>0.04</v>
      </c>
      <c r="F3365" s="23">
        <f>VLOOKUP(B3365,'BASE DE DATOS'!$A$5:$E$997,5,FALSE)</f>
        <v>80900</v>
      </c>
      <c r="G3365" s="104">
        <v>1.03</v>
      </c>
      <c r="H3365" s="252">
        <f t="shared" si="304"/>
        <v>3333.08</v>
      </c>
    </row>
    <row r="3366" spans="1:9" x14ac:dyDescent="0.2">
      <c r="A3366" s="81" t="s">
        <v>2555</v>
      </c>
      <c r="B3366" s="241" t="s">
        <v>644</v>
      </c>
      <c r="C3366" s="3" t="s">
        <v>645</v>
      </c>
      <c r="D3366" s="2" t="s">
        <v>585</v>
      </c>
      <c r="E3366" s="114">
        <v>1</v>
      </c>
      <c r="F3366" s="23">
        <f>VLOOKUP(B3366,'BASE DE DATOS'!$A$5:$E$997,5,FALSE)</f>
        <v>248302</v>
      </c>
      <c r="G3366" s="104">
        <f>1/60</f>
        <v>1.6666666666666666E-2</v>
      </c>
      <c r="H3366" s="252">
        <f t="shared" si="304"/>
        <v>4138.3666666666668</v>
      </c>
    </row>
    <row r="3367" spans="1:9" x14ac:dyDescent="0.2">
      <c r="A3367" s="937" t="s">
        <v>293</v>
      </c>
      <c r="B3367" s="241" t="s">
        <v>598</v>
      </c>
      <c r="C3367" s="3" t="s">
        <v>3362</v>
      </c>
      <c r="D3367" s="2" t="s">
        <v>586</v>
      </c>
      <c r="E3367" s="114">
        <v>0.1</v>
      </c>
      <c r="F3367" s="23">
        <f>H3366</f>
        <v>4138.3666666666668</v>
      </c>
      <c r="G3367" s="104">
        <v>0</v>
      </c>
      <c r="H3367" s="252">
        <f t="shared" si="304"/>
        <v>413.8366666666667</v>
      </c>
    </row>
    <row r="3368" spans="1:9" ht="13.5" thickBot="1" x14ac:dyDescent="0.25">
      <c r="A3368" s="938"/>
      <c r="B3368" s="528" t="s">
        <v>269</v>
      </c>
      <c r="C3368" s="108" t="s">
        <v>284</v>
      </c>
      <c r="D3368" s="109" t="s">
        <v>586</v>
      </c>
      <c r="E3368" s="200">
        <v>0.1</v>
      </c>
      <c r="F3368" s="110">
        <f>H3366</f>
        <v>4138.3666666666668</v>
      </c>
      <c r="G3368" s="156">
        <v>0</v>
      </c>
      <c r="H3368" s="479">
        <f t="shared" si="304"/>
        <v>413.8366666666667</v>
      </c>
    </row>
    <row r="3369" spans="1:9" s="42" customFormat="1" ht="15" x14ac:dyDescent="0.2">
      <c r="A3369" s="67" t="s">
        <v>3388</v>
      </c>
      <c r="B3369" s="529"/>
      <c r="C3369" s="388" t="s">
        <v>3442</v>
      </c>
      <c r="D3369" s="389" t="s">
        <v>405</v>
      </c>
      <c r="E3369" s="395"/>
      <c r="F3369" s="391">
        <f>ROUND(SUM(H3369:H3377),0)</f>
        <v>35349</v>
      </c>
      <c r="G3369" s="392"/>
      <c r="H3369" s="393"/>
      <c r="I3369" s="738"/>
    </row>
    <row r="3370" spans="1:9" x14ac:dyDescent="0.2">
      <c r="A3370" s="939" t="s">
        <v>295</v>
      </c>
      <c r="B3370" s="241" t="s">
        <v>1638</v>
      </c>
      <c r="C3370" s="3" t="s">
        <v>565</v>
      </c>
      <c r="D3370" s="2" t="s">
        <v>405</v>
      </c>
      <c r="E3370" s="114">
        <v>1</v>
      </c>
      <c r="F3370" s="23">
        <f>VLOOKUP(B3370,'BASE DE DATOS'!$A$5:$E$997,5,FALSE)</f>
        <v>12317</v>
      </c>
      <c r="G3370" s="104">
        <v>1.05</v>
      </c>
      <c r="H3370" s="252">
        <f t="shared" si="304"/>
        <v>12932.85</v>
      </c>
    </row>
    <row r="3371" spans="1:9" x14ac:dyDescent="0.2">
      <c r="A3371" s="939"/>
      <c r="B3371" s="241" t="s">
        <v>1255</v>
      </c>
      <c r="C3371" s="3" t="s">
        <v>241</v>
      </c>
      <c r="D3371" s="2" t="s">
        <v>217</v>
      </c>
      <c r="E3371" s="114">
        <v>0.17</v>
      </c>
      <c r="F3371" s="23">
        <f>H3370</f>
        <v>12932.85</v>
      </c>
      <c r="G3371" s="104">
        <v>0</v>
      </c>
      <c r="H3371" s="252">
        <f t="shared" si="304"/>
        <v>2198.5845000000004</v>
      </c>
    </row>
    <row r="3372" spans="1:9" x14ac:dyDescent="0.2">
      <c r="A3372" s="939"/>
      <c r="B3372" s="241" t="s">
        <v>1462</v>
      </c>
      <c r="C3372" s="3" t="s">
        <v>1</v>
      </c>
      <c r="D3372" s="2" t="s">
        <v>411</v>
      </c>
      <c r="E3372" s="114">
        <v>0.03</v>
      </c>
      <c r="F3372" s="23">
        <f>VLOOKUP(B3372,'BASE DE DATOS'!$A$5:$E$997,5,FALSE)</f>
        <v>46900</v>
      </c>
      <c r="G3372" s="104">
        <v>1.03</v>
      </c>
      <c r="H3372" s="252">
        <f>IF(G3372&gt;0,(G3372*F3372*E3372),(F3372*E3372))</f>
        <v>1449.21</v>
      </c>
    </row>
    <row r="3373" spans="1:9" x14ac:dyDescent="0.2">
      <c r="A3373" s="939"/>
      <c r="B3373" s="241" t="s">
        <v>1701</v>
      </c>
      <c r="C3373" s="3" t="s">
        <v>2071</v>
      </c>
      <c r="D3373" s="2" t="s">
        <v>411</v>
      </c>
      <c r="E3373" s="114">
        <v>0.03</v>
      </c>
      <c r="F3373" s="23">
        <f>VLOOKUP(B3373,'BASE DE DATOS'!$A$5:$E$997,5,FALSE)</f>
        <v>80900</v>
      </c>
      <c r="G3373" s="104">
        <v>1.03</v>
      </c>
      <c r="H3373" s="252">
        <f t="shared" si="304"/>
        <v>2499.81</v>
      </c>
    </row>
    <row r="3374" spans="1:9" x14ac:dyDescent="0.2">
      <c r="A3374" s="939"/>
      <c r="B3374" s="241" t="s">
        <v>1781</v>
      </c>
      <c r="C3374" s="3" t="s">
        <v>242</v>
      </c>
      <c r="D3374" s="2" t="s">
        <v>411</v>
      </c>
      <c r="E3374" s="114">
        <v>1.5</v>
      </c>
      <c r="F3374" s="23">
        <f>VLOOKUP(B3374,'BASE DE DATOS'!$A$5:$E$997,5,FALSE)</f>
        <v>2900</v>
      </c>
      <c r="G3374" s="104">
        <v>0</v>
      </c>
      <c r="H3374" s="252">
        <f>IF(G3374&gt;0,(G3374*F3374*E3374),(F3374*E3374))</f>
        <v>4350</v>
      </c>
    </row>
    <row r="3375" spans="1:9" x14ac:dyDescent="0.2">
      <c r="A3375" s="81" t="s">
        <v>2555</v>
      </c>
      <c r="B3375" s="241" t="s">
        <v>644</v>
      </c>
      <c r="C3375" s="3" t="s">
        <v>645</v>
      </c>
      <c r="D3375" s="2" t="s">
        <v>585</v>
      </c>
      <c r="E3375" s="114">
        <v>1</v>
      </c>
      <c r="F3375" s="23">
        <f>VLOOKUP(B3375,'BASE DE DATOS'!$A$5:$E$997,5,FALSE)</f>
        <v>248302</v>
      </c>
      <c r="G3375" s="104">
        <f>1/25</f>
        <v>0.04</v>
      </c>
      <c r="H3375" s="252">
        <f t="shared" si="304"/>
        <v>9932.08</v>
      </c>
    </row>
    <row r="3376" spans="1:9" x14ac:dyDescent="0.2">
      <c r="A3376" s="937" t="s">
        <v>293</v>
      </c>
      <c r="B3376" s="241" t="s">
        <v>598</v>
      </c>
      <c r="C3376" s="3" t="s">
        <v>3362</v>
      </c>
      <c r="D3376" s="2" t="s">
        <v>586</v>
      </c>
      <c r="E3376" s="114">
        <v>0.1</v>
      </c>
      <c r="F3376" s="23">
        <f>H3375</f>
        <v>9932.08</v>
      </c>
      <c r="G3376" s="104">
        <v>0</v>
      </c>
      <c r="H3376" s="252">
        <f t="shared" si="304"/>
        <v>993.20800000000008</v>
      </c>
    </row>
    <row r="3377" spans="1:9" ht="13.5" thickBot="1" x14ac:dyDescent="0.25">
      <c r="A3377" s="938"/>
      <c r="B3377" s="528" t="s">
        <v>269</v>
      </c>
      <c r="C3377" s="108" t="s">
        <v>284</v>
      </c>
      <c r="D3377" s="109" t="s">
        <v>586</v>
      </c>
      <c r="E3377" s="200">
        <v>0.1</v>
      </c>
      <c r="F3377" s="110">
        <f>H3375</f>
        <v>9932.08</v>
      </c>
      <c r="G3377" s="156">
        <v>0</v>
      </c>
      <c r="H3377" s="479">
        <f t="shared" si="304"/>
        <v>993.20800000000008</v>
      </c>
    </row>
    <row r="3378" spans="1:9" s="42" customFormat="1" ht="15" x14ac:dyDescent="0.2">
      <c r="A3378" s="67" t="s">
        <v>3389</v>
      </c>
      <c r="B3378" s="529"/>
      <c r="C3378" s="388" t="s">
        <v>3443</v>
      </c>
      <c r="D3378" s="389" t="s">
        <v>405</v>
      </c>
      <c r="E3378" s="395"/>
      <c r="F3378" s="391">
        <f>ROUND(SUM(H3378:H3386),0)</f>
        <v>41364</v>
      </c>
      <c r="G3378" s="392"/>
      <c r="H3378" s="393"/>
      <c r="I3378" s="738"/>
    </row>
    <row r="3379" spans="1:9" x14ac:dyDescent="0.2">
      <c r="A3379" s="939" t="s">
        <v>295</v>
      </c>
      <c r="B3379" s="241" t="s">
        <v>1639</v>
      </c>
      <c r="C3379" s="3" t="s">
        <v>566</v>
      </c>
      <c r="D3379" s="2" t="s">
        <v>405</v>
      </c>
      <c r="E3379" s="114">
        <v>1</v>
      </c>
      <c r="F3379" s="23">
        <f>VLOOKUP(B3379,'BASE DE DATOS'!$A$5:$E$997,5,FALSE)</f>
        <v>16141.666666666666</v>
      </c>
      <c r="G3379" s="104">
        <v>1.05</v>
      </c>
      <c r="H3379" s="252">
        <f t="shared" si="304"/>
        <v>16948.75</v>
      </c>
    </row>
    <row r="3380" spans="1:9" x14ac:dyDescent="0.2">
      <c r="A3380" s="939"/>
      <c r="B3380" s="241" t="s">
        <v>1255</v>
      </c>
      <c r="C3380" s="3" t="s">
        <v>241</v>
      </c>
      <c r="D3380" s="2" t="s">
        <v>217</v>
      </c>
      <c r="E3380" s="114">
        <v>0.17</v>
      </c>
      <c r="F3380" s="23">
        <f>H3379</f>
        <v>16948.75</v>
      </c>
      <c r="G3380" s="104">
        <v>0</v>
      </c>
      <c r="H3380" s="252">
        <f t="shared" si="304"/>
        <v>2881.2875000000004</v>
      </c>
    </row>
    <row r="3381" spans="1:9" x14ac:dyDescent="0.2">
      <c r="A3381" s="939"/>
      <c r="B3381" s="241" t="s">
        <v>1462</v>
      </c>
      <c r="C3381" s="3" t="s">
        <v>1</v>
      </c>
      <c r="D3381" s="2" t="s">
        <v>411</v>
      </c>
      <c r="E3381" s="114">
        <v>0.04</v>
      </c>
      <c r="F3381" s="23">
        <f>VLOOKUP(B3381,'BASE DE DATOS'!$A$5:$E$997,5,FALSE)</f>
        <v>46900</v>
      </c>
      <c r="G3381" s="104">
        <v>1.03</v>
      </c>
      <c r="H3381" s="252">
        <f t="shared" si="304"/>
        <v>1932.28</v>
      </c>
    </row>
    <row r="3382" spans="1:9" x14ac:dyDescent="0.2">
      <c r="A3382" s="939"/>
      <c r="B3382" s="241" t="s">
        <v>1701</v>
      </c>
      <c r="C3382" s="3" t="s">
        <v>2071</v>
      </c>
      <c r="D3382" s="2" t="s">
        <v>411</v>
      </c>
      <c r="E3382" s="114">
        <v>0.04</v>
      </c>
      <c r="F3382" s="23">
        <f>VLOOKUP(B3382,'BASE DE DATOS'!$A$5:$E$997,5,FALSE)</f>
        <v>80900</v>
      </c>
      <c r="G3382" s="104">
        <v>1.03</v>
      </c>
      <c r="H3382" s="252">
        <f t="shared" si="304"/>
        <v>3333.08</v>
      </c>
    </row>
    <row r="3383" spans="1:9" x14ac:dyDescent="0.2">
      <c r="A3383" s="939"/>
      <c r="B3383" s="241" t="s">
        <v>1781</v>
      </c>
      <c r="C3383" s="3" t="s">
        <v>242</v>
      </c>
      <c r="D3383" s="2" t="s">
        <v>411</v>
      </c>
      <c r="E3383" s="114">
        <v>1.5</v>
      </c>
      <c r="F3383" s="23">
        <f>VLOOKUP(B3383,'BASE DE DATOS'!$A$5:$E$997,5,FALSE)</f>
        <v>2900</v>
      </c>
      <c r="G3383" s="104">
        <v>0</v>
      </c>
      <c r="H3383" s="252">
        <f>IF(G3383&gt;0,(G3383*F3383*E3383),(F3383*E3383))</f>
        <v>4350</v>
      </c>
    </row>
    <row r="3384" spans="1:9" x14ac:dyDescent="0.2">
      <c r="A3384" s="81" t="s">
        <v>2555</v>
      </c>
      <c r="B3384" s="241" t="s">
        <v>644</v>
      </c>
      <c r="C3384" s="3" t="s">
        <v>645</v>
      </c>
      <c r="D3384" s="2" t="s">
        <v>585</v>
      </c>
      <c r="E3384" s="114">
        <v>1</v>
      </c>
      <c r="F3384" s="23">
        <f>VLOOKUP(B3384,'BASE DE DATOS'!$A$5:$E$997,5,FALSE)</f>
        <v>248302</v>
      </c>
      <c r="G3384" s="104">
        <f>1/25</f>
        <v>0.04</v>
      </c>
      <c r="H3384" s="252">
        <f t="shared" si="304"/>
        <v>9932.08</v>
      </c>
    </row>
    <row r="3385" spans="1:9" x14ac:dyDescent="0.2">
      <c r="A3385" s="937" t="s">
        <v>293</v>
      </c>
      <c r="B3385" s="241" t="s">
        <v>598</v>
      </c>
      <c r="C3385" s="3" t="s">
        <v>3362</v>
      </c>
      <c r="D3385" s="2" t="s">
        <v>586</v>
      </c>
      <c r="E3385" s="114">
        <v>0.1</v>
      </c>
      <c r="F3385" s="23">
        <f>H3384</f>
        <v>9932.08</v>
      </c>
      <c r="G3385" s="104">
        <v>0</v>
      </c>
      <c r="H3385" s="252">
        <f t="shared" si="304"/>
        <v>993.20800000000008</v>
      </c>
    </row>
    <row r="3386" spans="1:9" ht="13.5" thickBot="1" x14ac:dyDescent="0.25">
      <c r="A3386" s="938"/>
      <c r="B3386" s="528" t="s">
        <v>269</v>
      </c>
      <c r="C3386" s="108" t="s">
        <v>284</v>
      </c>
      <c r="D3386" s="109" t="s">
        <v>586</v>
      </c>
      <c r="E3386" s="200">
        <v>0.1</v>
      </c>
      <c r="F3386" s="110">
        <f>H3384</f>
        <v>9932.08</v>
      </c>
      <c r="G3386" s="156">
        <v>0</v>
      </c>
      <c r="H3386" s="479">
        <f t="shared" si="304"/>
        <v>993.20800000000008</v>
      </c>
    </row>
    <row r="3387" spans="1:9" s="42" customFormat="1" ht="15" x14ac:dyDescent="0.2">
      <c r="A3387" s="67" t="s">
        <v>3390</v>
      </c>
      <c r="B3387" s="529"/>
      <c r="C3387" s="388" t="s">
        <v>3444</v>
      </c>
      <c r="D3387" s="389" t="s">
        <v>405</v>
      </c>
      <c r="E3387" s="395"/>
      <c r="F3387" s="391">
        <f>ROUND(SUM(H3387:H3395),0)</f>
        <v>40242</v>
      </c>
      <c r="G3387" s="392"/>
      <c r="H3387" s="393"/>
      <c r="I3387" s="738"/>
    </row>
    <row r="3388" spans="1:9" x14ac:dyDescent="0.2">
      <c r="A3388" s="939" t="s">
        <v>295</v>
      </c>
      <c r="B3388" s="241" t="s">
        <v>1636</v>
      </c>
      <c r="C3388" s="3" t="s">
        <v>243</v>
      </c>
      <c r="D3388" s="2" t="s">
        <v>405</v>
      </c>
      <c r="E3388" s="114">
        <v>1</v>
      </c>
      <c r="F3388" s="23">
        <f>VLOOKUP(B3388,'BASE DE DATOS'!$A$5:$E$997,5,FALSE)</f>
        <v>16300</v>
      </c>
      <c r="G3388" s="104">
        <v>1.05</v>
      </c>
      <c r="H3388" s="252">
        <f t="shared" si="304"/>
        <v>17115</v>
      </c>
    </row>
    <row r="3389" spans="1:9" x14ac:dyDescent="0.2">
      <c r="A3389" s="939"/>
      <c r="B3389" s="241" t="s">
        <v>1255</v>
      </c>
      <c r="C3389" s="3" t="s">
        <v>241</v>
      </c>
      <c r="D3389" s="2" t="s">
        <v>217</v>
      </c>
      <c r="E3389" s="114">
        <v>0.17</v>
      </c>
      <c r="F3389" s="23">
        <f>H3388</f>
        <v>17115</v>
      </c>
      <c r="G3389" s="104">
        <v>0</v>
      </c>
      <c r="H3389" s="252">
        <f t="shared" si="304"/>
        <v>2909.55</v>
      </c>
    </row>
    <row r="3390" spans="1:9" x14ac:dyDescent="0.2">
      <c r="A3390" s="939"/>
      <c r="B3390" s="241" t="s">
        <v>1462</v>
      </c>
      <c r="C3390" s="3" t="s">
        <v>1</v>
      </c>
      <c r="D3390" s="2" t="s">
        <v>411</v>
      </c>
      <c r="E3390" s="114">
        <v>0.03</v>
      </c>
      <c r="F3390" s="23">
        <f>VLOOKUP(B3390,'BASE DE DATOS'!$A$5:$E$997,5,FALSE)</f>
        <v>46900</v>
      </c>
      <c r="G3390" s="104">
        <v>1.03</v>
      </c>
      <c r="H3390" s="252">
        <f>IF(G3390&gt;0,(G3390*F3390*E3390),(F3390*E3390))</f>
        <v>1449.21</v>
      </c>
    </row>
    <row r="3391" spans="1:9" x14ac:dyDescent="0.2">
      <c r="A3391" s="939"/>
      <c r="B3391" s="241" t="s">
        <v>1701</v>
      </c>
      <c r="C3391" s="3" t="s">
        <v>2071</v>
      </c>
      <c r="D3391" s="2" t="s">
        <v>411</v>
      </c>
      <c r="E3391" s="114">
        <v>0.03</v>
      </c>
      <c r="F3391" s="23">
        <f>VLOOKUP(B3391,'BASE DE DATOS'!$A$5:$E$997,5,FALSE)</f>
        <v>80900</v>
      </c>
      <c r="G3391" s="104">
        <v>1.03</v>
      </c>
      <c r="H3391" s="252">
        <f>IF(G3391&gt;0,(G3391*F3391*E3391),(F3391*E3391))</f>
        <v>2499.81</v>
      </c>
    </row>
    <row r="3392" spans="1:9" x14ac:dyDescent="0.2">
      <c r="A3392" s="939"/>
      <c r="B3392" s="241" t="s">
        <v>1781</v>
      </c>
      <c r="C3392" s="3" t="s">
        <v>242</v>
      </c>
      <c r="D3392" s="2" t="s">
        <v>411</v>
      </c>
      <c r="E3392" s="114">
        <v>1.5</v>
      </c>
      <c r="F3392" s="23">
        <f>VLOOKUP(B3392,'BASE DE DATOS'!$A$5:$E$997,5,FALSE)</f>
        <v>2900</v>
      </c>
      <c r="G3392" s="104">
        <v>0</v>
      </c>
      <c r="H3392" s="252">
        <f t="shared" si="304"/>
        <v>4350</v>
      </c>
    </row>
    <row r="3393" spans="1:9" x14ac:dyDescent="0.2">
      <c r="A3393" s="81" t="s">
        <v>2555</v>
      </c>
      <c r="B3393" s="241" t="s">
        <v>644</v>
      </c>
      <c r="C3393" s="3" t="s">
        <v>645</v>
      </c>
      <c r="D3393" s="2" t="s">
        <v>585</v>
      </c>
      <c r="E3393" s="114">
        <v>1</v>
      </c>
      <c r="F3393" s="23">
        <f>VLOOKUP(B3393,'BASE DE DATOS'!$A$5:$E$997,5,FALSE)</f>
        <v>248302</v>
      </c>
      <c r="G3393" s="104">
        <f>1/25</f>
        <v>0.04</v>
      </c>
      <c r="H3393" s="252">
        <f t="shared" si="304"/>
        <v>9932.08</v>
      </c>
    </row>
    <row r="3394" spans="1:9" x14ac:dyDescent="0.2">
      <c r="A3394" s="937" t="s">
        <v>293</v>
      </c>
      <c r="B3394" s="241" t="s">
        <v>598</v>
      </c>
      <c r="C3394" s="3" t="s">
        <v>3362</v>
      </c>
      <c r="D3394" s="2" t="s">
        <v>586</v>
      </c>
      <c r="E3394" s="114">
        <v>0.1</v>
      </c>
      <c r="F3394" s="23">
        <f>H3393</f>
        <v>9932.08</v>
      </c>
      <c r="G3394" s="104">
        <v>0</v>
      </c>
      <c r="H3394" s="252">
        <f t="shared" si="304"/>
        <v>993.20800000000008</v>
      </c>
    </row>
    <row r="3395" spans="1:9" ht="13.5" thickBot="1" x14ac:dyDescent="0.25">
      <c r="A3395" s="938"/>
      <c r="B3395" s="528" t="s">
        <v>269</v>
      </c>
      <c r="C3395" s="108" t="s">
        <v>284</v>
      </c>
      <c r="D3395" s="109" t="s">
        <v>586</v>
      </c>
      <c r="E3395" s="200">
        <v>0.1</v>
      </c>
      <c r="F3395" s="110">
        <f>H3393</f>
        <v>9932.08</v>
      </c>
      <c r="G3395" s="156">
        <v>0</v>
      </c>
      <c r="H3395" s="479">
        <f t="shared" si="304"/>
        <v>993.20800000000008</v>
      </c>
    </row>
    <row r="3396" spans="1:9" s="42" customFormat="1" ht="15" x14ac:dyDescent="0.2">
      <c r="A3396" s="67" t="s">
        <v>3391</v>
      </c>
      <c r="B3396" s="529"/>
      <c r="C3396" s="388" t="s">
        <v>3445</v>
      </c>
      <c r="D3396" s="389" t="s">
        <v>405</v>
      </c>
      <c r="E3396" s="395"/>
      <c r="F3396" s="391">
        <f>ROUND(SUM(H3396:H3401),0)</f>
        <v>45577</v>
      </c>
      <c r="G3396" s="392"/>
      <c r="H3396" s="393"/>
      <c r="I3396" s="738"/>
    </row>
    <row r="3397" spans="1:9" ht="25.5" x14ac:dyDescent="0.2">
      <c r="A3397" s="936" t="s">
        <v>382</v>
      </c>
      <c r="B3397" s="241" t="s">
        <v>1261</v>
      </c>
      <c r="C3397" s="3" t="s">
        <v>3675</v>
      </c>
      <c r="D3397" s="2" t="s">
        <v>411</v>
      </c>
      <c r="E3397" s="114">
        <v>0.17</v>
      </c>
      <c r="F3397" s="23">
        <f>VLOOKUP(B3397,'BASE DE DATOS'!$A$5:$E$997,5,FALSE)</f>
        <v>13110</v>
      </c>
      <c r="G3397" s="104">
        <v>0</v>
      </c>
      <c r="H3397" s="252">
        <f>IF(G3397&gt;0,(G3397*F3397*E3397),(F3397*E3397))</f>
        <v>2228.7000000000003</v>
      </c>
    </row>
    <row r="3398" spans="1:9" x14ac:dyDescent="0.2">
      <c r="A3398" s="936"/>
      <c r="B3398" s="241" t="s">
        <v>1315</v>
      </c>
      <c r="C3398" s="3" t="s">
        <v>2850</v>
      </c>
      <c r="D3398" s="2" t="s">
        <v>405</v>
      </c>
      <c r="E3398" s="114">
        <v>1</v>
      </c>
      <c r="F3398" s="23">
        <f>VLOOKUP(B3398,'BASE DE DATOS'!$A$5:$E$997,5,FALSE)</f>
        <v>22800</v>
      </c>
      <c r="G3398" s="104">
        <v>1.03</v>
      </c>
      <c r="H3398" s="252">
        <f t="shared" si="304"/>
        <v>23484</v>
      </c>
    </row>
    <row r="3399" spans="1:9" x14ac:dyDescent="0.2">
      <c r="A3399" s="81" t="s">
        <v>2555</v>
      </c>
      <c r="B3399" s="241" t="s">
        <v>644</v>
      </c>
      <c r="C3399" s="3" t="s">
        <v>645</v>
      </c>
      <c r="D3399" s="2" t="s">
        <v>585</v>
      </c>
      <c r="E3399" s="114">
        <v>1</v>
      </c>
      <c r="F3399" s="23">
        <f>VLOOKUP(B3399,'BASE DE DATOS'!$A$5:$E$997,5,FALSE)</f>
        <v>248302</v>
      </c>
      <c r="G3399" s="104">
        <f>1/15</f>
        <v>6.6666666666666666E-2</v>
      </c>
      <c r="H3399" s="252">
        <f t="shared" si="304"/>
        <v>16553.466666666667</v>
      </c>
    </row>
    <row r="3400" spans="1:9" x14ac:dyDescent="0.2">
      <c r="A3400" s="937" t="s">
        <v>293</v>
      </c>
      <c r="B3400" s="241" t="s">
        <v>598</v>
      </c>
      <c r="C3400" s="3" t="s">
        <v>3362</v>
      </c>
      <c r="D3400" s="2" t="s">
        <v>586</v>
      </c>
      <c r="E3400" s="114">
        <v>0.1</v>
      </c>
      <c r="F3400" s="23">
        <f>H3399</f>
        <v>16553.466666666667</v>
      </c>
      <c r="G3400" s="104">
        <v>0</v>
      </c>
      <c r="H3400" s="252">
        <f t="shared" si="304"/>
        <v>1655.3466666666668</v>
      </c>
    </row>
    <row r="3401" spans="1:9" ht="13.5" thickBot="1" x14ac:dyDescent="0.25">
      <c r="A3401" s="938"/>
      <c r="B3401" s="528" t="s">
        <v>269</v>
      </c>
      <c r="C3401" s="108" t="s">
        <v>284</v>
      </c>
      <c r="D3401" s="109" t="s">
        <v>586</v>
      </c>
      <c r="E3401" s="200">
        <v>0.1</v>
      </c>
      <c r="F3401" s="110">
        <f>H3399</f>
        <v>16553.466666666667</v>
      </c>
      <c r="G3401" s="156">
        <v>0</v>
      </c>
      <c r="H3401" s="479">
        <f t="shared" si="304"/>
        <v>1655.3466666666668</v>
      </c>
    </row>
    <row r="3402" spans="1:9" s="42" customFormat="1" ht="15" x14ac:dyDescent="0.2">
      <c r="A3402" s="67" t="s">
        <v>3392</v>
      </c>
      <c r="B3402" s="529"/>
      <c r="C3402" s="388" t="s">
        <v>567</v>
      </c>
      <c r="D3402" s="389" t="s">
        <v>405</v>
      </c>
      <c r="E3402" s="395"/>
      <c r="F3402" s="391">
        <f>ROUND(SUM(H3402:H3410),0)</f>
        <v>27337</v>
      </c>
      <c r="G3402" s="392"/>
      <c r="H3402" s="393"/>
      <c r="I3402" s="738"/>
    </row>
    <row r="3403" spans="1:9" x14ac:dyDescent="0.2">
      <c r="A3403" s="939" t="s">
        <v>295</v>
      </c>
      <c r="B3403" s="241" t="s">
        <v>1659</v>
      </c>
      <c r="C3403" s="3" t="s">
        <v>244</v>
      </c>
      <c r="D3403" s="2" t="s">
        <v>405</v>
      </c>
      <c r="E3403" s="114">
        <v>1</v>
      </c>
      <c r="F3403" s="23">
        <f>VLOOKUP(B3403,'BASE DE DATOS'!$A$5:$E$997,5,FALSE)</f>
        <v>8484</v>
      </c>
      <c r="G3403" s="104">
        <v>1.05</v>
      </c>
      <c r="H3403" s="252">
        <f t="shared" si="304"/>
        <v>8908.2000000000007</v>
      </c>
    </row>
    <row r="3404" spans="1:9" x14ac:dyDescent="0.2">
      <c r="A3404" s="939"/>
      <c r="B3404" s="241" t="s">
        <v>1255</v>
      </c>
      <c r="C3404" s="3" t="s">
        <v>241</v>
      </c>
      <c r="D3404" s="2" t="s">
        <v>217</v>
      </c>
      <c r="E3404" s="114">
        <v>0.17</v>
      </c>
      <c r="F3404" s="23">
        <f>H3403</f>
        <v>8908.2000000000007</v>
      </c>
      <c r="G3404" s="104">
        <v>0</v>
      </c>
      <c r="H3404" s="252">
        <f t="shared" si="304"/>
        <v>1514.3940000000002</v>
      </c>
    </row>
    <row r="3405" spans="1:9" x14ac:dyDescent="0.2">
      <c r="A3405" s="939"/>
      <c r="B3405" s="241" t="s">
        <v>1462</v>
      </c>
      <c r="C3405" s="3" t="s">
        <v>1</v>
      </c>
      <c r="D3405" s="2" t="s">
        <v>411</v>
      </c>
      <c r="E3405" s="114">
        <v>0.02</v>
      </c>
      <c r="F3405" s="23">
        <f>VLOOKUP(B3405,'BASE DE DATOS'!$A$5:$E$997,5,FALSE)</f>
        <v>46900</v>
      </c>
      <c r="G3405" s="104">
        <v>1.03</v>
      </c>
      <c r="H3405" s="252">
        <f t="shared" si="304"/>
        <v>966.14</v>
      </c>
    </row>
    <row r="3406" spans="1:9" x14ac:dyDescent="0.2">
      <c r="A3406" s="939"/>
      <c r="B3406" s="241" t="s">
        <v>1701</v>
      </c>
      <c r="C3406" s="3" t="s">
        <v>2071</v>
      </c>
      <c r="D3406" s="2" t="s">
        <v>411</v>
      </c>
      <c r="E3406" s="114">
        <v>0.02</v>
      </c>
      <c r="F3406" s="23">
        <f>VLOOKUP(B3406,'BASE DE DATOS'!$A$5:$E$997,5,FALSE)</f>
        <v>80900</v>
      </c>
      <c r="G3406" s="104">
        <v>1.03</v>
      </c>
      <c r="H3406" s="252">
        <f t="shared" si="304"/>
        <v>1666.54</v>
      </c>
    </row>
    <row r="3407" spans="1:9" x14ac:dyDescent="0.2">
      <c r="A3407" s="939"/>
      <c r="B3407" s="241" t="s">
        <v>1781</v>
      </c>
      <c r="C3407" s="3" t="s">
        <v>242</v>
      </c>
      <c r="D3407" s="2" t="s">
        <v>411</v>
      </c>
      <c r="E3407" s="114">
        <v>1.5</v>
      </c>
      <c r="F3407" s="23">
        <f>VLOOKUP(B3407,'BASE DE DATOS'!$A$5:$E$997,5,FALSE)</f>
        <v>2900</v>
      </c>
      <c r="G3407" s="104">
        <v>0</v>
      </c>
      <c r="H3407" s="252">
        <f>IF(G3407&gt;0,(G3407*F3407*E3407),(F3407*E3407))</f>
        <v>4350</v>
      </c>
    </row>
    <row r="3408" spans="1:9" x14ac:dyDescent="0.2">
      <c r="A3408" s="81" t="s">
        <v>2555</v>
      </c>
      <c r="B3408" s="241" t="s">
        <v>644</v>
      </c>
      <c r="C3408" s="3" t="s">
        <v>645</v>
      </c>
      <c r="D3408" s="2" t="s">
        <v>585</v>
      </c>
      <c r="E3408" s="114">
        <v>1</v>
      </c>
      <c r="F3408" s="23">
        <f>VLOOKUP(B3408,'BASE DE DATOS'!$A$5:$E$997,5,FALSE)</f>
        <v>248302</v>
      </c>
      <c r="G3408" s="104">
        <f>1/30</f>
        <v>3.3333333333333333E-2</v>
      </c>
      <c r="H3408" s="252">
        <f t="shared" si="304"/>
        <v>8276.7333333333336</v>
      </c>
    </row>
    <row r="3409" spans="1:9" x14ac:dyDescent="0.2">
      <c r="A3409" s="937" t="s">
        <v>293</v>
      </c>
      <c r="B3409" s="241" t="s">
        <v>598</v>
      </c>
      <c r="C3409" s="3" t="s">
        <v>3362</v>
      </c>
      <c r="D3409" s="2" t="s">
        <v>586</v>
      </c>
      <c r="E3409" s="114">
        <v>0.1</v>
      </c>
      <c r="F3409" s="23">
        <f>H3408</f>
        <v>8276.7333333333336</v>
      </c>
      <c r="G3409" s="104">
        <v>0</v>
      </c>
      <c r="H3409" s="252">
        <f t="shared" si="304"/>
        <v>827.6733333333334</v>
      </c>
    </row>
    <row r="3410" spans="1:9" ht="13.5" thickBot="1" x14ac:dyDescent="0.25">
      <c r="A3410" s="938"/>
      <c r="B3410" s="528" t="s">
        <v>269</v>
      </c>
      <c r="C3410" s="108" t="s">
        <v>284</v>
      </c>
      <c r="D3410" s="109" t="s">
        <v>586</v>
      </c>
      <c r="E3410" s="200">
        <v>0.1</v>
      </c>
      <c r="F3410" s="110">
        <f>H3408</f>
        <v>8276.7333333333336</v>
      </c>
      <c r="G3410" s="156">
        <v>0</v>
      </c>
      <c r="H3410" s="479">
        <f t="shared" si="304"/>
        <v>827.6733333333334</v>
      </c>
    </row>
    <row r="3411" spans="1:9" s="42" customFormat="1" ht="15" x14ac:dyDescent="0.2">
      <c r="A3411" s="67" t="s">
        <v>3393</v>
      </c>
      <c r="B3411" s="529"/>
      <c r="C3411" s="388" t="s">
        <v>568</v>
      </c>
      <c r="D3411" s="389" t="s">
        <v>405</v>
      </c>
      <c r="E3411" s="395"/>
      <c r="F3411" s="391">
        <f>ROUND(SUM(H3411:H3419),0)</f>
        <v>33363</v>
      </c>
      <c r="G3411" s="392"/>
      <c r="H3411" s="393"/>
      <c r="I3411" s="738"/>
    </row>
    <row r="3412" spans="1:9" x14ac:dyDescent="0.2">
      <c r="A3412" s="939" t="s">
        <v>295</v>
      </c>
      <c r="B3412" s="241" t="s">
        <v>1660</v>
      </c>
      <c r="C3412" s="3" t="s">
        <v>245</v>
      </c>
      <c r="D3412" s="2" t="s">
        <v>405</v>
      </c>
      <c r="E3412" s="114">
        <v>1</v>
      </c>
      <c r="F3412" s="23">
        <f>VLOOKUP(B3412,'BASE DE DATOS'!$A$5:$E$997,5,FALSE)</f>
        <v>12317</v>
      </c>
      <c r="G3412" s="104">
        <v>1.05</v>
      </c>
      <c r="H3412" s="252">
        <f t="shared" si="304"/>
        <v>12932.85</v>
      </c>
    </row>
    <row r="3413" spans="1:9" x14ac:dyDescent="0.2">
      <c r="A3413" s="939"/>
      <c r="B3413" s="241" t="s">
        <v>1255</v>
      </c>
      <c r="C3413" s="3" t="s">
        <v>241</v>
      </c>
      <c r="D3413" s="2" t="s">
        <v>217</v>
      </c>
      <c r="E3413" s="114">
        <v>0.17</v>
      </c>
      <c r="F3413" s="23">
        <f>H3412</f>
        <v>12932.85</v>
      </c>
      <c r="G3413" s="104">
        <v>0</v>
      </c>
      <c r="H3413" s="252">
        <f t="shared" ref="H3413:H3455" si="305">IF(G3413&gt;0,(G3413*F3413*E3413),(F3413*E3413))</f>
        <v>2198.5845000000004</v>
      </c>
    </row>
    <row r="3414" spans="1:9" x14ac:dyDescent="0.2">
      <c r="A3414" s="939"/>
      <c r="B3414" s="241" t="s">
        <v>1462</v>
      </c>
      <c r="C3414" s="3" t="s">
        <v>1</v>
      </c>
      <c r="D3414" s="2" t="s">
        <v>411</v>
      </c>
      <c r="E3414" s="114">
        <v>0.03</v>
      </c>
      <c r="F3414" s="23">
        <f>VLOOKUP(B3414,'BASE DE DATOS'!$A$5:$E$997,5,FALSE)</f>
        <v>46900</v>
      </c>
      <c r="G3414" s="104">
        <v>1.03</v>
      </c>
      <c r="H3414" s="252">
        <f t="shared" si="305"/>
        <v>1449.21</v>
      </c>
    </row>
    <row r="3415" spans="1:9" x14ac:dyDescent="0.2">
      <c r="A3415" s="939"/>
      <c r="B3415" s="241" t="s">
        <v>1701</v>
      </c>
      <c r="C3415" s="3" t="s">
        <v>2071</v>
      </c>
      <c r="D3415" s="2" t="s">
        <v>411</v>
      </c>
      <c r="E3415" s="114">
        <v>0.03</v>
      </c>
      <c r="F3415" s="23">
        <f>VLOOKUP(B3415,'BASE DE DATOS'!$A$5:$E$997,5,FALSE)</f>
        <v>80900</v>
      </c>
      <c r="G3415" s="104">
        <v>1.03</v>
      </c>
      <c r="H3415" s="252">
        <f t="shared" si="305"/>
        <v>2499.81</v>
      </c>
    </row>
    <row r="3416" spans="1:9" x14ac:dyDescent="0.2">
      <c r="A3416" s="939"/>
      <c r="B3416" s="241" t="s">
        <v>1781</v>
      </c>
      <c r="C3416" s="3" t="s">
        <v>242</v>
      </c>
      <c r="D3416" s="2" t="s">
        <v>411</v>
      </c>
      <c r="E3416" s="114">
        <v>1.5</v>
      </c>
      <c r="F3416" s="23">
        <f>VLOOKUP(B3416,'BASE DE DATOS'!$A$5:$E$997,5,FALSE)</f>
        <v>2900</v>
      </c>
      <c r="G3416" s="104">
        <v>0</v>
      </c>
      <c r="H3416" s="252">
        <f>IF(G3416&gt;0,(G3416*F3416*E3416),(F3416*E3416))</f>
        <v>4350</v>
      </c>
    </row>
    <row r="3417" spans="1:9" x14ac:dyDescent="0.2">
      <c r="A3417" s="81" t="s">
        <v>2555</v>
      </c>
      <c r="B3417" s="241" t="s">
        <v>644</v>
      </c>
      <c r="C3417" s="3" t="s">
        <v>645</v>
      </c>
      <c r="D3417" s="2" t="s">
        <v>585</v>
      </c>
      <c r="E3417" s="114">
        <v>1</v>
      </c>
      <c r="F3417" s="23">
        <f>VLOOKUP(B3417,'BASE DE DATOS'!$A$5:$E$997,5,FALSE)</f>
        <v>248302</v>
      </c>
      <c r="G3417" s="104">
        <f>1/30</f>
        <v>3.3333333333333333E-2</v>
      </c>
      <c r="H3417" s="252">
        <f t="shared" si="305"/>
        <v>8276.7333333333336</v>
      </c>
    </row>
    <row r="3418" spans="1:9" x14ac:dyDescent="0.2">
      <c r="A3418" s="937" t="s">
        <v>293</v>
      </c>
      <c r="B3418" s="241" t="s">
        <v>598</v>
      </c>
      <c r="C3418" s="3" t="s">
        <v>3362</v>
      </c>
      <c r="D3418" s="2" t="s">
        <v>586</v>
      </c>
      <c r="E3418" s="114">
        <v>0.1</v>
      </c>
      <c r="F3418" s="23">
        <f>H3417</f>
        <v>8276.7333333333336</v>
      </c>
      <c r="G3418" s="104">
        <v>0</v>
      </c>
      <c r="H3418" s="252">
        <f t="shared" si="305"/>
        <v>827.6733333333334</v>
      </c>
    </row>
    <row r="3419" spans="1:9" ht="13.5" thickBot="1" x14ac:dyDescent="0.25">
      <c r="A3419" s="938"/>
      <c r="B3419" s="528" t="s">
        <v>269</v>
      </c>
      <c r="C3419" s="108" t="s">
        <v>284</v>
      </c>
      <c r="D3419" s="109" t="s">
        <v>586</v>
      </c>
      <c r="E3419" s="200">
        <v>0.1</v>
      </c>
      <c r="F3419" s="110">
        <f>H3417</f>
        <v>8276.7333333333336</v>
      </c>
      <c r="G3419" s="156">
        <v>0</v>
      </c>
      <c r="H3419" s="479">
        <f t="shared" si="305"/>
        <v>827.6733333333334</v>
      </c>
    </row>
    <row r="3420" spans="1:9" s="42" customFormat="1" ht="15" x14ac:dyDescent="0.2">
      <c r="A3420" s="67" t="s">
        <v>3394</v>
      </c>
      <c r="B3420" s="529"/>
      <c r="C3420" s="388" t="s">
        <v>572</v>
      </c>
      <c r="D3420" s="389" t="s">
        <v>405</v>
      </c>
      <c r="E3420" s="395"/>
      <c r="F3420" s="391">
        <f>ROUND(SUM(H3420:H3426),0)</f>
        <v>24683</v>
      </c>
      <c r="G3420" s="392"/>
      <c r="H3420" s="393"/>
      <c r="I3420" s="738"/>
    </row>
    <row r="3421" spans="1:9" x14ac:dyDescent="0.2">
      <c r="A3421" s="936" t="s">
        <v>382</v>
      </c>
      <c r="B3421" s="241" t="s">
        <v>1668</v>
      </c>
      <c r="C3421" s="3" t="s">
        <v>246</v>
      </c>
      <c r="D3421" s="2" t="s">
        <v>405</v>
      </c>
      <c r="E3421" s="114">
        <v>1</v>
      </c>
      <c r="F3421" s="23">
        <f>VLOOKUP(B3421,'BASE DE DATOS'!$A$5:$E$997,5,FALSE)</f>
        <v>8317</v>
      </c>
      <c r="G3421" s="104">
        <v>1.05</v>
      </c>
      <c r="H3421" s="252">
        <f t="shared" si="305"/>
        <v>8732.85</v>
      </c>
    </row>
    <row r="3422" spans="1:9" x14ac:dyDescent="0.2">
      <c r="A3422" s="936"/>
      <c r="B3422" s="241" t="s">
        <v>1257</v>
      </c>
      <c r="C3422" s="3" t="s">
        <v>2692</v>
      </c>
      <c r="D3422" s="2" t="s">
        <v>411</v>
      </c>
      <c r="E3422" s="114">
        <v>0.53</v>
      </c>
      <c r="F3422" s="23">
        <f>VLOOKUP(B3422,'BASE DE DATOS'!$A$5:$E$997,5,FALSE)</f>
        <v>7950</v>
      </c>
      <c r="G3422" s="104">
        <v>0</v>
      </c>
      <c r="H3422" s="252">
        <f t="shared" si="305"/>
        <v>4213.5</v>
      </c>
    </row>
    <row r="3423" spans="1:9" x14ac:dyDescent="0.2">
      <c r="A3423" s="936"/>
      <c r="B3423" s="241" t="s">
        <v>1462</v>
      </c>
      <c r="C3423" s="3" t="s">
        <v>1</v>
      </c>
      <c r="D3423" s="2" t="s">
        <v>411</v>
      </c>
      <c r="E3423" s="114">
        <v>0.02</v>
      </c>
      <c r="F3423" s="23">
        <f>VLOOKUP(B3423,'BASE DE DATOS'!$A$5:$E$997,5,FALSE)</f>
        <v>46900</v>
      </c>
      <c r="G3423" s="104">
        <v>1.03</v>
      </c>
      <c r="H3423" s="252">
        <f t="shared" si="305"/>
        <v>966.14</v>
      </c>
    </row>
    <row r="3424" spans="1:9" x14ac:dyDescent="0.2">
      <c r="A3424" s="936"/>
      <c r="B3424" s="241" t="s">
        <v>1701</v>
      </c>
      <c r="C3424" s="3" t="s">
        <v>2071</v>
      </c>
      <c r="D3424" s="2" t="s">
        <v>411</v>
      </c>
      <c r="E3424" s="114">
        <v>0.02</v>
      </c>
      <c r="F3424" s="23">
        <f>VLOOKUP(B3424,'BASE DE DATOS'!$A$5:$E$997,5,FALSE)</f>
        <v>80900</v>
      </c>
      <c r="G3424" s="104">
        <v>1.03</v>
      </c>
      <c r="H3424" s="252">
        <f t="shared" si="305"/>
        <v>1666.54</v>
      </c>
    </row>
    <row r="3425" spans="1:9" x14ac:dyDescent="0.2">
      <c r="A3425" s="81" t="s">
        <v>2555</v>
      </c>
      <c r="B3425" s="241" t="s">
        <v>644</v>
      </c>
      <c r="C3425" s="3" t="s">
        <v>645</v>
      </c>
      <c r="D3425" s="2" t="s">
        <v>585</v>
      </c>
      <c r="E3425" s="114">
        <v>1</v>
      </c>
      <c r="F3425" s="23">
        <f>VLOOKUP(B3425,'BASE DE DATOS'!$A$5:$E$997,5,FALSE)</f>
        <v>248302</v>
      </c>
      <c r="G3425" s="104">
        <f>1/30</f>
        <v>3.3333333333333333E-2</v>
      </c>
      <c r="H3425" s="252">
        <f t="shared" si="305"/>
        <v>8276.7333333333336</v>
      </c>
    </row>
    <row r="3426" spans="1:9" ht="13.5" thickBot="1" x14ac:dyDescent="0.25">
      <c r="A3426" s="94" t="s">
        <v>293</v>
      </c>
      <c r="B3426" s="528" t="s">
        <v>269</v>
      </c>
      <c r="C3426" s="108" t="s">
        <v>284</v>
      </c>
      <c r="D3426" s="109" t="s">
        <v>586</v>
      </c>
      <c r="E3426" s="200">
        <v>0.1</v>
      </c>
      <c r="F3426" s="110">
        <f>H3425</f>
        <v>8276.7333333333336</v>
      </c>
      <c r="G3426" s="156">
        <v>0</v>
      </c>
      <c r="H3426" s="479">
        <f t="shared" si="305"/>
        <v>827.6733333333334</v>
      </c>
    </row>
    <row r="3427" spans="1:9" s="42" customFormat="1" ht="15" x14ac:dyDescent="0.2">
      <c r="A3427" s="67" t="s">
        <v>3395</v>
      </c>
      <c r="B3427" s="529"/>
      <c r="C3427" s="388" t="s">
        <v>573</v>
      </c>
      <c r="D3427" s="389" t="s">
        <v>405</v>
      </c>
      <c r="E3427" s="395"/>
      <c r="F3427" s="391">
        <f>ROUND(SUM(H3427:H3433),0)</f>
        <v>28806</v>
      </c>
      <c r="G3427" s="392"/>
      <c r="H3427" s="393"/>
      <c r="I3427" s="738"/>
    </row>
    <row r="3428" spans="1:9" x14ac:dyDescent="0.2">
      <c r="A3428" s="936" t="s">
        <v>382</v>
      </c>
      <c r="B3428" s="241" t="s">
        <v>1669</v>
      </c>
      <c r="C3428" s="3" t="s">
        <v>211</v>
      </c>
      <c r="D3428" s="2" t="s">
        <v>405</v>
      </c>
      <c r="E3428" s="114">
        <v>1</v>
      </c>
      <c r="F3428" s="23">
        <f>VLOOKUP(B3428,'BASE DE DATOS'!$A$5:$E$997,5,FALSE)</f>
        <v>12983</v>
      </c>
      <c r="G3428" s="104">
        <v>1.05</v>
      </c>
      <c r="H3428" s="252">
        <f t="shared" si="305"/>
        <v>13632.150000000001</v>
      </c>
    </row>
    <row r="3429" spans="1:9" x14ac:dyDescent="0.2">
      <c r="A3429" s="936"/>
      <c r="B3429" s="241" t="s">
        <v>1258</v>
      </c>
      <c r="C3429" s="3" t="s">
        <v>2693</v>
      </c>
      <c r="D3429" s="2" t="s">
        <v>411</v>
      </c>
      <c r="E3429" s="114">
        <v>0.2</v>
      </c>
      <c r="F3429" s="23">
        <f>VLOOKUP(B3429,'BASE DE DATOS'!$A$5:$E$997,5,FALSE)</f>
        <v>10600</v>
      </c>
      <c r="G3429" s="104">
        <v>0</v>
      </c>
      <c r="H3429" s="252">
        <f t="shared" si="305"/>
        <v>2120</v>
      </c>
    </row>
    <row r="3430" spans="1:9" x14ac:dyDescent="0.2">
      <c r="A3430" s="936"/>
      <c r="B3430" s="241" t="s">
        <v>1462</v>
      </c>
      <c r="C3430" s="3" t="s">
        <v>1</v>
      </c>
      <c r="D3430" s="2" t="s">
        <v>411</v>
      </c>
      <c r="E3430" s="114">
        <v>0.03</v>
      </c>
      <c r="F3430" s="23">
        <f>VLOOKUP(B3430,'BASE DE DATOS'!$A$5:$E$997,5,FALSE)</f>
        <v>46900</v>
      </c>
      <c r="G3430" s="104">
        <v>1.03</v>
      </c>
      <c r="H3430" s="252">
        <f t="shared" si="305"/>
        <v>1449.21</v>
      </c>
    </row>
    <row r="3431" spans="1:9" x14ac:dyDescent="0.2">
      <c r="A3431" s="936"/>
      <c r="B3431" s="241" t="s">
        <v>1701</v>
      </c>
      <c r="C3431" s="3" t="s">
        <v>2071</v>
      </c>
      <c r="D3431" s="2" t="s">
        <v>411</v>
      </c>
      <c r="E3431" s="114">
        <v>0.03</v>
      </c>
      <c r="F3431" s="23">
        <f>VLOOKUP(B3431,'BASE DE DATOS'!$A$5:$E$997,5,FALSE)</f>
        <v>80900</v>
      </c>
      <c r="G3431" s="104">
        <v>1.03</v>
      </c>
      <c r="H3431" s="252">
        <f t="shared" si="305"/>
        <v>2499.81</v>
      </c>
    </row>
    <row r="3432" spans="1:9" x14ac:dyDescent="0.2">
      <c r="A3432" s="81" t="s">
        <v>2555</v>
      </c>
      <c r="B3432" s="241" t="s">
        <v>644</v>
      </c>
      <c r="C3432" s="3" t="s">
        <v>645</v>
      </c>
      <c r="D3432" s="2" t="s">
        <v>585</v>
      </c>
      <c r="E3432" s="114">
        <v>1</v>
      </c>
      <c r="F3432" s="23">
        <f>VLOOKUP(B3432,'BASE DE DATOS'!$A$5:$E$997,5,FALSE)</f>
        <v>248302</v>
      </c>
      <c r="G3432" s="104">
        <f>1/30</f>
        <v>3.3333333333333333E-2</v>
      </c>
      <c r="H3432" s="252">
        <f t="shared" si="305"/>
        <v>8276.7333333333336</v>
      </c>
    </row>
    <row r="3433" spans="1:9" ht="13.5" thickBot="1" x14ac:dyDescent="0.25">
      <c r="A3433" s="94" t="s">
        <v>293</v>
      </c>
      <c r="B3433" s="528" t="s">
        <v>269</v>
      </c>
      <c r="C3433" s="108" t="s">
        <v>284</v>
      </c>
      <c r="D3433" s="109" t="s">
        <v>586</v>
      </c>
      <c r="E3433" s="200">
        <v>0.1</v>
      </c>
      <c r="F3433" s="110">
        <f>H3432</f>
        <v>8276.7333333333336</v>
      </c>
      <c r="G3433" s="156">
        <v>0</v>
      </c>
      <c r="H3433" s="479">
        <f t="shared" si="305"/>
        <v>827.6733333333334</v>
      </c>
    </row>
    <row r="3434" spans="1:9" s="42" customFormat="1" ht="15" x14ac:dyDescent="0.2">
      <c r="A3434" s="67" t="s">
        <v>3396</v>
      </c>
      <c r="B3434" s="529"/>
      <c r="C3434" s="388" t="s">
        <v>574</v>
      </c>
      <c r="D3434" s="389" t="s">
        <v>405</v>
      </c>
      <c r="E3434" s="395"/>
      <c r="F3434" s="391">
        <f>ROUND(SUM(H3434:H3440),0)</f>
        <v>36872</v>
      </c>
      <c r="G3434" s="392"/>
      <c r="H3434" s="393"/>
      <c r="I3434" s="738"/>
    </row>
    <row r="3435" spans="1:9" x14ac:dyDescent="0.2">
      <c r="A3435" s="936" t="s">
        <v>382</v>
      </c>
      <c r="B3435" s="241" t="s">
        <v>1671</v>
      </c>
      <c r="C3435" s="3" t="s">
        <v>247</v>
      </c>
      <c r="D3435" s="2" t="s">
        <v>405</v>
      </c>
      <c r="E3435" s="114">
        <v>1</v>
      </c>
      <c r="F3435" s="23">
        <f>VLOOKUP(B3435,'BASE DE DATOS'!$A$5:$E$997,5,FALSE)</f>
        <v>18317</v>
      </c>
      <c r="G3435" s="104">
        <v>1.05</v>
      </c>
      <c r="H3435" s="252">
        <f t="shared" si="305"/>
        <v>19232.850000000002</v>
      </c>
    </row>
    <row r="3436" spans="1:9" x14ac:dyDescent="0.2">
      <c r="A3436" s="936"/>
      <c r="B3436" s="241" t="s">
        <v>1259</v>
      </c>
      <c r="C3436" s="3" t="s">
        <v>2694</v>
      </c>
      <c r="D3436" s="2" t="s">
        <v>217</v>
      </c>
      <c r="E3436" s="114">
        <v>0.17</v>
      </c>
      <c r="F3436" s="23">
        <f>H3435</f>
        <v>19232.850000000002</v>
      </c>
      <c r="G3436" s="104">
        <v>0</v>
      </c>
      <c r="H3436" s="252">
        <f t="shared" si="305"/>
        <v>3269.5845000000004</v>
      </c>
    </row>
    <row r="3437" spans="1:9" x14ac:dyDescent="0.2">
      <c r="A3437" s="936"/>
      <c r="B3437" s="241" t="s">
        <v>1462</v>
      </c>
      <c r="C3437" s="3" t="s">
        <v>1</v>
      </c>
      <c r="D3437" s="2" t="s">
        <v>411</v>
      </c>
      <c r="E3437" s="114">
        <v>0.04</v>
      </c>
      <c r="F3437" s="23">
        <f>VLOOKUP(B3437,'BASE DE DATOS'!$A$5:$E$997,5,FALSE)</f>
        <v>46900</v>
      </c>
      <c r="G3437" s="104">
        <v>1.03</v>
      </c>
      <c r="H3437" s="252">
        <f t="shared" si="305"/>
        <v>1932.28</v>
      </c>
    </row>
    <row r="3438" spans="1:9" x14ac:dyDescent="0.2">
      <c r="A3438" s="936"/>
      <c r="B3438" s="241" t="s">
        <v>1701</v>
      </c>
      <c r="C3438" s="3" t="s">
        <v>2071</v>
      </c>
      <c r="D3438" s="2" t="s">
        <v>411</v>
      </c>
      <c r="E3438" s="114">
        <v>0.04</v>
      </c>
      <c r="F3438" s="23">
        <f>VLOOKUP(B3438,'BASE DE DATOS'!$A$5:$E$997,5,FALSE)</f>
        <v>80900</v>
      </c>
      <c r="G3438" s="104">
        <v>1.03</v>
      </c>
      <c r="H3438" s="252">
        <f t="shared" si="305"/>
        <v>3333.08</v>
      </c>
    </row>
    <row r="3439" spans="1:9" x14ac:dyDescent="0.2">
      <c r="A3439" s="81" t="s">
        <v>2555</v>
      </c>
      <c r="B3439" s="241" t="s">
        <v>644</v>
      </c>
      <c r="C3439" s="3" t="s">
        <v>645</v>
      </c>
      <c r="D3439" s="2" t="s">
        <v>585</v>
      </c>
      <c r="E3439" s="114">
        <v>1</v>
      </c>
      <c r="F3439" s="23">
        <f>VLOOKUP(B3439,'BASE DE DATOS'!$A$5:$E$997,5,FALSE)</f>
        <v>248302</v>
      </c>
      <c r="G3439" s="104">
        <f>1/30</f>
        <v>3.3333333333333333E-2</v>
      </c>
      <c r="H3439" s="252">
        <f t="shared" si="305"/>
        <v>8276.7333333333336</v>
      </c>
    </row>
    <row r="3440" spans="1:9" ht="13.5" thickBot="1" x14ac:dyDescent="0.25">
      <c r="A3440" s="94" t="s">
        <v>293</v>
      </c>
      <c r="B3440" s="528" t="s">
        <v>269</v>
      </c>
      <c r="C3440" s="108" t="s">
        <v>284</v>
      </c>
      <c r="D3440" s="109" t="s">
        <v>586</v>
      </c>
      <c r="E3440" s="200">
        <v>0.1</v>
      </c>
      <c r="F3440" s="110">
        <f>H3439</f>
        <v>8276.7333333333336</v>
      </c>
      <c r="G3440" s="156">
        <v>0</v>
      </c>
      <c r="H3440" s="479">
        <f t="shared" si="305"/>
        <v>827.6733333333334</v>
      </c>
    </row>
    <row r="3441" spans="1:9" s="42" customFormat="1" ht="15" x14ac:dyDescent="0.2">
      <c r="A3441" s="67" t="s">
        <v>3397</v>
      </c>
      <c r="B3441" s="529"/>
      <c r="C3441" s="388" t="s">
        <v>575</v>
      </c>
      <c r="D3441" s="389" t="s">
        <v>405</v>
      </c>
      <c r="E3441" s="395"/>
      <c r="F3441" s="391">
        <f>ROUND(SUM(H3441:H3447),0)</f>
        <v>64054</v>
      </c>
      <c r="G3441" s="392"/>
      <c r="H3441" s="393"/>
      <c r="I3441" s="738"/>
    </row>
    <row r="3442" spans="1:9" x14ac:dyDescent="0.2">
      <c r="A3442" s="936" t="s">
        <v>382</v>
      </c>
      <c r="B3442" s="241" t="s">
        <v>1672</v>
      </c>
      <c r="C3442" s="3" t="s">
        <v>248</v>
      </c>
      <c r="D3442" s="2" t="s">
        <v>405</v>
      </c>
      <c r="E3442" s="114">
        <v>1</v>
      </c>
      <c r="F3442" s="23">
        <f>VLOOKUP(B3442,'BASE DE DATOS'!$A$5:$E$997,5,FALSE)</f>
        <v>38300</v>
      </c>
      <c r="G3442" s="104">
        <v>1.05</v>
      </c>
      <c r="H3442" s="252">
        <f t="shared" si="305"/>
        <v>40215</v>
      </c>
    </row>
    <row r="3443" spans="1:9" x14ac:dyDescent="0.2">
      <c r="A3443" s="936"/>
      <c r="B3443" s="241" t="s">
        <v>1369</v>
      </c>
      <c r="C3443" s="3" t="s">
        <v>11</v>
      </c>
      <c r="D3443" s="2" t="s">
        <v>217</v>
      </c>
      <c r="E3443" s="114">
        <v>0.17</v>
      </c>
      <c r="F3443" s="23">
        <f>H3442</f>
        <v>40215</v>
      </c>
      <c r="G3443" s="104">
        <v>0</v>
      </c>
      <c r="H3443" s="252">
        <f t="shared" si="305"/>
        <v>6836.55</v>
      </c>
    </row>
    <row r="3444" spans="1:9" x14ac:dyDescent="0.2">
      <c r="A3444" s="936"/>
      <c r="B3444" s="241" t="s">
        <v>1462</v>
      </c>
      <c r="C3444" s="3" t="s">
        <v>1</v>
      </c>
      <c r="D3444" s="2" t="s">
        <v>411</v>
      </c>
      <c r="E3444" s="114">
        <v>0.06</v>
      </c>
      <c r="F3444" s="23">
        <f>VLOOKUP(B3444,'BASE DE DATOS'!$A$5:$E$997,5,FALSE)</f>
        <v>46900</v>
      </c>
      <c r="G3444" s="104">
        <v>1.03</v>
      </c>
      <c r="H3444" s="252">
        <f t="shared" si="305"/>
        <v>2898.42</v>
      </c>
    </row>
    <row r="3445" spans="1:9" x14ac:dyDescent="0.2">
      <c r="A3445" s="936"/>
      <c r="B3445" s="244" t="s">
        <v>1701</v>
      </c>
      <c r="C3445" s="20" t="s">
        <v>2071</v>
      </c>
      <c r="D3445" s="19" t="s">
        <v>411</v>
      </c>
      <c r="E3445" s="194">
        <v>0.06</v>
      </c>
      <c r="F3445" s="23">
        <f>VLOOKUP(B3445,'BASE DE DATOS'!$A$5:$E$997,5,FALSE)</f>
        <v>80900</v>
      </c>
      <c r="G3445" s="58">
        <v>1.03</v>
      </c>
      <c r="H3445" s="252">
        <f t="shared" si="305"/>
        <v>4999.62</v>
      </c>
    </row>
    <row r="3446" spans="1:9" x14ac:dyDescent="0.2">
      <c r="A3446" s="81" t="s">
        <v>2555</v>
      </c>
      <c r="B3446" s="244" t="s">
        <v>644</v>
      </c>
      <c r="C3446" s="20" t="s">
        <v>645</v>
      </c>
      <c r="D3446" s="19" t="s">
        <v>585</v>
      </c>
      <c r="E3446" s="194">
        <v>1</v>
      </c>
      <c r="F3446" s="23">
        <f>VLOOKUP(B3446,'BASE DE DATOS'!$A$5:$E$997,5,FALSE)</f>
        <v>248302</v>
      </c>
      <c r="G3446" s="58">
        <f>1/30</f>
        <v>3.3333333333333333E-2</v>
      </c>
      <c r="H3446" s="252">
        <f t="shared" si="305"/>
        <v>8276.7333333333336</v>
      </c>
    </row>
    <row r="3447" spans="1:9" ht="13.5" thickBot="1" x14ac:dyDescent="0.25">
      <c r="A3447" s="94" t="s">
        <v>293</v>
      </c>
      <c r="B3447" s="543" t="s">
        <v>269</v>
      </c>
      <c r="C3447" s="111" t="s">
        <v>284</v>
      </c>
      <c r="D3447" s="112" t="s">
        <v>586</v>
      </c>
      <c r="E3447" s="201">
        <v>0.1</v>
      </c>
      <c r="F3447" s="113">
        <f>H3446</f>
        <v>8276.7333333333336</v>
      </c>
      <c r="G3447" s="157">
        <v>0</v>
      </c>
      <c r="H3447" s="479">
        <f t="shared" si="305"/>
        <v>827.6733333333334</v>
      </c>
    </row>
    <row r="3448" spans="1:9" s="42" customFormat="1" ht="30" x14ac:dyDescent="0.2">
      <c r="A3448" s="68" t="s">
        <v>3398</v>
      </c>
      <c r="B3448" s="526"/>
      <c r="C3448" s="399" t="s">
        <v>3446</v>
      </c>
      <c r="D3448" s="326" t="s">
        <v>411</v>
      </c>
      <c r="E3448" s="414"/>
      <c r="F3448" s="401">
        <f>ROUND(SUM(H3448:H3455),0)</f>
        <v>106832</v>
      </c>
      <c r="G3448" s="402"/>
      <c r="H3448" s="330"/>
      <c r="I3448" s="738"/>
    </row>
    <row r="3449" spans="1:9" x14ac:dyDescent="0.2">
      <c r="A3449" s="936" t="s">
        <v>382</v>
      </c>
      <c r="B3449" s="244" t="s">
        <v>1668</v>
      </c>
      <c r="C3449" s="20" t="s">
        <v>246</v>
      </c>
      <c r="D3449" s="19" t="s">
        <v>405</v>
      </c>
      <c r="E3449" s="194">
        <v>3</v>
      </c>
      <c r="F3449" s="23">
        <f>VLOOKUP(B3449,'BASE DE DATOS'!$A$5:$E$997,5,FALSE)</f>
        <v>8317</v>
      </c>
      <c r="G3449" s="58">
        <v>1.05</v>
      </c>
      <c r="H3449" s="252">
        <f t="shared" si="305"/>
        <v>26198.550000000003</v>
      </c>
    </row>
    <row r="3450" spans="1:9" x14ac:dyDescent="0.2">
      <c r="A3450" s="936"/>
      <c r="B3450" s="244" t="s">
        <v>1257</v>
      </c>
      <c r="C3450" s="20" t="s">
        <v>2692</v>
      </c>
      <c r="D3450" s="19" t="s">
        <v>411</v>
      </c>
      <c r="E3450" s="194">
        <v>2</v>
      </c>
      <c r="F3450" s="23">
        <f>VLOOKUP(B3450,'BASE DE DATOS'!$A$5:$E$997,5,FALSE)</f>
        <v>7950</v>
      </c>
      <c r="G3450" s="58">
        <v>0</v>
      </c>
      <c r="H3450" s="252">
        <f t="shared" si="305"/>
        <v>15900</v>
      </c>
    </row>
    <row r="3451" spans="1:9" x14ac:dyDescent="0.2">
      <c r="A3451" s="936"/>
      <c r="B3451" s="241" t="s">
        <v>1462</v>
      </c>
      <c r="C3451" s="3" t="s">
        <v>1</v>
      </c>
      <c r="D3451" s="2" t="s">
        <v>411</v>
      </c>
      <c r="E3451" s="114">
        <v>0.06</v>
      </c>
      <c r="F3451" s="23">
        <f>VLOOKUP(B3451,'BASE DE DATOS'!$A$5:$E$997,5,FALSE)</f>
        <v>46900</v>
      </c>
      <c r="G3451" s="104">
        <v>1.03</v>
      </c>
      <c r="H3451" s="252">
        <f t="shared" si="305"/>
        <v>2898.42</v>
      </c>
    </row>
    <row r="3452" spans="1:9" x14ac:dyDescent="0.2">
      <c r="A3452" s="936"/>
      <c r="B3452" s="241" t="s">
        <v>1701</v>
      </c>
      <c r="C3452" s="3" t="s">
        <v>2071</v>
      </c>
      <c r="D3452" s="2" t="s">
        <v>411</v>
      </c>
      <c r="E3452" s="114">
        <v>0.06</v>
      </c>
      <c r="F3452" s="23">
        <f>VLOOKUP(B3452,'BASE DE DATOS'!$A$5:$E$997,5,FALSE)</f>
        <v>80900</v>
      </c>
      <c r="G3452" s="104">
        <v>1.03</v>
      </c>
      <c r="H3452" s="252">
        <f t="shared" si="305"/>
        <v>4999.62</v>
      </c>
    </row>
    <row r="3453" spans="1:9" ht="14.25" x14ac:dyDescent="0.2">
      <c r="A3453" s="64" t="s">
        <v>3252</v>
      </c>
      <c r="B3453" s="241" t="s">
        <v>810</v>
      </c>
      <c r="C3453" s="3" t="s">
        <v>2097</v>
      </c>
      <c r="D3453" s="2" t="s">
        <v>285</v>
      </c>
      <c r="E3453" s="114">
        <v>4.0000000000000001E-3</v>
      </c>
      <c r="F3453" s="23">
        <f>F90</f>
        <v>525897</v>
      </c>
      <c r="G3453" s="104">
        <v>1.05</v>
      </c>
      <c r="H3453" s="252">
        <f t="shared" si="305"/>
        <v>2208.7674000000002</v>
      </c>
    </row>
    <row r="3454" spans="1:9" x14ac:dyDescent="0.2">
      <c r="A3454" s="81" t="s">
        <v>2555</v>
      </c>
      <c r="B3454" s="241" t="s">
        <v>644</v>
      </c>
      <c r="C3454" s="3" t="s">
        <v>645</v>
      </c>
      <c r="D3454" s="2" t="s">
        <v>585</v>
      </c>
      <c r="E3454" s="114">
        <v>1</v>
      </c>
      <c r="F3454" s="23">
        <f>VLOOKUP(B3454,'BASE DE DATOS'!$A$5:$E$997,5,FALSE)</f>
        <v>248302</v>
      </c>
      <c r="G3454" s="104">
        <f>1/5</f>
        <v>0.2</v>
      </c>
      <c r="H3454" s="252">
        <f t="shared" si="305"/>
        <v>49660.4</v>
      </c>
    </row>
    <row r="3455" spans="1:9" ht="13.5" thickBot="1" x14ac:dyDescent="0.25">
      <c r="A3455" s="94" t="s">
        <v>293</v>
      </c>
      <c r="B3455" s="528" t="s">
        <v>269</v>
      </c>
      <c r="C3455" s="108" t="s">
        <v>284</v>
      </c>
      <c r="D3455" s="109" t="s">
        <v>586</v>
      </c>
      <c r="E3455" s="200">
        <v>0.1</v>
      </c>
      <c r="F3455" s="110">
        <f>H3454</f>
        <v>49660.4</v>
      </c>
      <c r="G3455" s="156">
        <v>0</v>
      </c>
      <c r="H3455" s="479">
        <f t="shared" si="305"/>
        <v>4966.0400000000009</v>
      </c>
    </row>
    <row r="3456" spans="1:9" s="42" customFormat="1" ht="30" x14ac:dyDescent="0.2">
      <c r="A3456" s="68" t="s">
        <v>3399</v>
      </c>
      <c r="B3456" s="526"/>
      <c r="C3456" s="399" t="s">
        <v>3447</v>
      </c>
      <c r="D3456" s="326" t="s">
        <v>411</v>
      </c>
      <c r="E3456" s="414"/>
      <c r="F3456" s="401">
        <f>ROUND(SUM(H3456:H3462),0)</f>
        <v>104623</v>
      </c>
      <c r="G3456" s="402"/>
      <c r="H3456" s="330"/>
      <c r="I3456" s="738"/>
    </row>
    <row r="3457" spans="1:9" x14ac:dyDescent="0.2">
      <c r="A3457" s="936" t="s">
        <v>382</v>
      </c>
      <c r="B3457" s="244" t="s">
        <v>1668</v>
      </c>
      <c r="C3457" s="20" t="s">
        <v>246</v>
      </c>
      <c r="D3457" s="19" t="s">
        <v>405</v>
      </c>
      <c r="E3457" s="194">
        <v>3</v>
      </c>
      <c r="F3457" s="23">
        <f>VLOOKUP(B3457,'BASE DE DATOS'!$A$5:$E$997,5,FALSE)</f>
        <v>8317</v>
      </c>
      <c r="G3457" s="58">
        <v>1.05</v>
      </c>
      <c r="H3457" s="252">
        <f t="shared" ref="H3457:H3470" si="306">IF(G3457&gt;0,(G3457*F3457*E3457),(F3457*E3457))</f>
        <v>26198.550000000003</v>
      </c>
    </row>
    <row r="3458" spans="1:9" x14ac:dyDescent="0.2">
      <c r="A3458" s="936"/>
      <c r="B3458" s="244" t="s">
        <v>1257</v>
      </c>
      <c r="C3458" s="20" t="s">
        <v>2692</v>
      </c>
      <c r="D3458" s="19" t="s">
        <v>411</v>
      </c>
      <c r="E3458" s="194">
        <v>2</v>
      </c>
      <c r="F3458" s="23">
        <f>VLOOKUP(B3458,'BASE DE DATOS'!$A$5:$E$997,5,FALSE)</f>
        <v>7950</v>
      </c>
      <c r="G3458" s="58">
        <v>0</v>
      </c>
      <c r="H3458" s="252">
        <f t="shared" si="306"/>
        <v>15900</v>
      </c>
    </row>
    <row r="3459" spans="1:9" x14ac:dyDescent="0.2">
      <c r="A3459" s="936"/>
      <c r="B3459" s="241" t="s">
        <v>1462</v>
      </c>
      <c r="C3459" s="3" t="s">
        <v>1</v>
      </c>
      <c r="D3459" s="2" t="s">
        <v>411</v>
      </c>
      <c r="E3459" s="114">
        <v>0.06</v>
      </c>
      <c r="F3459" s="23">
        <f>VLOOKUP(B3459,'BASE DE DATOS'!$A$5:$E$997,5,FALSE)</f>
        <v>46900</v>
      </c>
      <c r="G3459" s="104">
        <v>1.03</v>
      </c>
      <c r="H3459" s="252">
        <f t="shared" si="306"/>
        <v>2898.42</v>
      </c>
    </row>
    <row r="3460" spans="1:9" x14ac:dyDescent="0.2">
      <c r="A3460" s="936"/>
      <c r="B3460" s="241" t="s">
        <v>1701</v>
      </c>
      <c r="C3460" s="3" t="s">
        <v>2071</v>
      </c>
      <c r="D3460" s="2" t="s">
        <v>411</v>
      </c>
      <c r="E3460" s="114">
        <v>0.06</v>
      </c>
      <c r="F3460" s="23">
        <f>VLOOKUP(B3460,'BASE DE DATOS'!$A$5:$E$997,5,FALSE)</f>
        <v>80900</v>
      </c>
      <c r="G3460" s="104">
        <v>1.03</v>
      </c>
      <c r="H3460" s="252">
        <f t="shared" si="306"/>
        <v>4999.62</v>
      </c>
    </row>
    <row r="3461" spans="1:9" x14ac:dyDescent="0.2">
      <c r="A3461" s="497" t="s">
        <v>2555</v>
      </c>
      <c r="B3461" s="241" t="s">
        <v>644</v>
      </c>
      <c r="C3461" s="3" t="s">
        <v>645</v>
      </c>
      <c r="D3461" s="2" t="s">
        <v>585</v>
      </c>
      <c r="E3461" s="114">
        <v>1</v>
      </c>
      <c r="F3461" s="23">
        <f>VLOOKUP(B3461,'BASE DE DATOS'!$A$5:$E$997,5,FALSE)</f>
        <v>248302</v>
      </c>
      <c r="G3461" s="104">
        <f>1/5</f>
        <v>0.2</v>
      </c>
      <c r="H3461" s="252">
        <f t="shared" si="306"/>
        <v>49660.4</v>
      </c>
    </row>
    <row r="3462" spans="1:9" ht="13.5" thickBot="1" x14ac:dyDescent="0.25">
      <c r="A3462" s="496" t="s">
        <v>293</v>
      </c>
      <c r="B3462" s="528" t="s">
        <v>269</v>
      </c>
      <c r="C3462" s="108" t="s">
        <v>284</v>
      </c>
      <c r="D3462" s="109" t="s">
        <v>586</v>
      </c>
      <c r="E3462" s="200">
        <v>0.1</v>
      </c>
      <c r="F3462" s="110">
        <f>H3461</f>
        <v>49660.4</v>
      </c>
      <c r="G3462" s="156">
        <v>0</v>
      </c>
      <c r="H3462" s="479">
        <f t="shared" si="306"/>
        <v>4966.0400000000009</v>
      </c>
    </row>
    <row r="3463" spans="1:9" s="42" customFormat="1" ht="30" x14ac:dyDescent="0.2">
      <c r="A3463" s="67" t="s">
        <v>3400</v>
      </c>
      <c r="B3463" s="529"/>
      <c r="C3463" s="388" t="s">
        <v>3448</v>
      </c>
      <c r="D3463" s="389" t="s">
        <v>411</v>
      </c>
      <c r="E3463" s="395"/>
      <c r="F3463" s="391">
        <f>ROUND(SUM(H3463:H3470),0)</f>
        <v>132095</v>
      </c>
      <c r="G3463" s="392"/>
      <c r="H3463" s="393"/>
      <c r="I3463" s="738"/>
    </row>
    <row r="3464" spans="1:9" x14ac:dyDescent="0.2">
      <c r="A3464" s="936" t="s">
        <v>382</v>
      </c>
      <c r="B3464" s="241" t="s">
        <v>1669</v>
      </c>
      <c r="C3464" s="3" t="s">
        <v>211</v>
      </c>
      <c r="D3464" s="2" t="s">
        <v>405</v>
      </c>
      <c r="E3464" s="114">
        <v>3</v>
      </c>
      <c r="F3464" s="23">
        <f>VLOOKUP(B3464,'BASE DE DATOS'!$A$5:$E$997,5,FALSE)</f>
        <v>12983</v>
      </c>
      <c r="G3464" s="104">
        <v>1.05</v>
      </c>
      <c r="H3464" s="252">
        <f t="shared" si="306"/>
        <v>40896.450000000004</v>
      </c>
    </row>
    <row r="3465" spans="1:9" x14ac:dyDescent="0.2">
      <c r="A3465" s="936"/>
      <c r="B3465" s="241" t="s">
        <v>1258</v>
      </c>
      <c r="C3465" s="3" t="s">
        <v>2693</v>
      </c>
      <c r="D3465" s="2" t="s">
        <v>411</v>
      </c>
      <c r="E3465" s="114">
        <v>2</v>
      </c>
      <c r="F3465" s="23">
        <f>VLOOKUP(B3465,'BASE DE DATOS'!$A$5:$E$997,5,FALSE)</f>
        <v>10600</v>
      </c>
      <c r="G3465" s="104">
        <v>0</v>
      </c>
      <c r="H3465" s="252">
        <f t="shared" si="306"/>
        <v>21200</v>
      </c>
    </row>
    <row r="3466" spans="1:9" x14ac:dyDescent="0.2">
      <c r="A3466" s="936"/>
      <c r="B3466" s="241" t="s">
        <v>1462</v>
      </c>
      <c r="C3466" s="3" t="s">
        <v>1</v>
      </c>
      <c r="D3466" s="2" t="s">
        <v>411</v>
      </c>
      <c r="E3466" s="114">
        <v>0.1</v>
      </c>
      <c r="F3466" s="23">
        <f>VLOOKUP(B3466,'BASE DE DATOS'!$A$5:$E$997,5,FALSE)</f>
        <v>46900</v>
      </c>
      <c r="G3466" s="104">
        <v>1.03</v>
      </c>
      <c r="H3466" s="252">
        <f t="shared" si="306"/>
        <v>4830.7</v>
      </c>
    </row>
    <row r="3467" spans="1:9" x14ac:dyDescent="0.2">
      <c r="A3467" s="936"/>
      <c r="B3467" s="241" t="s">
        <v>1701</v>
      </c>
      <c r="C3467" s="3" t="s">
        <v>2071</v>
      </c>
      <c r="D3467" s="2" t="s">
        <v>411</v>
      </c>
      <c r="E3467" s="114">
        <v>0.1</v>
      </c>
      <c r="F3467" s="23">
        <f>VLOOKUP(B3467,'BASE DE DATOS'!$A$5:$E$997,5,FALSE)</f>
        <v>80900</v>
      </c>
      <c r="G3467" s="104">
        <v>1.03</v>
      </c>
      <c r="H3467" s="252">
        <f t="shared" si="306"/>
        <v>8332.7000000000007</v>
      </c>
    </row>
    <row r="3468" spans="1:9" ht="14.25" x14ac:dyDescent="0.2">
      <c r="A3468" s="64" t="s">
        <v>3252</v>
      </c>
      <c r="B3468" s="241" t="s">
        <v>810</v>
      </c>
      <c r="C3468" s="3" t="s">
        <v>2097</v>
      </c>
      <c r="D3468" s="2" t="s">
        <v>285</v>
      </c>
      <c r="E3468" s="114">
        <v>4.0000000000000001E-3</v>
      </c>
      <c r="F3468" s="23">
        <f>F90</f>
        <v>525897</v>
      </c>
      <c r="G3468" s="104">
        <v>1.05</v>
      </c>
      <c r="H3468" s="252">
        <f t="shared" si="306"/>
        <v>2208.7674000000002</v>
      </c>
    </row>
    <row r="3469" spans="1:9" x14ac:dyDescent="0.2">
      <c r="A3469" s="81" t="s">
        <v>2555</v>
      </c>
      <c r="B3469" s="241" t="s">
        <v>644</v>
      </c>
      <c r="C3469" s="3" t="s">
        <v>645</v>
      </c>
      <c r="D3469" s="2" t="s">
        <v>585</v>
      </c>
      <c r="E3469" s="114">
        <v>1</v>
      </c>
      <c r="F3469" s="23">
        <f>VLOOKUP(B3469,'BASE DE DATOS'!$A$5:$E$997,5,FALSE)</f>
        <v>248302</v>
      </c>
      <c r="G3469" s="104">
        <f>1/5</f>
        <v>0.2</v>
      </c>
      <c r="H3469" s="252">
        <f t="shared" si="306"/>
        <v>49660.4</v>
      </c>
    </row>
    <row r="3470" spans="1:9" ht="13.5" thickBot="1" x14ac:dyDescent="0.25">
      <c r="A3470" s="94" t="s">
        <v>293</v>
      </c>
      <c r="B3470" s="528" t="s">
        <v>269</v>
      </c>
      <c r="C3470" s="108" t="s">
        <v>284</v>
      </c>
      <c r="D3470" s="109" t="s">
        <v>586</v>
      </c>
      <c r="E3470" s="200">
        <v>0.1</v>
      </c>
      <c r="F3470" s="110">
        <f>H3469</f>
        <v>49660.4</v>
      </c>
      <c r="G3470" s="156">
        <v>0</v>
      </c>
      <c r="H3470" s="479">
        <f t="shared" si="306"/>
        <v>4966.0400000000009</v>
      </c>
    </row>
    <row r="3471" spans="1:9" s="42" customFormat="1" ht="30" x14ac:dyDescent="0.2">
      <c r="A3471" s="67" t="s">
        <v>3401</v>
      </c>
      <c r="B3471" s="529"/>
      <c r="C3471" s="388" t="s">
        <v>3449</v>
      </c>
      <c r="D3471" s="389" t="s">
        <v>411</v>
      </c>
      <c r="E3471" s="395"/>
      <c r="F3471" s="391">
        <f>ROUND(SUM(H3471:H3477),0)</f>
        <v>129886</v>
      </c>
      <c r="G3471" s="392"/>
      <c r="H3471" s="393"/>
      <c r="I3471" s="738"/>
    </row>
    <row r="3472" spans="1:9" x14ac:dyDescent="0.2">
      <c r="A3472" s="936" t="s">
        <v>382</v>
      </c>
      <c r="B3472" s="241" t="s">
        <v>1669</v>
      </c>
      <c r="C3472" s="3" t="s">
        <v>211</v>
      </c>
      <c r="D3472" s="2" t="s">
        <v>405</v>
      </c>
      <c r="E3472" s="114">
        <v>3</v>
      </c>
      <c r="F3472" s="23">
        <f>VLOOKUP(B3472,'BASE DE DATOS'!$A$5:$E$997,5,FALSE)</f>
        <v>12983</v>
      </c>
      <c r="G3472" s="104">
        <v>1.05</v>
      </c>
      <c r="H3472" s="252">
        <f t="shared" ref="H3472:H3485" si="307">IF(G3472&gt;0,(G3472*F3472*E3472),(F3472*E3472))</f>
        <v>40896.450000000004</v>
      </c>
    </row>
    <row r="3473" spans="1:9" x14ac:dyDescent="0.2">
      <c r="A3473" s="936"/>
      <c r="B3473" s="241" t="s">
        <v>1258</v>
      </c>
      <c r="C3473" s="3" t="s">
        <v>2693</v>
      </c>
      <c r="D3473" s="2" t="s">
        <v>411</v>
      </c>
      <c r="E3473" s="114">
        <v>2</v>
      </c>
      <c r="F3473" s="23">
        <f>VLOOKUP(B3473,'BASE DE DATOS'!$A$5:$E$997,5,FALSE)</f>
        <v>10600</v>
      </c>
      <c r="G3473" s="104">
        <v>0</v>
      </c>
      <c r="H3473" s="252">
        <f t="shared" si="307"/>
        <v>21200</v>
      </c>
    </row>
    <row r="3474" spans="1:9" x14ac:dyDescent="0.2">
      <c r="A3474" s="936"/>
      <c r="B3474" s="241" t="s">
        <v>1462</v>
      </c>
      <c r="C3474" s="3" t="s">
        <v>1</v>
      </c>
      <c r="D3474" s="2" t="s">
        <v>411</v>
      </c>
      <c r="E3474" s="114">
        <v>0.1</v>
      </c>
      <c r="F3474" s="23">
        <f>VLOOKUP(B3474,'BASE DE DATOS'!$A$5:$E$997,5,FALSE)</f>
        <v>46900</v>
      </c>
      <c r="G3474" s="104">
        <v>1.03</v>
      </c>
      <c r="H3474" s="252">
        <f t="shared" si="307"/>
        <v>4830.7</v>
      </c>
    </row>
    <row r="3475" spans="1:9" x14ac:dyDescent="0.2">
      <c r="A3475" s="936"/>
      <c r="B3475" s="241" t="s">
        <v>1701</v>
      </c>
      <c r="C3475" s="3" t="s">
        <v>2071</v>
      </c>
      <c r="D3475" s="2" t="s">
        <v>411</v>
      </c>
      <c r="E3475" s="114">
        <v>0.1</v>
      </c>
      <c r="F3475" s="23">
        <f>VLOOKUP(B3475,'BASE DE DATOS'!$A$5:$E$997,5,FALSE)</f>
        <v>80900</v>
      </c>
      <c r="G3475" s="104">
        <v>1.03</v>
      </c>
      <c r="H3475" s="252">
        <f t="shared" si="307"/>
        <v>8332.7000000000007</v>
      </c>
    </row>
    <row r="3476" spans="1:9" x14ac:dyDescent="0.2">
      <c r="A3476" s="497" t="s">
        <v>2555</v>
      </c>
      <c r="B3476" s="241" t="s">
        <v>644</v>
      </c>
      <c r="C3476" s="3" t="s">
        <v>645</v>
      </c>
      <c r="D3476" s="2" t="s">
        <v>585</v>
      </c>
      <c r="E3476" s="114">
        <v>1</v>
      </c>
      <c r="F3476" s="23">
        <f>VLOOKUP(B3476,'BASE DE DATOS'!$A$5:$E$997,5,FALSE)</f>
        <v>248302</v>
      </c>
      <c r="G3476" s="104">
        <f>1/5</f>
        <v>0.2</v>
      </c>
      <c r="H3476" s="252">
        <f t="shared" si="307"/>
        <v>49660.4</v>
      </c>
    </row>
    <row r="3477" spans="1:9" ht="13.5" thickBot="1" x14ac:dyDescent="0.25">
      <c r="A3477" s="496" t="s">
        <v>293</v>
      </c>
      <c r="B3477" s="528" t="s">
        <v>269</v>
      </c>
      <c r="C3477" s="108" t="s">
        <v>284</v>
      </c>
      <c r="D3477" s="109" t="s">
        <v>586</v>
      </c>
      <c r="E3477" s="200">
        <v>0.1</v>
      </c>
      <c r="F3477" s="110">
        <f>H3476</f>
        <v>49660.4</v>
      </c>
      <c r="G3477" s="156">
        <v>0</v>
      </c>
      <c r="H3477" s="479">
        <f t="shared" si="307"/>
        <v>4966.0400000000009</v>
      </c>
    </row>
    <row r="3478" spans="1:9" s="42" customFormat="1" ht="30" x14ac:dyDescent="0.2">
      <c r="A3478" s="67" t="s">
        <v>3402</v>
      </c>
      <c r="B3478" s="529"/>
      <c r="C3478" s="388" t="s">
        <v>3450</v>
      </c>
      <c r="D3478" s="389" t="s">
        <v>411</v>
      </c>
      <c r="E3478" s="390"/>
      <c r="F3478" s="391">
        <f>ROUND(SUM(H3478:H3485),0)</f>
        <v>162830</v>
      </c>
      <c r="G3478" s="392"/>
      <c r="H3478" s="393"/>
      <c r="I3478" s="738"/>
    </row>
    <row r="3479" spans="1:9" x14ac:dyDescent="0.2">
      <c r="A3479" s="936" t="s">
        <v>382</v>
      </c>
      <c r="B3479" s="241" t="s">
        <v>1671</v>
      </c>
      <c r="C3479" s="3" t="s">
        <v>247</v>
      </c>
      <c r="D3479" s="2" t="s">
        <v>405</v>
      </c>
      <c r="E3479" s="114">
        <v>3</v>
      </c>
      <c r="F3479" s="23">
        <f>VLOOKUP(B3479,'BASE DE DATOS'!$A$5:$E$997,5,FALSE)</f>
        <v>18317</v>
      </c>
      <c r="G3479" s="104">
        <v>1.05</v>
      </c>
      <c r="H3479" s="252">
        <f t="shared" si="307"/>
        <v>57698.55</v>
      </c>
    </row>
    <row r="3480" spans="1:9" x14ac:dyDescent="0.2">
      <c r="A3480" s="936"/>
      <c r="B3480" s="241" t="s">
        <v>1259</v>
      </c>
      <c r="C3480" s="3" t="s">
        <v>2694</v>
      </c>
      <c r="D3480" s="2" t="s">
        <v>411</v>
      </c>
      <c r="E3480" s="114">
        <v>2</v>
      </c>
      <c r="F3480" s="23">
        <f>VLOOKUP(B3480,'BASE DE DATOS'!$A$5:$E$997,5,FALSE)</f>
        <v>16250</v>
      </c>
      <c r="G3480" s="104">
        <v>0</v>
      </c>
      <c r="H3480" s="252">
        <f t="shared" si="307"/>
        <v>32500</v>
      </c>
    </row>
    <row r="3481" spans="1:9" x14ac:dyDescent="0.2">
      <c r="A3481" s="936"/>
      <c r="B3481" s="241" t="s">
        <v>1462</v>
      </c>
      <c r="C3481" s="3" t="s">
        <v>1</v>
      </c>
      <c r="D3481" s="2" t="s">
        <v>411</v>
      </c>
      <c r="E3481" s="114">
        <v>0.12</v>
      </c>
      <c r="F3481" s="23">
        <f>VLOOKUP(B3481,'BASE DE DATOS'!$A$5:$E$997,5,FALSE)</f>
        <v>46900</v>
      </c>
      <c r="G3481" s="104">
        <v>1.03</v>
      </c>
      <c r="H3481" s="252">
        <f t="shared" si="307"/>
        <v>5796.84</v>
      </c>
    </row>
    <row r="3482" spans="1:9" x14ac:dyDescent="0.2">
      <c r="A3482" s="936"/>
      <c r="B3482" s="241" t="s">
        <v>1701</v>
      </c>
      <c r="C3482" s="3" t="s">
        <v>2071</v>
      </c>
      <c r="D3482" s="2" t="s">
        <v>411</v>
      </c>
      <c r="E3482" s="114">
        <v>0.12</v>
      </c>
      <c r="F3482" s="23">
        <f>VLOOKUP(B3482,'BASE DE DATOS'!$A$5:$E$997,5,FALSE)</f>
        <v>80900</v>
      </c>
      <c r="G3482" s="104">
        <v>1.03</v>
      </c>
      <c r="H3482" s="252">
        <f t="shared" si="307"/>
        <v>9999.24</v>
      </c>
    </row>
    <row r="3483" spans="1:9" ht="14.25" x14ac:dyDescent="0.2">
      <c r="A3483" s="64" t="s">
        <v>3252</v>
      </c>
      <c r="B3483" s="241" t="s">
        <v>810</v>
      </c>
      <c r="C3483" s="3" t="s">
        <v>2097</v>
      </c>
      <c r="D3483" s="2" t="s">
        <v>285</v>
      </c>
      <c r="E3483" s="114">
        <v>4.0000000000000001E-3</v>
      </c>
      <c r="F3483" s="23">
        <f>F90</f>
        <v>525897</v>
      </c>
      <c r="G3483" s="104">
        <v>1.05</v>
      </c>
      <c r="H3483" s="252">
        <f t="shared" si="307"/>
        <v>2208.7674000000002</v>
      </c>
    </row>
    <row r="3484" spans="1:9" x14ac:dyDescent="0.2">
      <c r="A3484" s="81" t="s">
        <v>2555</v>
      </c>
      <c r="B3484" s="241" t="s">
        <v>644</v>
      </c>
      <c r="C3484" s="3" t="s">
        <v>645</v>
      </c>
      <c r="D3484" s="2" t="s">
        <v>585</v>
      </c>
      <c r="E3484" s="114">
        <v>1</v>
      </c>
      <c r="F3484" s="23">
        <f>VLOOKUP(B3484,'BASE DE DATOS'!$A$5:$E$997,5,FALSE)</f>
        <v>248302</v>
      </c>
      <c r="G3484" s="104">
        <f>1/5</f>
        <v>0.2</v>
      </c>
      <c r="H3484" s="252">
        <f t="shared" si="307"/>
        <v>49660.4</v>
      </c>
    </row>
    <row r="3485" spans="1:9" ht="13.5" thickBot="1" x14ac:dyDescent="0.25">
      <c r="A3485" s="94" t="s">
        <v>293</v>
      </c>
      <c r="B3485" s="528" t="s">
        <v>269</v>
      </c>
      <c r="C3485" s="108" t="s">
        <v>284</v>
      </c>
      <c r="D3485" s="109" t="s">
        <v>586</v>
      </c>
      <c r="E3485" s="200">
        <v>0.1</v>
      </c>
      <c r="F3485" s="110">
        <f>H3484</f>
        <v>49660.4</v>
      </c>
      <c r="G3485" s="156">
        <v>0</v>
      </c>
      <c r="H3485" s="479">
        <f t="shared" si="307"/>
        <v>4966.0400000000009</v>
      </c>
    </row>
    <row r="3486" spans="1:9" s="42" customFormat="1" ht="30" x14ac:dyDescent="0.2">
      <c r="A3486" s="67" t="s">
        <v>3403</v>
      </c>
      <c r="B3486" s="529"/>
      <c r="C3486" s="388" t="s">
        <v>3451</v>
      </c>
      <c r="D3486" s="389" t="s">
        <v>411</v>
      </c>
      <c r="E3486" s="390"/>
      <c r="F3486" s="391">
        <f>ROUND(SUM(H3486:H3492),0)</f>
        <v>160621</v>
      </c>
      <c r="G3486" s="392"/>
      <c r="H3486" s="393"/>
      <c r="I3486" s="738"/>
    </row>
    <row r="3487" spans="1:9" x14ac:dyDescent="0.2">
      <c r="A3487" s="936" t="s">
        <v>382</v>
      </c>
      <c r="B3487" s="241" t="s">
        <v>1671</v>
      </c>
      <c r="C3487" s="3" t="s">
        <v>247</v>
      </c>
      <c r="D3487" s="2" t="s">
        <v>405</v>
      </c>
      <c r="E3487" s="114">
        <v>3</v>
      </c>
      <c r="F3487" s="23">
        <f>VLOOKUP(B3487,'BASE DE DATOS'!$A$5:$E$997,5,FALSE)</f>
        <v>18317</v>
      </c>
      <c r="G3487" s="104">
        <v>1.05</v>
      </c>
      <c r="H3487" s="252">
        <f t="shared" ref="H3487:H3550" si="308">IF(G3487&gt;0,(G3487*F3487*E3487),(F3487*E3487))</f>
        <v>57698.55</v>
      </c>
    </row>
    <row r="3488" spans="1:9" x14ac:dyDescent="0.2">
      <c r="A3488" s="936"/>
      <c r="B3488" s="241" t="s">
        <v>1259</v>
      </c>
      <c r="C3488" s="3" t="s">
        <v>2694</v>
      </c>
      <c r="D3488" s="2" t="s">
        <v>411</v>
      </c>
      <c r="E3488" s="114">
        <v>2</v>
      </c>
      <c r="F3488" s="23">
        <f>VLOOKUP(B3488,'BASE DE DATOS'!$A$5:$E$997,5,FALSE)</f>
        <v>16250</v>
      </c>
      <c r="G3488" s="104">
        <v>0</v>
      </c>
      <c r="H3488" s="252">
        <f t="shared" si="308"/>
        <v>32500</v>
      </c>
    </row>
    <row r="3489" spans="1:9" x14ac:dyDescent="0.2">
      <c r="A3489" s="936"/>
      <c r="B3489" s="241" t="s">
        <v>1462</v>
      </c>
      <c r="C3489" s="3" t="s">
        <v>1</v>
      </c>
      <c r="D3489" s="2" t="s">
        <v>411</v>
      </c>
      <c r="E3489" s="114">
        <v>0.12</v>
      </c>
      <c r="F3489" s="23">
        <f>VLOOKUP(B3489,'BASE DE DATOS'!$A$5:$E$997,5,FALSE)</f>
        <v>46900</v>
      </c>
      <c r="G3489" s="104">
        <v>1.03</v>
      </c>
      <c r="H3489" s="252">
        <f t="shared" si="308"/>
        <v>5796.84</v>
      </c>
    </row>
    <row r="3490" spans="1:9" x14ac:dyDescent="0.2">
      <c r="A3490" s="936"/>
      <c r="B3490" s="241" t="s">
        <v>1701</v>
      </c>
      <c r="C3490" s="3" t="s">
        <v>2071</v>
      </c>
      <c r="D3490" s="2" t="s">
        <v>411</v>
      </c>
      <c r="E3490" s="114">
        <v>0.12</v>
      </c>
      <c r="F3490" s="23">
        <f>VLOOKUP(B3490,'BASE DE DATOS'!$A$5:$E$997,5,FALSE)</f>
        <v>80900</v>
      </c>
      <c r="G3490" s="104">
        <v>1.03</v>
      </c>
      <c r="H3490" s="252">
        <f t="shared" si="308"/>
        <v>9999.24</v>
      </c>
    </row>
    <row r="3491" spans="1:9" x14ac:dyDescent="0.2">
      <c r="A3491" s="497" t="s">
        <v>2555</v>
      </c>
      <c r="B3491" s="241" t="s">
        <v>644</v>
      </c>
      <c r="C3491" s="3" t="s">
        <v>645</v>
      </c>
      <c r="D3491" s="2" t="s">
        <v>585</v>
      </c>
      <c r="E3491" s="114">
        <v>1</v>
      </c>
      <c r="F3491" s="23">
        <f>VLOOKUP(B3491,'BASE DE DATOS'!$A$5:$E$997,5,FALSE)</f>
        <v>248302</v>
      </c>
      <c r="G3491" s="104">
        <f>1/5</f>
        <v>0.2</v>
      </c>
      <c r="H3491" s="252">
        <f t="shared" si="308"/>
        <v>49660.4</v>
      </c>
    </row>
    <row r="3492" spans="1:9" ht="13.5" thickBot="1" x14ac:dyDescent="0.25">
      <c r="A3492" s="496" t="s">
        <v>293</v>
      </c>
      <c r="B3492" s="528" t="s">
        <v>269</v>
      </c>
      <c r="C3492" s="108" t="s">
        <v>284</v>
      </c>
      <c r="D3492" s="109" t="s">
        <v>586</v>
      </c>
      <c r="E3492" s="200">
        <v>0.1</v>
      </c>
      <c r="F3492" s="110">
        <f>H3491</f>
        <v>49660.4</v>
      </c>
      <c r="G3492" s="156">
        <v>0</v>
      </c>
      <c r="H3492" s="479">
        <f t="shared" si="308"/>
        <v>4966.0400000000009</v>
      </c>
    </row>
    <row r="3493" spans="1:9" s="42" customFormat="1" ht="15" x14ac:dyDescent="0.2">
      <c r="A3493" s="67" t="s">
        <v>3404</v>
      </c>
      <c r="B3493" s="529"/>
      <c r="C3493" s="388" t="s">
        <v>569</v>
      </c>
      <c r="D3493" s="389" t="s">
        <v>405</v>
      </c>
      <c r="E3493" s="395"/>
      <c r="F3493" s="391">
        <f>ROUND(SUM(H3493:H3495),0)</f>
        <v>24210</v>
      </c>
      <c r="G3493" s="392"/>
      <c r="H3493" s="393"/>
      <c r="I3493" s="738"/>
    </row>
    <row r="3494" spans="1:9" x14ac:dyDescent="0.2">
      <c r="A3494" s="82" t="s">
        <v>382</v>
      </c>
      <c r="B3494" s="241" t="s">
        <v>1642</v>
      </c>
      <c r="C3494" s="3" t="s">
        <v>7</v>
      </c>
      <c r="D3494" s="2" t="s">
        <v>405</v>
      </c>
      <c r="E3494" s="114">
        <v>1</v>
      </c>
      <c r="F3494" s="23">
        <f>VLOOKUP(B3494,'BASE DE DATOS'!$A$5:$E$997,5,FALSE)</f>
        <v>17990</v>
      </c>
      <c r="G3494" s="104">
        <v>1.05</v>
      </c>
      <c r="H3494" s="252">
        <f t="shared" si="308"/>
        <v>18889.5</v>
      </c>
    </row>
    <row r="3495" spans="1:9" ht="13.5" thickBot="1" x14ac:dyDescent="0.25">
      <c r="A3495" s="122" t="s">
        <v>2555</v>
      </c>
      <c r="B3495" s="528" t="s">
        <v>599</v>
      </c>
      <c r="C3495" s="108" t="s">
        <v>600</v>
      </c>
      <c r="D3495" s="109" t="s">
        <v>585</v>
      </c>
      <c r="E3495" s="200">
        <v>1</v>
      </c>
      <c r="F3495" s="110">
        <f>VLOOKUP(B3495,'BASE DE DATOS'!$A$5:$E$997,5,FALSE)</f>
        <v>159623</v>
      </c>
      <c r="G3495" s="156">
        <f>1/30</f>
        <v>3.3333333333333333E-2</v>
      </c>
      <c r="H3495" s="479">
        <f t="shared" si="308"/>
        <v>5320.7666666666664</v>
      </c>
    </row>
    <row r="3496" spans="1:9" s="42" customFormat="1" ht="15" x14ac:dyDescent="0.2">
      <c r="A3496" s="67" t="s">
        <v>3405</v>
      </c>
      <c r="B3496" s="529"/>
      <c r="C3496" s="388" t="s">
        <v>570</v>
      </c>
      <c r="D3496" s="389" t="s">
        <v>405</v>
      </c>
      <c r="E3496" s="395"/>
      <c r="F3496" s="391">
        <f>ROUND(SUM(H3496:H3498),0)</f>
        <v>41294</v>
      </c>
      <c r="G3496" s="392"/>
      <c r="H3496" s="393"/>
      <c r="I3496" s="738"/>
    </row>
    <row r="3497" spans="1:9" x14ac:dyDescent="0.2">
      <c r="A3497" s="82" t="s">
        <v>382</v>
      </c>
      <c r="B3497" s="241" t="s">
        <v>1643</v>
      </c>
      <c r="C3497" s="3" t="s">
        <v>9</v>
      </c>
      <c r="D3497" s="2" t="s">
        <v>405</v>
      </c>
      <c r="E3497" s="114">
        <v>1</v>
      </c>
      <c r="F3497" s="23">
        <f>VLOOKUP(B3497,'BASE DE DATOS'!$A$5:$E$997,5,FALSE)</f>
        <v>34260</v>
      </c>
      <c r="G3497" s="104">
        <v>1.05</v>
      </c>
      <c r="H3497" s="252">
        <f t="shared" si="308"/>
        <v>35973</v>
      </c>
    </row>
    <row r="3498" spans="1:9" ht="13.5" thickBot="1" x14ac:dyDescent="0.25">
      <c r="A3498" s="122" t="s">
        <v>2555</v>
      </c>
      <c r="B3498" s="528" t="s">
        <v>599</v>
      </c>
      <c r="C3498" s="108" t="s">
        <v>600</v>
      </c>
      <c r="D3498" s="109" t="s">
        <v>585</v>
      </c>
      <c r="E3498" s="200">
        <v>1</v>
      </c>
      <c r="F3498" s="110">
        <f>VLOOKUP(B3498,'BASE DE DATOS'!$A$5:$E$997,5,FALSE)</f>
        <v>159623</v>
      </c>
      <c r="G3498" s="156">
        <f>1/30</f>
        <v>3.3333333333333333E-2</v>
      </c>
      <c r="H3498" s="479">
        <f t="shared" si="308"/>
        <v>5320.7666666666664</v>
      </c>
    </row>
    <row r="3499" spans="1:9" s="42" customFormat="1" ht="15" x14ac:dyDescent="0.2">
      <c r="A3499" s="67" t="s">
        <v>3406</v>
      </c>
      <c r="B3499" s="529"/>
      <c r="C3499" s="388" t="s">
        <v>571</v>
      </c>
      <c r="D3499" s="389" t="s">
        <v>405</v>
      </c>
      <c r="E3499" s="395"/>
      <c r="F3499" s="391">
        <f>ROUND(SUM(H3499:H3501),0)</f>
        <v>37525</v>
      </c>
      <c r="G3499" s="392"/>
      <c r="H3499" s="393"/>
      <c r="I3499" s="738"/>
    </row>
    <row r="3500" spans="1:9" x14ac:dyDescent="0.2">
      <c r="A3500" s="82" t="s">
        <v>382</v>
      </c>
      <c r="B3500" s="241" t="s">
        <v>1644</v>
      </c>
      <c r="C3500" s="3" t="s">
        <v>8</v>
      </c>
      <c r="D3500" s="2" t="s">
        <v>405</v>
      </c>
      <c r="E3500" s="114">
        <v>1</v>
      </c>
      <c r="F3500" s="23">
        <f>VLOOKUP(B3500,'BASE DE DATOS'!$A$5:$E$997,5,FALSE)</f>
        <v>30670.666666666668</v>
      </c>
      <c r="G3500" s="104">
        <v>1.05</v>
      </c>
      <c r="H3500" s="252">
        <f t="shared" si="308"/>
        <v>32204.200000000004</v>
      </c>
    </row>
    <row r="3501" spans="1:9" ht="13.5" thickBot="1" x14ac:dyDescent="0.25">
      <c r="A3501" s="122" t="s">
        <v>2555</v>
      </c>
      <c r="B3501" s="528" t="s">
        <v>599</v>
      </c>
      <c r="C3501" s="108" t="s">
        <v>600</v>
      </c>
      <c r="D3501" s="109" t="s">
        <v>585</v>
      </c>
      <c r="E3501" s="200">
        <v>1</v>
      </c>
      <c r="F3501" s="110">
        <f>VLOOKUP(B3501,'BASE DE DATOS'!$A$5:$E$997,5,FALSE)</f>
        <v>159623</v>
      </c>
      <c r="G3501" s="156">
        <f>1/30</f>
        <v>3.3333333333333333E-2</v>
      </c>
      <c r="H3501" s="479">
        <f t="shared" si="308"/>
        <v>5320.7666666666664</v>
      </c>
    </row>
    <row r="3502" spans="1:9" s="42" customFormat="1" ht="30" x14ac:dyDescent="0.2">
      <c r="A3502" s="67" t="s">
        <v>3407</v>
      </c>
      <c r="B3502" s="529"/>
      <c r="C3502" s="388" t="s">
        <v>1810</v>
      </c>
      <c r="D3502" s="389" t="s">
        <v>405</v>
      </c>
      <c r="E3502" s="395"/>
      <c r="F3502" s="391">
        <f>ROUND(SUM(H3502:H3506),0)</f>
        <v>2712373</v>
      </c>
      <c r="G3502" s="392"/>
      <c r="H3502" s="393"/>
      <c r="I3502" s="738"/>
    </row>
    <row r="3503" spans="1:9" x14ac:dyDescent="0.2">
      <c r="A3503" s="936" t="s">
        <v>382</v>
      </c>
      <c r="B3503" s="241" t="s">
        <v>1811</v>
      </c>
      <c r="C3503" s="248" t="s">
        <v>1810</v>
      </c>
      <c r="D3503" s="2" t="s">
        <v>405</v>
      </c>
      <c r="E3503" s="114">
        <v>1</v>
      </c>
      <c r="F3503" s="23">
        <f>VLOOKUP(B3503,'BASE DE DATOS'!$A$5:$E$997,5,FALSE)</f>
        <v>2547435.076923077</v>
      </c>
      <c r="G3503" s="104">
        <v>1.05</v>
      </c>
      <c r="H3503" s="252">
        <f t="shared" si="308"/>
        <v>2674806.8307692311</v>
      </c>
    </row>
    <row r="3504" spans="1:9" x14ac:dyDescent="0.2">
      <c r="A3504" s="936"/>
      <c r="B3504" s="241" t="s">
        <v>1691</v>
      </c>
      <c r="C3504" s="3" t="s">
        <v>249</v>
      </c>
      <c r="D3504" s="2" t="s">
        <v>590</v>
      </c>
      <c r="E3504" s="114">
        <v>3.2000000000000001E-2</v>
      </c>
      <c r="F3504" s="23">
        <f>VLOOKUP(B3504,'BASE DE DATOS'!$A$5:$E$997,5,FALSE)</f>
        <v>15110</v>
      </c>
      <c r="G3504" s="104">
        <v>1.03</v>
      </c>
      <c r="H3504" s="252">
        <f t="shared" si="308"/>
        <v>498.02560000000005</v>
      </c>
    </row>
    <row r="3505" spans="1:9" x14ac:dyDescent="0.2">
      <c r="A3505" s="81" t="s">
        <v>2555</v>
      </c>
      <c r="B3505" s="241" t="s">
        <v>607</v>
      </c>
      <c r="C3505" s="3" t="s">
        <v>608</v>
      </c>
      <c r="D3505" s="2" t="s">
        <v>585</v>
      </c>
      <c r="E3505" s="114">
        <v>1</v>
      </c>
      <c r="F3505" s="23">
        <f>VLOOKUP(B3505,'BASE DE DATOS'!$A$5:$E$997,5,FALSE)</f>
        <v>336981</v>
      </c>
      <c r="G3505" s="104">
        <f>1/10</f>
        <v>0.1</v>
      </c>
      <c r="H3505" s="252">
        <f t="shared" si="308"/>
        <v>33698.1</v>
      </c>
    </row>
    <row r="3506" spans="1:9" ht="13.5" thickBot="1" x14ac:dyDescent="0.25">
      <c r="A3506" s="94" t="s">
        <v>293</v>
      </c>
      <c r="B3506" s="528" t="s">
        <v>269</v>
      </c>
      <c r="C3506" s="108" t="s">
        <v>284</v>
      </c>
      <c r="D3506" s="109" t="s">
        <v>586</v>
      </c>
      <c r="E3506" s="200">
        <v>0.1</v>
      </c>
      <c r="F3506" s="110">
        <f>H3505</f>
        <v>33698.1</v>
      </c>
      <c r="G3506" s="156">
        <v>0</v>
      </c>
      <c r="H3506" s="479">
        <f t="shared" si="308"/>
        <v>3369.81</v>
      </c>
    </row>
    <row r="3507" spans="1:9" s="42" customFormat="1" ht="30" x14ac:dyDescent="0.2">
      <c r="A3507" s="67" t="s">
        <v>3408</v>
      </c>
      <c r="B3507" s="529"/>
      <c r="C3507" s="440" t="s">
        <v>1247</v>
      </c>
      <c r="D3507" s="389" t="s">
        <v>405</v>
      </c>
      <c r="E3507" s="395"/>
      <c r="F3507" s="391">
        <f>ROUND(SUM(H3507:H3511),0)</f>
        <v>3335478</v>
      </c>
      <c r="G3507" s="392"/>
      <c r="H3507" s="393"/>
      <c r="I3507" s="738"/>
    </row>
    <row r="3508" spans="1:9" x14ac:dyDescent="0.2">
      <c r="A3508" s="936" t="s">
        <v>382</v>
      </c>
      <c r="B3508" s="241" t="s">
        <v>1654</v>
      </c>
      <c r="C3508" s="3" t="s">
        <v>1247</v>
      </c>
      <c r="D3508" s="2" t="s">
        <v>405</v>
      </c>
      <c r="E3508" s="114">
        <v>1</v>
      </c>
      <c r="F3508" s="23">
        <f>VLOOKUP(B3508,'BASE DE DATOS'!$A$5:$E$997,5,FALSE)</f>
        <v>3105506.153846154</v>
      </c>
      <c r="G3508" s="104">
        <v>1.05</v>
      </c>
      <c r="H3508" s="252">
        <f t="shared" si="308"/>
        <v>3260781.461538462</v>
      </c>
    </row>
    <row r="3509" spans="1:9" x14ac:dyDescent="0.2">
      <c r="A3509" s="936"/>
      <c r="B3509" s="241" t="s">
        <v>1691</v>
      </c>
      <c r="C3509" s="3" t="s">
        <v>249</v>
      </c>
      <c r="D3509" s="2" t="s">
        <v>590</v>
      </c>
      <c r="E3509" s="114">
        <v>3.5999999999999997E-2</v>
      </c>
      <c r="F3509" s="23">
        <f>VLOOKUP(B3509,'BASE DE DATOS'!$A$5:$E$997,5,FALSE)</f>
        <v>15110</v>
      </c>
      <c r="G3509" s="104">
        <v>1.03</v>
      </c>
      <c r="H3509" s="252">
        <f t="shared" si="308"/>
        <v>560.27880000000005</v>
      </c>
    </row>
    <row r="3510" spans="1:9" x14ac:dyDescent="0.2">
      <c r="A3510" s="81" t="s">
        <v>2555</v>
      </c>
      <c r="B3510" s="241" t="s">
        <v>607</v>
      </c>
      <c r="C3510" s="3" t="s">
        <v>608</v>
      </c>
      <c r="D3510" s="2" t="s">
        <v>585</v>
      </c>
      <c r="E3510" s="114">
        <v>1</v>
      </c>
      <c r="F3510" s="23">
        <f>VLOOKUP(B3510,'BASE DE DATOS'!$A$5:$E$997,5,FALSE)</f>
        <v>336981</v>
      </c>
      <c r="G3510" s="104">
        <f>1/5</f>
        <v>0.2</v>
      </c>
      <c r="H3510" s="252">
        <f t="shared" si="308"/>
        <v>67396.2</v>
      </c>
    </row>
    <row r="3511" spans="1:9" ht="13.5" thickBot="1" x14ac:dyDescent="0.25">
      <c r="A3511" s="94" t="s">
        <v>293</v>
      </c>
      <c r="B3511" s="528" t="s">
        <v>269</v>
      </c>
      <c r="C3511" s="108" t="s">
        <v>284</v>
      </c>
      <c r="D3511" s="109" t="s">
        <v>586</v>
      </c>
      <c r="E3511" s="200">
        <v>0.1</v>
      </c>
      <c r="F3511" s="110">
        <f>H3510</f>
        <v>67396.2</v>
      </c>
      <c r="G3511" s="156">
        <v>0</v>
      </c>
      <c r="H3511" s="479">
        <f t="shared" si="308"/>
        <v>6739.62</v>
      </c>
    </row>
    <row r="3512" spans="1:9" s="42" customFormat="1" ht="30" x14ac:dyDescent="0.2">
      <c r="A3512" s="67" t="s">
        <v>3452</v>
      </c>
      <c r="B3512" s="529"/>
      <c r="C3512" s="440" t="s">
        <v>1248</v>
      </c>
      <c r="D3512" s="389" t="s">
        <v>405</v>
      </c>
      <c r="E3512" s="395"/>
      <c r="F3512" s="391">
        <f>ROUND(SUM(H3512:H3516),0)</f>
        <v>706804</v>
      </c>
      <c r="G3512" s="392"/>
      <c r="H3512" s="393"/>
      <c r="I3512" s="738"/>
    </row>
    <row r="3513" spans="1:9" x14ac:dyDescent="0.2">
      <c r="A3513" s="936" t="s">
        <v>382</v>
      </c>
      <c r="B3513" s="241" t="s">
        <v>1655</v>
      </c>
      <c r="C3513" s="3" t="s">
        <v>1248</v>
      </c>
      <c r="D3513" s="2" t="s">
        <v>405</v>
      </c>
      <c r="E3513" s="114">
        <v>1</v>
      </c>
      <c r="F3513" s="23">
        <f>VLOOKUP(B3513,'BASE DE DATOS'!$A$5:$E$997,5,FALSE)</f>
        <v>601948.16666666663</v>
      </c>
      <c r="G3513" s="104">
        <v>1.05</v>
      </c>
      <c r="H3513" s="252">
        <f t="shared" si="308"/>
        <v>632045.57499999995</v>
      </c>
    </row>
    <row r="3514" spans="1:9" x14ac:dyDescent="0.2">
      <c r="A3514" s="936"/>
      <c r="B3514" s="241" t="s">
        <v>1691</v>
      </c>
      <c r="C3514" s="3" t="s">
        <v>249</v>
      </c>
      <c r="D3514" s="2" t="s">
        <v>590</v>
      </c>
      <c r="E3514" s="114">
        <v>0.04</v>
      </c>
      <c r="F3514" s="23">
        <f>VLOOKUP(B3514,'BASE DE DATOS'!$A$5:$E$997,5,FALSE)</f>
        <v>15110</v>
      </c>
      <c r="G3514" s="104">
        <v>1.03</v>
      </c>
      <c r="H3514" s="252">
        <f t="shared" si="308"/>
        <v>622.53200000000004</v>
      </c>
    </row>
    <row r="3515" spans="1:9" x14ac:dyDescent="0.2">
      <c r="A3515" s="81" t="s">
        <v>2555</v>
      </c>
      <c r="B3515" s="241" t="s">
        <v>607</v>
      </c>
      <c r="C3515" s="3" t="s">
        <v>608</v>
      </c>
      <c r="D3515" s="2" t="s">
        <v>585</v>
      </c>
      <c r="E3515" s="114">
        <v>1</v>
      </c>
      <c r="F3515" s="23">
        <f>VLOOKUP(B3515,'BASE DE DATOS'!$A$5:$E$997,5,FALSE)</f>
        <v>336981</v>
      </c>
      <c r="G3515" s="104">
        <f>1/5</f>
        <v>0.2</v>
      </c>
      <c r="H3515" s="252">
        <f t="shared" si="308"/>
        <v>67396.2</v>
      </c>
    </row>
    <row r="3516" spans="1:9" ht="13.5" thickBot="1" x14ac:dyDescent="0.25">
      <c r="A3516" s="94" t="s">
        <v>293</v>
      </c>
      <c r="B3516" s="528" t="s">
        <v>269</v>
      </c>
      <c r="C3516" s="108" t="s">
        <v>284</v>
      </c>
      <c r="D3516" s="109" t="s">
        <v>586</v>
      </c>
      <c r="E3516" s="200">
        <v>0.1</v>
      </c>
      <c r="F3516" s="110">
        <f>H3515</f>
        <v>67396.2</v>
      </c>
      <c r="G3516" s="156">
        <v>0</v>
      </c>
      <c r="H3516" s="479">
        <f t="shared" si="308"/>
        <v>6739.62</v>
      </c>
    </row>
    <row r="3517" spans="1:9" s="42" customFormat="1" ht="30" x14ac:dyDescent="0.2">
      <c r="A3517" s="67" t="s">
        <v>3409</v>
      </c>
      <c r="B3517" s="529"/>
      <c r="C3517" s="440" t="s">
        <v>1249</v>
      </c>
      <c r="D3517" s="389" t="s">
        <v>405</v>
      </c>
      <c r="E3517" s="395"/>
      <c r="F3517" s="391">
        <f>ROUND(SUM(H3517:H3521),0)</f>
        <v>758826</v>
      </c>
      <c r="G3517" s="392"/>
      <c r="H3517" s="393"/>
      <c r="I3517" s="738"/>
    </row>
    <row r="3518" spans="1:9" x14ac:dyDescent="0.2">
      <c r="A3518" s="936" t="s">
        <v>382</v>
      </c>
      <c r="B3518" s="241" t="s">
        <v>1656</v>
      </c>
      <c r="C3518" s="3" t="s">
        <v>1249</v>
      </c>
      <c r="D3518" s="2" t="s">
        <v>405</v>
      </c>
      <c r="E3518" s="114">
        <v>1</v>
      </c>
      <c r="F3518" s="23">
        <f>VLOOKUP(B3518,'BASE DE DATOS'!$A$5:$E$997,5,FALSE)</f>
        <v>633693.66666666663</v>
      </c>
      <c r="G3518" s="104">
        <v>1.05</v>
      </c>
      <c r="H3518" s="252">
        <f t="shared" si="308"/>
        <v>665378.35</v>
      </c>
    </row>
    <row r="3519" spans="1:9" x14ac:dyDescent="0.2">
      <c r="A3519" s="936"/>
      <c r="B3519" s="241" t="s">
        <v>1691</v>
      </c>
      <c r="C3519" s="3" t="s">
        <v>249</v>
      </c>
      <c r="D3519" s="2" t="s">
        <v>590</v>
      </c>
      <c r="E3519" s="114">
        <v>0.05</v>
      </c>
      <c r="F3519" s="23">
        <f>VLOOKUP(B3519,'BASE DE DATOS'!$A$5:$E$997,5,FALSE)</f>
        <v>15110</v>
      </c>
      <c r="G3519" s="104">
        <v>1.03</v>
      </c>
      <c r="H3519" s="252">
        <f t="shared" si="308"/>
        <v>778.16500000000008</v>
      </c>
    </row>
    <row r="3520" spans="1:9" x14ac:dyDescent="0.2">
      <c r="A3520" s="81" t="s">
        <v>2555</v>
      </c>
      <c r="B3520" s="241" t="s">
        <v>607</v>
      </c>
      <c r="C3520" s="3" t="s">
        <v>608</v>
      </c>
      <c r="D3520" s="2" t="s">
        <v>585</v>
      </c>
      <c r="E3520" s="114">
        <v>1</v>
      </c>
      <c r="F3520" s="23">
        <f>VLOOKUP(B3520,'BASE DE DATOS'!$A$5:$E$997,5,FALSE)</f>
        <v>336981</v>
      </c>
      <c r="G3520" s="104">
        <f>1/4</f>
        <v>0.25</v>
      </c>
      <c r="H3520" s="252">
        <f t="shared" si="308"/>
        <v>84245.25</v>
      </c>
    </row>
    <row r="3521" spans="1:9" ht="13.5" thickBot="1" x14ac:dyDescent="0.25">
      <c r="A3521" s="94" t="s">
        <v>293</v>
      </c>
      <c r="B3521" s="528" t="s">
        <v>269</v>
      </c>
      <c r="C3521" s="108" t="s">
        <v>284</v>
      </c>
      <c r="D3521" s="109" t="s">
        <v>586</v>
      </c>
      <c r="E3521" s="200">
        <v>0.1</v>
      </c>
      <c r="F3521" s="110">
        <f>H3520</f>
        <v>84245.25</v>
      </c>
      <c r="G3521" s="156">
        <v>0</v>
      </c>
      <c r="H3521" s="479">
        <f t="shared" si="308"/>
        <v>8424.5249999999996</v>
      </c>
    </row>
    <row r="3522" spans="1:9" s="42" customFormat="1" ht="15" x14ac:dyDescent="0.2">
      <c r="A3522" s="67" t="s">
        <v>3410</v>
      </c>
      <c r="B3522" s="529"/>
      <c r="C3522" s="388" t="s">
        <v>556</v>
      </c>
      <c r="D3522" s="389" t="s">
        <v>405</v>
      </c>
      <c r="E3522" s="390"/>
      <c r="F3522" s="391">
        <f>ROUND(SUM(H3522:H3527),0)</f>
        <v>54894</v>
      </c>
      <c r="G3522" s="392"/>
      <c r="H3522" s="393"/>
      <c r="I3522" s="738"/>
    </row>
    <row r="3523" spans="1:9" x14ac:dyDescent="0.2">
      <c r="A3523" s="82" t="s">
        <v>382</v>
      </c>
      <c r="B3523" s="241" t="s">
        <v>1613</v>
      </c>
      <c r="C3523" s="3" t="s">
        <v>3678</v>
      </c>
      <c r="D3523" s="2" t="s">
        <v>405</v>
      </c>
      <c r="E3523" s="114">
        <v>1</v>
      </c>
      <c r="F3523" s="23">
        <f>VLOOKUP(B3523,'BASE DE DATOS'!$A$5:$E$997,5,FALSE)</f>
        <v>27167</v>
      </c>
      <c r="G3523" s="104">
        <v>1.05</v>
      </c>
      <c r="H3523" s="252">
        <f t="shared" si="308"/>
        <v>28525.350000000002</v>
      </c>
    </row>
    <row r="3524" spans="1:9" ht="14.25" x14ac:dyDescent="0.2">
      <c r="A3524" s="64" t="s">
        <v>3252</v>
      </c>
      <c r="B3524" s="241" t="s">
        <v>810</v>
      </c>
      <c r="C3524" s="3" t="s">
        <v>2097</v>
      </c>
      <c r="D3524" s="2" t="s">
        <v>285</v>
      </c>
      <c r="E3524" s="114">
        <v>3.0000000000000001E-3</v>
      </c>
      <c r="F3524" s="23">
        <f>F90</f>
        <v>525897</v>
      </c>
      <c r="G3524" s="104">
        <v>1.05</v>
      </c>
      <c r="H3524" s="252">
        <f t="shared" si="308"/>
        <v>1656.57555</v>
      </c>
    </row>
    <row r="3525" spans="1:9" x14ac:dyDescent="0.2">
      <c r="A3525" s="81" t="s">
        <v>2555</v>
      </c>
      <c r="B3525" s="241" t="s">
        <v>607</v>
      </c>
      <c r="C3525" s="3" t="s">
        <v>608</v>
      </c>
      <c r="D3525" s="2" t="s">
        <v>585</v>
      </c>
      <c r="E3525" s="114">
        <v>1</v>
      </c>
      <c r="F3525" s="23">
        <f>VLOOKUP(B3525,'BASE DE DATOS'!$A$5:$E$997,5,FALSE)</f>
        <v>336981</v>
      </c>
      <c r="G3525" s="104">
        <f>1/15</f>
        <v>6.6666666666666666E-2</v>
      </c>
      <c r="H3525" s="252">
        <f t="shared" si="308"/>
        <v>22465.4</v>
      </c>
    </row>
    <row r="3526" spans="1:9" x14ac:dyDescent="0.2">
      <c r="A3526" s="937" t="s">
        <v>293</v>
      </c>
      <c r="B3526" s="241" t="s">
        <v>269</v>
      </c>
      <c r="C3526" s="3" t="s">
        <v>284</v>
      </c>
      <c r="D3526" s="2" t="s">
        <v>586</v>
      </c>
      <c r="E3526" s="114">
        <v>0.05</v>
      </c>
      <c r="F3526" s="23">
        <f>H3525</f>
        <v>22465.4</v>
      </c>
      <c r="G3526" s="104">
        <v>0</v>
      </c>
      <c r="H3526" s="252">
        <f t="shared" si="308"/>
        <v>1123.2700000000002</v>
      </c>
    </row>
    <row r="3527" spans="1:9" ht="13.5" thickBot="1" x14ac:dyDescent="0.25">
      <c r="A3527" s="938"/>
      <c r="B3527" s="528" t="s">
        <v>250</v>
      </c>
      <c r="C3527" s="108" t="s">
        <v>251</v>
      </c>
      <c r="D3527" s="109" t="s">
        <v>586</v>
      </c>
      <c r="E3527" s="200">
        <v>0.05</v>
      </c>
      <c r="F3527" s="110">
        <f>+H3525</f>
        <v>22465.4</v>
      </c>
      <c r="G3527" s="156">
        <v>0</v>
      </c>
      <c r="H3527" s="479">
        <f t="shared" si="308"/>
        <v>1123.2700000000002</v>
      </c>
    </row>
    <row r="3528" spans="1:9" s="42" customFormat="1" ht="15" x14ac:dyDescent="0.2">
      <c r="A3528" s="67" t="s">
        <v>3411</v>
      </c>
      <c r="B3528" s="529"/>
      <c r="C3528" s="388" t="s">
        <v>557</v>
      </c>
      <c r="D3528" s="389" t="s">
        <v>405</v>
      </c>
      <c r="E3528" s="390"/>
      <c r="F3528" s="391">
        <f>ROUND(SUM(H3528:H3533),0)</f>
        <v>62647</v>
      </c>
      <c r="G3528" s="392"/>
      <c r="H3528" s="393"/>
      <c r="I3528" s="738"/>
    </row>
    <row r="3529" spans="1:9" x14ac:dyDescent="0.2">
      <c r="A3529" s="82" t="s">
        <v>382</v>
      </c>
      <c r="B3529" s="241" t="s">
        <v>1614</v>
      </c>
      <c r="C3529" s="3" t="s">
        <v>3679</v>
      </c>
      <c r="D3529" s="2" t="s">
        <v>405</v>
      </c>
      <c r="E3529" s="114">
        <v>1</v>
      </c>
      <c r="F3529" s="23">
        <f>VLOOKUP(B3529,'BASE DE DATOS'!$A$5:$E$997,5,FALSE)</f>
        <v>28667</v>
      </c>
      <c r="G3529" s="104">
        <v>1.05</v>
      </c>
      <c r="H3529" s="252">
        <f t="shared" si="308"/>
        <v>30100.350000000002</v>
      </c>
    </row>
    <row r="3530" spans="1:9" ht="14.25" x14ac:dyDescent="0.2">
      <c r="A3530" s="64" t="s">
        <v>3252</v>
      </c>
      <c r="B3530" s="241" t="s">
        <v>810</v>
      </c>
      <c r="C3530" s="3" t="s">
        <v>2097</v>
      </c>
      <c r="D3530" s="2" t="s">
        <v>285</v>
      </c>
      <c r="E3530" s="114">
        <v>3.0000000000000001E-3</v>
      </c>
      <c r="F3530" s="23">
        <f>F90</f>
        <v>525897</v>
      </c>
      <c r="G3530" s="104">
        <v>1.05</v>
      </c>
      <c r="H3530" s="252">
        <f t="shared" si="308"/>
        <v>1656.57555</v>
      </c>
    </row>
    <row r="3531" spans="1:9" x14ac:dyDescent="0.2">
      <c r="A3531" s="81" t="s">
        <v>2555</v>
      </c>
      <c r="B3531" s="241" t="s">
        <v>607</v>
      </c>
      <c r="C3531" s="3" t="s">
        <v>608</v>
      </c>
      <c r="D3531" s="2" t="s">
        <v>585</v>
      </c>
      <c r="E3531" s="114">
        <v>1</v>
      </c>
      <c r="F3531" s="23">
        <f>VLOOKUP(B3531,'BASE DE DATOS'!$A$5:$E$997,5,FALSE)</f>
        <v>336981</v>
      </c>
      <c r="G3531" s="104">
        <f>1/12</f>
        <v>8.3333333333333329E-2</v>
      </c>
      <c r="H3531" s="252">
        <f t="shared" si="308"/>
        <v>28081.75</v>
      </c>
    </row>
    <row r="3532" spans="1:9" x14ac:dyDescent="0.2">
      <c r="A3532" s="937" t="s">
        <v>293</v>
      </c>
      <c r="B3532" s="241" t="s">
        <v>269</v>
      </c>
      <c r="C3532" s="3" t="s">
        <v>284</v>
      </c>
      <c r="D3532" s="2" t="s">
        <v>586</v>
      </c>
      <c r="E3532" s="114">
        <v>0.05</v>
      </c>
      <c r="F3532" s="23">
        <f>H3531</f>
        <v>28081.75</v>
      </c>
      <c r="G3532" s="104">
        <v>0</v>
      </c>
      <c r="H3532" s="252">
        <f t="shared" si="308"/>
        <v>1404.0875000000001</v>
      </c>
    </row>
    <row r="3533" spans="1:9" ht="13.5" thickBot="1" x14ac:dyDescent="0.25">
      <c r="A3533" s="938"/>
      <c r="B3533" s="528" t="s">
        <v>250</v>
      </c>
      <c r="C3533" s="108" t="s">
        <v>251</v>
      </c>
      <c r="D3533" s="109" t="s">
        <v>586</v>
      </c>
      <c r="E3533" s="200">
        <v>0.05</v>
      </c>
      <c r="F3533" s="110">
        <f>H3531</f>
        <v>28081.75</v>
      </c>
      <c r="G3533" s="156">
        <v>0</v>
      </c>
      <c r="H3533" s="479">
        <f t="shared" si="308"/>
        <v>1404.0875000000001</v>
      </c>
    </row>
    <row r="3534" spans="1:9" s="42" customFormat="1" ht="15" x14ac:dyDescent="0.2">
      <c r="A3534" s="67" t="s">
        <v>3412</v>
      </c>
      <c r="B3534" s="529"/>
      <c r="C3534" s="388" t="s">
        <v>558</v>
      </c>
      <c r="D3534" s="389" t="s">
        <v>405</v>
      </c>
      <c r="E3534" s="390"/>
      <c r="F3534" s="391">
        <f>ROUND(SUM(H3534:H3539),0)</f>
        <v>100768</v>
      </c>
      <c r="G3534" s="392"/>
      <c r="H3534" s="393"/>
      <c r="I3534" s="738"/>
    </row>
    <row r="3535" spans="1:9" x14ac:dyDescent="0.2">
      <c r="A3535" s="82" t="s">
        <v>382</v>
      </c>
      <c r="B3535" s="241" t="s">
        <v>1615</v>
      </c>
      <c r="C3535" s="3" t="s">
        <v>3680</v>
      </c>
      <c r="D3535" s="2" t="s">
        <v>405</v>
      </c>
      <c r="E3535" s="114">
        <v>1</v>
      </c>
      <c r="F3535" s="23">
        <f>VLOOKUP(B3535,'BASE DE DATOS'!$A$5:$E$997,5,FALSE)</f>
        <v>59119</v>
      </c>
      <c r="G3535" s="104">
        <v>1.05</v>
      </c>
      <c r="H3535" s="252">
        <f t="shared" si="308"/>
        <v>62074.950000000004</v>
      </c>
    </row>
    <row r="3536" spans="1:9" ht="14.25" x14ac:dyDescent="0.2">
      <c r="A3536" s="64" t="s">
        <v>3252</v>
      </c>
      <c r="B3536" s="241" t="s">
        <v>810</v>
      </c>
      <c r="C3536" s="3" t="s">
        <v>2097</v>
      </c>
      <c r="D3536" s="2" t="s">
        <v>285</v>
      </c>
      <c r="E3536" s="114">
        <v>3.0000000000000001E-3</v>
      </c>
      <c r="F3536" s="667">
        <f>F90</f>
        <v>525897</v>
      </c>
      <c r="G3536" s="104">
        <v>1.03</v>
      </c>
      <c r="H3536" s="252">
        <f t="shared" si="308"/>
        <v>1625.0217300000002</v>
      </c>
    </row>
    <row r="3537" spans="1:9" x14ac:dyDescent="0.2">
      <c r="A3537" s="81" t="s">
        <v>2555</v>
      </c>
      <c r="B3537" s="241" t="s">
        <v>607</v>
      </c>
      <c r="C3537" s="3" t="s">
        <v>608</v>
      </c>
      <c r="D3537" s="2" t="s">
        <v>585</v>
      </c>
      <c r="E3537" s="114">
        <v>1</v>
      </c>
      <c r="F3537" s="667">
        <f>VLOOKUP(B3537,'BASE DE DATOS'!$A$5:$E$997,5,FALSE)</f>
        <v>336981</v>
      </c>
      <c r="G3537" s="104">
        <f>1/10</f>
        <v>0.1</v>
      </c>
      <c r="H3537" s="252">
        <f t="shared" si="308"/>
        <v>33698.1</v>
      </c>
    </row>
    <row r="3538" spans="1:9" x14ac:dyDescent="0.2">
      <c r="A3538" s="937" t="s">
        <v>293</v>
      </c>
      <c r="B3538" s="241" t="s">
        <v>269</v>
      </c>
      <c r="C3538" s="3" t="s">
        <v>284</v>
      </c>
      <c r="D3538" s="2" t="s">
        <v>586</v>
      </c>
      <c r="E3538" s="114">
        <v>0.05</v>
      </c>
      <c r="F3538" s="23">
        <f>H3537</f>
        <v>33698.1</v>
      </c>
      <c r="G3538" s="104">
        <v>0</v>
      </c>
      <c r="H3538" s="252">
        <f t="shared" si="308"/>
        <v>1684.905</v>
      </c>
    </row>
    <row r="3539" spans="1:9" ht="13.5" thickBot="1" x14ac:dyDescent="0.25">
      <c r="A3539" s="938"/>
      <c r="B3539" s="528" t="s">
        <v>250</v>
      </c>
      <c r="C3539" s="108" t="s">
        <v>251</v>
      </c>
      <c r="D3539" s="109" t="s">
        <v>586</v>
      </c>
      <c r="E3539" s="200">
        <v>0.05</v>
      </c>
      <c r="F3539" s="110">
        <f>H3537</f>
        <v>33698.1</v>
      </c>
      <c r="G3539" s="156">
        <v>0</v>
      </c>
      <c r="H3539" s="479">
        <f t="shared" si="308"/>
        <v>1684.905</v>
      </c>
    </row>
    <row r="3540" spans="1:9" s="42" customFormat="1" ht="15" x14ac:dyDescent="0.2">
      <c r="A3540" s="67" t="s">
        <v>3413</v>
      </c>
      <c r="B3540" s="529"/>
      <c r="C3540" s="388" t="s">
        <v>559</v>
      </c>
      <c r="D3540" s="389" t="s">
        <v>405</v>
      </c>
      <c r="E3540" s="390"/>
      <c r="F3540" s="391">
        <f>ROUND(SUM(H3540:H3545),0)</f>
        <v>106220</v>
      </c>
      <c r="G3540" s="392"/>
      <c r="H3540" s="393"/>
      <c r="I3540" s="738"/>
    </row>
    <row r="3541" spans="1:9" x14ac:dyDescent="0.2">
      <c r="A3541" s="82" t="s">
        <v>382</v>
      </c>
      <c r="B3541" s="241" t="s">
        <v>1616</v>
      </c>
      <c r="C3541" s="3" t="s">
        <v>3681</v>
      </c>
      <c r="D3541" s="2" t="s">
        <v>405</v>
      </c>
      <c r="E3541" s="114">
        <v>1</v>
      </c>
      <c r="F3541" s="23">
        <f>VLOOKUP(B3541,'BASE DE DATOS'!$A$5:$E$997,5,FALSE)</f>
        <v>59833</v>
      </c>
      <c r="G3541" s="104">
        <v>1.05</v>
      </c>
      <c r="H3541" s="252">
        <f t="shared" si="308"/>
        <v>62824.65</v>
      </c>
    </row>
    <row r="3542" spans="1:9" ht="14.25" x14ac:dyDescent="0.2">
      <c r="A3542" s="64" t="s">
        <v>3252</v>
      </c>
      <c r="B3542" s="241" t="s">
        <v>810</v>
      </c>
      <c r="C3542" s="3" t="s">
        <v>2097</v>
      </c>
      <c r="D3542" s="2" t="s">
        <v>285</v>
      </c>
      <c r="E3542" s="114">
        <v>4.0000000000000001E-3</v>
      </c>
      <c r="F3542" s="23">
        <f>F90</f>
        <v>525897</v>
      </c>
      <c r="G3542" s="104">
        <v>1.05</v>
      </c>
      <c r="H3542" s="252">
        <f t="shared" si="308"/>
        <v>2208.7674000000002</v>
      </c>
    </row>
    <row r="3543" spans="1:9" x14ac:dyDescent="0.2">
      <c r="A3543" s="81" t="s">
        <v>2555</v>
      </c>
      <c r="B3543" s="241" t="s">
        <v>607</v>
      </c>
      <c r="C3543" s="3" t="s">
        <v>608</v>
      </c>
      <c r="D3543" s="2" t="s">
        <v>585</v>
      </c>
      <c r="E3543" s="114">
        <v>1</v>
      </c>
      <c r="F3543" s="23">
        <f>VLOOKUP(B3543,'BASE DE DATOS'!$A$5:$E$997,5,FALSE)</f>
        <v>336981</v>
      </c>
      <c r="G3543" s="104">
        <f>1/9</f>
        <v>0.1111111111111111</v>
      </c>
      <c r="H3543" s="252">
        <f t="shared" si="308"/>
        <v>37442.333333333328</v>
      </c>
    </row>
    <row r="3544" spans="1:9" x14ac:dyDescent="0.2">
      <c r="A3544" s="937" t="s">
        <v>293</v>
      </c>
      <c r="B3544" s="241" t="s">
        <v>269</v>
      </c>
      <c r="C3544" s="3" t="s">
        <v>284</v>
      </c>
      <c r="D3544" s="2" t="s">
        <v>586</v>
      </c>
      <c r="E3544" s="114">
        <v>0.05</v>
      </c>
      <c r="F3544" s="23">
        <f>H3543</f>
        <v>37442.333333333328</v>
      </c>
      <c r="G3544" s="104">
        <v>0</v>
      </c>
      <c r="H3544" s="252">
        <f t="shared" si="308"/>
        <v>1872.1166666666666</v>
      </c>
    </row>
    <row r="3545" spans="1:9" ht="13.5" thickBot="1" x14ac:dyDescent="0.25">
      <c r="A3545" s="938"/>
      <c r="B3545" s="528" t="s">
        <v>250</v>
      </c>
      <c r="C3545" s="108" t="s">
        <v>251</v>
      </c>
      <c r="D3545" s="109" t="s">
        <v>586</v>
      </c>
      <c r="E3545" s="200">
        <v>0.05</v>
      </c>
      <c r="F3545" s="110">
        <f>H3543</f>
        <v>37442.333333333328</v>
      </c>
      <c r="G3545" s="156">
        <v>0</v>
      </c>
      <c r="H3545" s="479">
        <f t="shared" si="308"/>
        <v>1872.1166666666666</v>
      </c>
    </row>
    <row r="3546" spans="1:9" s="42" customFormat="1" ht="15" x14ac:dyDescent="0.2">
      <c r="A3546" s="67" t="s">
        <v>3414</v>
      </c>
      <c r="B3546" s="529"/>
      <c r="C3546" s="388" t="s">
        <v>560</v>
      </c>
      <c r="D3546" s="389" t="s">
        <v>405</v>
      </c>
      <c r="E3546" s="390"/>
      <c r="F3546" s="391">
        <f>ROUND(SUM(H3546:H3551),0)</f>
        <v>147661</v>
      </c>
      <c r="G3546" s="392"/>
      <c r="H3546" s="393"/>
      <c r="I3546" s="738"/>
    </row>
    <row r="3547" spans="1:9" x14ac:dyDescent="0.2">
      <c r="A3547" s="82" t="s">
        <v>382</v>
      </c>
      <c r="B3547" s="241" t="s">
        <v>1617</v>
      </c>
      <c r="C3547" s="3" t="s">
        <v>3681</v>
      </c>
      <c r="D3547" s="2" t="s">
        <v>405</v>
      </c>
      <c r="E3547" s="114">
        <v>1</v>
      </c>
      <c r="F3547" s="23">
        <f>VLOOKUP(B3547,'BASE DE DATOS'!$A$5:$E$997,5,FALSE)</f>
        <v>92820</v>
      </c>
      <c r="G3547" s="104">
        <v>1.05</v>
      </c>
      <c r="H3547" s="252">
        <f t="shared" si="308"/>
        <v>97461</v>
      </c>
    </row>
    <row r="3548" spans="1:9" ht="14.25" x14ac:dyDescent="0.2">
      <c r="A3548" s="64" t="s">
        <v>3252</v>
      </c>
      <c r="B3548" s="241" t="s">
        <v>810</v>
      </c>
      <c r="C3548" s="3" t="s">
        <v>2097</v>
      </c>
      <c r="D3548" s="2" t="s">
        <v>285</v>
      </c>
      <c r="E3548" s="114">
        <v>7.0000000000000001E-3</v>
      </c>
      <c r="F3548" s="23">
        <f>F90</f>
        <v>525897</v>
      </c>
      <c r="G3548" s="104">
        <v>1.05</v>
      </c>
      <c r="H3548" s="252">
        <f t="shared" si="308"/>
        <v>3865.3429499999997</v>
      </c>
    </row>
    <row r="3549" spans="1:9" x14ac:dyDescent="0.2">
      <c r="A3549" s="81" t="s">
        <v>2555</v>
      </c>
      <c r="B3549" s="241" t="s">
        <v>607</v>
      </c>
      <c r="C3549" s="3" t="s">
        <v>608</v>
      </c>
      <c r="D3549" s="2" t="s">
        <v>585</v>
      </c>
      <c r="E3549" s="114">
        <v>1</v>
      </c>
      <c r="F3549" s="23">
        <f>VLOOKUP(B3549,'BASE DE DATOS'!$A$5:$E$997,5,FALSE)</f>
        <v>336981</v>
      </c>
      <c r="G3549" s="104">
        <f>1/8</f>
        <v>0.125</v>
      </c>
      <c r="H3549" s="252">
        <f t="shared" si="308"/>
        <v>42122.625</v>
      </c>
    </row>
    <row r="3550" spans="1:9" x14ac:dyDescent="0.2">
      <c r="A3550" s="937" t="s">
        <v>293</v>
      </c>
      <c r="B3550" s="241" t="s">
        <v>269</v>
      </c>
      <c r="C3550" s="3" t="s">
        <v>284</v>
      </c>
      <c r="D3550" s="2" t="s">
        <v>586</v>
      </c>
      <c r="E3550" s="114">
        <v>0.05</v>
      </c>
      <c r="F3550" s="23">
        <f>H3549</f>
        <v>42122.625</v>
      </c>
      <c r="G3550" s="104">
        <v>0</v>
      </c>
      <c r="H3550" s="252">
        <f t="shared" si="308"/>
        <v>2106.1312499999999</v>
      </c>
    </row>
    <row r="3551" spans="1:9" ht="13.5" thickBot="1" x14ac:dyDescent="0.25">
      <c r="A3551" s="938"/>
      <c r="B3551" s="528" t="s">
        <v>250</v>
      </c>
      <c r="C3551" s="108" t="s">
        <v>251</v>
      </c>
      <c r="D3551" s="109" t="s">
        <v>586</v>
      </c>
      <c r="E3551" s="200">
        <v>0.05</v>
      </c>
      <c r="F3551" s="110">
        <f>H3549</f>
        <v>42122.625</v>
      </c>
      <c r="G3551" s="156">
        <v>0</v>
      </c>
      <c r="H3551" s="479">
        <f t="shared" ref="H3551" si="309">IF(G3551&gt;0,(G3551*F3551*E3551),(F3551*E3551))</f>
        <v>2106.1312499999999</v>
      </c>
    </row>
    <row r="3552" spans="1:9" s="42" customFormat="1" ht="15" x14ac:dyDescent="0.2">
      <c r="A3552" s="67" t="s">
        <v>3415</v>
      </c>
      <c r="B3552" s="529"/>
      <c r="C3552" s="388" t="s">
        <v>561</v>
      </c>
      <c r="D3552" s="389" t="s">
        <v>405</v>
      </c>
      <c r="E3552" s="390"/>
      <c r="F3552" s="391">
        <f>ROUND(SUM(H3552:H3557),0)</f>
        <v>170182</v>
      </c>
      <c r="G3552" s="392"/>
      <c r="H3552" s="393"/>
      <c r="I3552" s="738"/>
    </row>
    <row r="3553" spans="1:9" x14ac:dyDescent="0.2">
      <c r="A3553" s="82" t="s">
        <v>382</v>
      </c>
      <c r="B3553" s="241" t="s">
        <v>1618</v>
      </c>
      <c r="C3553" s="3" t="s">
        <v>3682</v>
      </c>
      <c r="D3553" s="2" t="s">
        <v>405</v>
      </c>
      <c r="E3553" s="114">
        <v>1</v>
      </c>
      <c r="F3553" s="23">
        <f>VLOOKUP(B3553,'BASE DE DATOS'!$A$5:$E$997,5,FALSE)</f>
        <v>105672</v>
      </c>
      <c r="G3553" s="104">
        <v>1.05</v>
      </c>
      <c r="H3553" s="252">
        <f t="shared" ref="H3553:H3557" si="310">IF(G3553&gt;0,(G3553*F3553*E3553),(F3553*E3553))</f>
        <v>110955.6</v>
      </c>
    </row>
    <row r="3554" spans="1:9" ht="14.25" x14ac:dyDescent="0.2">
      <c r="A3554" s="64" t="s">
        <v>3252</v>
      </c>
      <c r="B3554" s="241" t="s">
        <v>810</v>
      </c>
      <c r="C3554" s="3" t="s">
        <v>2097</v>
      </c>
      <c r="D3554" s="2" t="s">
        <v>285</v>
      </c>
      <c r="E3554" s="114">
        <v>7.0000000000000001E-3</v>
      </c>
      <c r="F3554" s="23">
        <f>F90</f>
        <v>525897</v>
      </c>
      <c r="G3554" s="104">
        <v>1.05</v>
      </c>
      <c r="H3554" s="252">
        <f t="shared" si="310"/>
        <v>3865.3429499999997</v>
      </c>
    </row>
    <row r="3555" spans="1:9" x14ac:dyDescent="0.2">
      <c r="A3555" s="81" t="s">
        <v>2555</v>
      </c>
      <c r="B3555" s="241" t="s">
        <v>607</v>
      </c>
      <c r="C3555" s="3" t="s">
        <v>608</v>
      </c>
      <c r="D3555" s="2" t="s">
        <v>585</v>
      </c>
      <c r="E3555" s="114">
        <v>1</v>
      </c>
      <c r="F3555" s="23">
        <f>VLOOKUP(B3555,'BASE DE DATOS'!$A$5:$E$997,5,FALSE)</f>
        <v>336981</v>
      </c>
      <c r="G3555" s="104">
        <f>1/7</f>
        <v>0.14285714285714285</v>
      </c>
      <c r="H3555" s="252">
        <f t="shared" si="310"/>
        <v>48140.142857142855</v>
      </c>
    </row>
    <row r="3556" spans="1:9" x14ac:dyDescent="0.2">
      <c r="A3556" s="937" t="s">
        <v>293</v>
      </c>
      <c r="B3556" s="241" t="s">
        <v>269</v>
      </c>
      <c r="C3556" s="3" t="s">
        <v>284</v>
      </c>
      <c r="D3556" s="2" t="s">
        <v>586</v>
      </c>
      <c r="E3556" s="114">
        <v>0.05</v>
      </c>
      <c r="F3556" s="23">
        <f>H3555</f>
        <v>48140.142857142855</v>
      </c>
      <c r="G3556" s="104">
        <v>0</v>
      </c>
      <c r="H3556" s="252">
        <f t="shared" si="310"/>
        <v>2407.0071428571428</v>
      </c>
    </row>
    <row r="3557" spans="1:9" ht="13.5" thickBot="1" x14ac:dyDescent="0.25">
      <c r="A3557" s="938"/>
      <c r="B3557" s="528" t="s">
        <v>250</v>
      </c>
      <c r="C3557" s="108" t="s">
        <v>251</v>
      </c>
      <c r="D3557" s="109" t="s">
        <v>586</v>
      </c>
      <c r="E3557" s="200">
        <v>0.1</v>
      </c>
      <c r="F3557" s="110">
        <f>H3555</f>
        <v>48140.142857142855</v>
      </c>
      <c r="G3557" s="156">
        <v>0</v>
      </c>
      <c r="H3557" s="479">
        <f t="shared" si="310"/>
        <v>4814.0142857142855</v>
      </c>
    </row>
    <row r="3558" spans="1:9" s="42" customFormat="1" ht="15" x14ac:dyDescent="0.2">
      <c r="A3558" s="67" t="s">
        <v>3416</v>
      </c>
      <c r="B3558" s="529"/>
      <c r="C3558" s="388" t="s">
        <v>562</v>
      </c>
      <c r="D3558" s="389" t="s">
        <v>405</v>
      </c>
      <c r="E3558" s="390"/>
      <c r="F3558" s="391">
        <f>ROUND(SUM(H3558:H3563),0)</f>
        <v>252463</v>
      </c>
      <c r="G3558" s="392"/>
      <c r="H3558" s="393"/>
      <c r="I3558" s="738"/>
    </row>
    <row r="3559" spans="1:9" x14ac:dyDescent="0.2">
      <c r="A3559" s="82" t="s">
        <v>382</v>
      </c>
      <c r="B3559" s="241" t="s">
        <v>1619</v>
      </c>
      <c r="C3559" s="3" t="s">
        <v>3683</v>
      </c>
      <c r="D3559" s="2" t="s">
        <v>405</v>
      </c>
      <c r="E3559" s="114">
        <v>1</v>
      </c>
      <c r="F3559" s="23">
        <f>VLOOKUP(B3559,'BASE DE DATOS'!$A$5:$E$997,5,FALSE)</f>
        <v>137088</v>
      </c>
      <c r="G3559" s="104">
        <v>1.05</v>
      </c>
      <c r="H3559" s="252">
        <f t="shared" ref="H3559:H3563" si="311">IF(G3559&gt;0,(G3559*F3559*E3559),(F3559*E3559))</f>
        <v>143942.39999999999</v>
      </c>
    </row>
    <row r="3560" spans="1:9" ht="14.25" x14ac:dyDescent="0.2">
      <c r="A3560" s="64" t="s">
        <v>3252</v>
      </c>
      <c r="B3560" s="241" t="s">
        <v>810</v>
      </c>
      <c r="C3560" s="3" t="s">
        <v>2097</v>
      </c>
      <c r="D3560" s="2" t="s">
        <v>285</v>
      </c>
      <c r="E3560" s="114">
        <v>1.7999999999999999E-2</v>
      </c>
      <c r="F3560" s="23">
        <f>F90</f>
        <v>525897</v>
      </c>
      <c r="G3560" s="104">
        <v>1.05</v>
      </c>
      <c r="H3560" s="252">
        <f t="shared" si="311"/>
        <v>9939.4532999999992</v>
      </c>
    </row>
    <row r="3561" spans="1:9" x14ac:dyDescent="0.2">
      <c r="A3561" s="81" t="s">
        <v>2555</v>
      </c>
      <c r="B3561" s="241" t="s">
        <v>587</v>
      </c>
      <c r="C3561" s="3" t="s">
        <v>588</v>
      </c>
      <c r="D3561" s="2" t="s">
        <v>585</v>
      </c>
      <c r="E3561" s="114">
        <v>1</v>
      </c>
      <c r="F3561" s="23">
        <f>VLOOKUP(B3561,'BASE DE DATOS'!$A$5:$E$997,5,FALSE)</f>
        <v>514339</v>
      </c>
      <c r="G3561" s="104">
        <f>1/6</f>
        <v>0.16666666666666666</v>
      </c>
      <c r="H3561" s="252">
        <f t="shared" si="311"/>
        <v>85723.166666666657</v>
      </c>
    </row>
    <row r="3562" spans="1:9" x14ac:dyDescent="0.2">
      <c r="A3562" s="937" t="s">
        <v>293</v>
      </c>
      <c r="B3562" s="241" t="s">
        <v>269</v>
      </c>
      <c r="C3562" s="3" t="s">
        <v>284</v>
      </c>
      <c r="D3562" s="2" t="s">
        <v>586</v>
      </c>
      <c r="E3562" s="114">
        <v>0.05</v>
      </c>
      <c r="F3562" s="23">
        <f>H3561</f>
        <v>85723.166666666657</v>
      </c>
      <c r="G3562" s="104">
        <v>0</v>
      </c>
      <c r="H3562" s="252">
        <f t="shared" si="311"/>
        <v>4286.1583333333328</v>
      </c>
    </row>
    <row r="3563" spans="1:9" ht="13.5" thickBot="1" x14ac:dyDescent="0.25">
      <c r="A3563" s="938"/>
      <c r="B3563" s="528" t="s">
        <v>250</v>
      </c>
      <c r="C3563" s="108" t="s">
        <v>251</v>
      </c>
      <c r="D3563" s="109" t="s">
        <v>586</v>
      </c>
      <c r="E3563" s="200">
        <v>0.1</v>
      </c>
      <c r="F3563" s="110">
        <f>H3561</f>
        <v>85723.166666666657</v>
      </c>
      <c r="G3563" s="156">
        <v>0</v>
      </c>
      <c r="H3563" s="479">
        <f t="shared" si="311"/>
        <v>8572.3166666666657</v>
      </c>
    </row>
    <row r="3564" spans="1:9" s="42" customFormat="1" ht="30" x14ac:dyDescent="0.2">
      <c r="A3564" s="67" t="s">
        <v>3417</v>
      </c>
      <c r="B3564" s="529"/>
      <c r="C3564" s="388" t="s">
        <v>549</v>
      </c>
      <c r="D3564" s="389" t="s">
        <v>405</v>
      </c>
      <c r="E3564" s="395"/>
      <c r="F3564" s="391">
        <f>ROUND(SUM(H3564:H3569),0)</f>
        <v>354364</v>
      </c>
      <c r="G3564" s="392"/>
      <c r="H3564" s="393"/>
      <c r="I3564" s="738"/>
    </row>
    <row r="3565" spans="1:9" ht="25.5" x14ac:dyDescent="0.2">
      <c r="A3565" s="82" t="s">
        <v>382</v>
      </c>
      <c r="B3565" s="241" t="s">
        <v>1621</v>
      </c>
      <c r="C3565" s="3" t="s">
        <v>3706</v>
      </c>
      <c r="D3565" s="2" t="s">
        <v>405</v>
      </c>
      <c r="E3565" s="114">
        <v>1</v>
      </c>
      <c r="F3565" s="23">
        <f>VLOOKUP(B3565,'BASE DE DATOS'!$A$5:$E$997,5,FALSE)</f>
        <v>234136</v>
      </c>
      <c r="G3565" s="104">
        <v>1.05</v>
      </c>
      <c r="H3565" s="252">
        <f t="shared" ref="H3565:H3569" si="312">IF(G3565&gt;0,(G3565*F3565*E3565),(F3565*E3565))</f>
        <v>245842.80000000002</v>
      </c>
    </row>
    <row r="3566" spans="1:9" ht="14.25" x14ac:dyDescent="0.2">
      <c r="A3566" s="64" t="s">
        <v>3252</v>
      </c>
      <c r="B3566" s="241" t="s">
        <v>810</v>
      </c>
      <c r="C3566" s="3" t="s">
        <v>2097</v>
      </c>
      <c r="D3566" s="2" t="s">
        <v>285</v>
      </c>
      <c r="E3566" s="114">
        <v>1.7999999999999999E-2</v>
      </c>
      <c r="F3566" s="23">
        <f>F90</f>
        <v>525897</v>
      </c>
      <c r="G3566" s="104">
        <v>1.05</v>
      </c>
      <c r="H3566" s="252">
        <f t="shared" si="312"/>
        <v>9939.4532999999992</v>
      </c>
    </row>
    <row r="3567" spans="1:9" x14ac:dyDescent="0.2">
      <c r="A3567" s="81" t="s">
        <v>2555</v>
      </c>
      <c r="B3567" s="241" t="s">
        <v>587</v>
      </c>
      <c r="C3567" s="3" t="s">
        <v>588</v>
      </c>
      <c r="D3567" s="2" t="s">
        <v>585</v>
      </c>
      <c r="E3567" s="114">
        <v>1</v>
      </c>
      <c r="F3567" s="23">
        <f>VLOOKUP(B3567,'BASE DE DATOS'!$A$5:$E$997,5,FALSE)</f>
        <v>514339</v>
      </c>
      <c r="G3567" s="104">
        <f>1/6</f>
        <v>0.16666666666666666</v>
      </c>
      <c r="H3567" s="252">
        <f t="shared" si="312"/>
        <v>85723.166666666657</v>
      </c>
    </row>
    <row r="3568" spans="1:9" x14ac:dyDescent="0.2">
      <c r="A3568" s="937" t="s">
        <v>293</v>
      </c>
      <c r="B3568" s="241" t="s">
        <v>269</v>
      </c>
      <c r="C3568" s="3" t="s">
        <v>284</v>
      </c>
      <c r="D3568" s="2" t="s">
        <v>586</v>
      </c>
      <c r="E3568" s="114">
        <v>0.05</v>
      </c>
      <c r="F3568" s="23">
        <f>H3567</f>
        <v>85723.166666666657</v>
      </c>
      <c r="G3568" s="104">
        <v>0</v>
      </c>
      <c r="H3568" s="252">
        <f t="shared" si="312"/>
        <v>4286.1583333333328</v>
      </c>
    </row>
    <row r="3569" spans="1:9" ht="13.5" thickBot="1" x14ac:dyDescent="0.25">
      <c r="A3569" s="938"/>
      <c r="B3569" s="528" t="s">
        <v>250</v>
      </c>
      <c r="C3569" s="108" t="s">
        <v>251</v>
      </c>
      <c r="D3569" s="109" t="s">
        <v>586</v>
      </c>
      <c r="E3569" s="200">
        <v>0.1</v>
      </c>
      <c r="F3569" s="110">
        <f>H3567</f>
        <v>85723.166666666657</v>
      </c>
      <c r="G3569" s="156">
        <v>0</v>
      </c>
      <c r="H3569" s="479">
        <f t="shared" si="312"/>
        <v>8572.3166666666657</v>
      </c>
    </row>
    <row r="3570" spans="1:9" s="42" customFormat="1" ht="30" x14ac:dyDescent="0.2">
      <c r="A3570" s="67" t="s">
        <v>3418</v>
      </c>
      <c r="B3570" s="529"/>
      <c r="C3570" s="388" t="s">
        <v>550</v>
      </c>
      <c r="D3570" s="389" t="s">
        <v>405</v>
      </c>
      <c r="E3570" s="390"/>
      <c r="F3570" s="391">
        <f>ROUND(SUM(H3570:H3575),0)</f>
        <v>646793</v>
      </c>
      <c r="G3570" s="392"/>
      <c r="H3570" s="393"/>
      <c r="I3570" s="738"/>
    </row>
    <row r="3571" spans="1:9" ht="25.5" x14ac:dyDescent="0.2">
      <c r="A3571" s="82" t="s">
        <v>382</v>
      </c>
      <c r="B3571" s="241" t="s">
        <v>1622</v>
      </c>
      <c r="C3571" s="3" t="s">
        <v>3684</v>
      </c>
      <c r="D3571" s="2" t="s">
        <v>405</v>
      </c>
      <c r="E3571" s="114">
        <v>1</v>
      </c>
      <c r="F3571" s="23">
        <f>VLOOKUP(B3571,'BASE DE DATOS'!$A$5:$E$997,5,FALSE)</f>
        <v>448868</v>
      </c>
      <c r="G3571" s="104">
        <v>1.05</v>
      </c>
      <c r="H3571" s="252">
        <f t="shared" ref="H3571:H3634" si="313">IF(G3571&gt;0,(G3571*F3571*E3571),(F3571*E3571))</f>
        <v>471311.4</v>
      </c>
    </row>
    <row r="3572" spans="1:9" ht="14.25" x14ac:dyDescent="0.2">
      <c r="A3572" s="64" t="s">
        <v>3252</v>
      </c>
      <c r="B3572" s="241" t="s">
        <v>810</v>
      </c>
      <c r="C3572" s="3" t="s">
        <v>2097</v>
      </c>
      <c r="D3572" s="2" t="s">
        <v>285</v>
      </c>
      <c r="E3572" s="114">
        <v>0.05</v>
      </c>
      <c r="F3572" s="23">
        <f>F90</f>
        <v>525897</v>
      </c>
      <c r="G3572" s="104">
        <v>1.05</v>
      </c>
      <c r="H3572" s="252">
        <f t="shared" si="313"/>
        <v>27609.592499999999</v>
      </c>
    </row>
    <row r="3573" spans="1:9" x14ac:dyDescent="0.2">
      <c r="A3573" s="81" t="s">
        <v>2555</v>
      </c>
      <c r="B3573" s="241" t="s">
        <v>587</v>
      </c>
      <c r="C3573" s="3" t="s">
        <v>588</v>
      </c>
      <c r="D3573" s="2" t="s">
        <v>585</v>
      </c>
      <c r="E3573" s="114">
        <v>1</v>
      </c>
      <c r="F3573" s="23">
        <f>VLOOKUP(B3573,'BASE DE DATOS'!$A$5:$E$997,5,FALSE)</f>
        <v>514339</v>
      </c>
      <c r="G3573" s="104">
        <f>1/4</f>
        <v>0.25</v>
      </c>
      <c r="H3573" s="252">
        <f t="shared" si="313"/>
        <v>128584.75</v>
      </c>
    </row>
    <row r="3574" spans="1:9" x14ac:dyDescent="0.2">
      <c r="A3574" s="937" t="s">
        <v>293</v>
      </c>
      <c r="B3574" s="241" t="s">
        <v>269</v>
      </c>
      <c r="C3574" s="3" t="s">
        <v>284</v>
      </c>
      <c r="D3574" s="2" t="s">
        <v>586</v>
      </c>
      <c r="E3574" s="114">
        <v>0.05</v>
      </c>
      <c r="F3574" s="23">
        <f>H3573</f>
        <v>128584.75</v>
      </c>
      <c r="G3574" s="104">
        <v>0</v>
      </c>
      <c r="H3574" s="252">
        <f t="shared" si="313"/>
        <v>6429.2375000000002</v>
      </c>
    </row>
    <row r="3575" spans="1:9" ht="13.5" thickBot="1" x14ac:dyDescent="0.25">
      <c r="A3575" s="938"/>
      <c r="B3575" s="528" t="s">
        <v>250</v>
      </c>
      <c r="C3575" s="108" t="s">
        <v>251</v>
      </c>
      <c r="D3575" s="109" t="s">
        <v>586</v>
      </c>
      <c r="E3575" s="200">
        <v>0.1</v>
      </c>
      <c r="F3575" s="110">
        <f>H3573</f>
        <v>128584.75</v>
      </c>
      <c r="G3575" s="156">
        <v>0</v>
      </c>
      <c r="H3575" s="479">
        <f t="shared" si="313"/>
        <v>12858.475</v>
      </c>
    </row>
    <row r="3576" spans="1:9" s="42" customFormat="1" ht="30" x14ac:dyDescent="0.2">
      <c r="A3576" s="67" t="s">
        <v>3419</v>
      </c>
      <c r="B3576" s="529"/>
      <c r="C3576" s="388" t="s">
        <v>551</v>
      </c>
      <c r="D3576" s="389" t="s">
        <v>405</v>
      </c>
      <c r="E3576" s="390"/>
      <c r="F3576" s="391">
        <f>ROUND(SUM(H3576:H3581),0)</f>
        <v>812453</v>
      </c>
      <c r="G3576" s="392"/>
      <c r="H3576" s="393"/>
      <c r="I3576" s="738"/>
    </row>
    <row r="3577" spans="1:9" ht="25.5" x14ac:dyDescent="0.2">
      <c r="A3577" s="82" t="s">
        <v>382</v>
      </c>
      <c r="B3577" s="241" t="s">
        <v>1623</v>
      </c>
      <c r="C3577" s="3" t="s">
        <v>3685</v>
      </c>
      <c r="D3577" s="2" t="s">
        <v>405</v>
      </c>
      <c r="E3577" s="114">
        <v>1</v>
      </c>
      <c r="F3577" s="23">
        <f>VLOOKUP(B3577,'BASE DE DATOS'!$A$5:$E$997,5,FALSE)</f>
        <v>549177</v>
      </c>
      <c r="G3577" s="104">
        <v>1.05</v>
      </c>
      <c r="H3577" s="252">
        <f t="shared" si="313"/>
        <v>576635.85</v>
      </c>
    </row>
    <row r="3578" spans="1:9" ht="14.25" x14ac:dyDescent="0.2">
      <c r="A3578" s="64" t="s">
        <v>3252</v>
      </c>
      <c r="B3578" s="241" t="s">
        <v>810</v>
      </c>
      <c r="C3578" s="3" t="s">
        <v>2097</v>
      </c>
      <c r="D3578" s="2" t="s">
        <v>285</v>
      </c>
      <c r="E3578" s="114">
        <v>7.0000000000000007E-2</v>
      </c>
      <c r="F3578" s="23">
        <f>F90</f>
        <v>525897</v>
      </c>
      <c r="G3578" s="104">
        <v>1.05</v>
      </c>
      <c r="H3578" s="252">
        <f t="shared" si="313"/>
        <v>38653.429500000006</v>
      </c>
    </row>
    <row r="3579" spans="1:9" x14ac:dyDescent="0.2">
      <c r="A3579" s="81" t="s">
        <v>2555</v>
      </c>
      <c r="B3579" s="241" t="s">
        <v>587</v>
      </c>
      <c r="C3579" s="3" t="s">
        <v>588</v>
      </c>
      <c r="D3579" s="2" t="s">
        <v>585</v>
      </c>
      <c r="E3579" s="114">
        <v>1</v>
      </c>
      <c r="F3579" s="23">
        <f>VLOOKUP(B3579,'BASE DE DATOS'!$A$5:$E$997,5,FALSE)</f>
        <v>514339</v>
      </c>
      <c r="G3579" s="104">
        <f>1/3</f>
        <v>0.33333333333333331</v>
      </c>
      <c r="H3579" s="252">
        <f t="shared" si="313"/>
        <v>171446.33333333331</v>
      </c>
    </row>
    <row r="3580" spans="1:9" x14ac:dyDescent="0.2">
      <c r="A3580" s="937" t="s">
        <v>293</v>
      </c>
      <c r="B3580" s="241" t="s">
        <v>269</v>
      </c>
      <c r="C3580" s="3" t="s">
        <v>284</v>
      </c>
      <c r="D3580" s="2" t="s">
        <v>586</v>
      </c>
      <c r="E3580" s="114">
        <v>0.05</v>
      </c>
      <c r="F3580" s="23">
        <f>H3579</f>
        <v>171446.33333333331</v>
      </c>
      <c r="G3580" s="104">
        <v>0</v>
      </c>
      <c r="H3580" s="252">
        <f t="shared" si="313"/>
        <v>8572.3166666666657</v>
      </c>
    </row>
    <row r="3581" spans="1:9" ht="13.5" thickBot="1" x14ac:dyDescent="0.25">
      <c r="A3581" s="938"/>
      <c r="B3581" s="528" t="s">
        <v>250</v>
      </c>
      <c r="C3581" s="108" t="s">
        <v>251</v>
      </c>
      <c r="D3581" s="109" t="s">
        <v>586</v>
      </c>
      <c r="E3581" s="200">
        <v>0.1</v>
      </c>
      <c r="F3581" s="110">
        <f>H3579</f>
        <v>171446.33333333331</v>
      </c>
      <c r="G3581" s="156">
        <v>0</v>
      </c>
      <c r="H3581" s="479">
        <f t="shared" si="313"/>
        <v>17144.633333333331</v>
      </c>
    </row>
    <row r="3582" spans="1:9" s="42" customFormat="1" ht="30" x14ac:dyDescent="0.2">
      <c r="A3582" s="67" t="s">
        <v>3420</v>
      </c>
      <c r="B3582" s="529"/>
      <c r="C3582" s="388" t="s">
        <v>552</v>
      </c>
      <c r="D3582" s="389" t="s">
        <v>405</v>
      </c>
      <c r="E3582" s="390"/>
      <c r="F3582" s="391">
        <f>ROUND(SUM(H3582:H3587),0)</f>
        <v>1045908</v>
      </c>
      <c r="G3582" s="392"/>
      <c r="H3582" s="393"/>
      <c r="I3582" s="738"/>
    </row>
    <row r="3583" spans="1:9" ht="25.5" x14ac:dyDescent="0.2">
      <c r="A3583" s="82" t="s">
        <v>382</v>
      </c>
      <c r="B3583" s="241" t="s">
        <v>1624</v>
      </c>
      <c r="C3583" s="3" t="s">
        <v>3686</v>
      </c>
      <c r="D3583" s="2" t="s">
        <v>405</v>
      </c>
      <c r="E3583" s="114">
        <v>1</v>
      </c>
      <c r="F3583" s="23">
        <f>VLOOKUP(B3583,'BASE DE DATOS'!$A$5:$E$997,5,FALSE)</f>
        <v>697975</v>
      </c>
      <c r="G3583" s="104">
        <v>1.05</v>
      </c>
      <c r="H3583" s="252">
        <f t="shared" si="313"/>
        <v>732873.75</v>
      </c>
    </row>
    <row r="3584" spans="1:9" ht="14.25" x14ac:dyDescent="0.2">
      <c r="A3584" s="64" t="s">
        <v>3252</v>
      </c>
      <c r="B3584" s="241" t="s">
        <v>810</v>
      </c>
      <c r="C3584" s="3" t="s">
        <v>2097</v>
      </c>
      <c r="D3584" s="2" t="s">
        <v>285</v>
      </c>
      <c r="E3584" s="114">
        <v>0.08</v>
      </c>
      <c r="F3584" s="23">
        <f>F90</f>
        <v>525897</v>
      </c>
      <c r="G3584" s="104">
        <v>1.05</v>
      </c>
      <c r="H3584" s="252">
        <f t="shared" si="313"/>
        <v>44175.347999999998</v>
      </c>
    </row>
    <row r="3585" spans="1:9" x14ac:dyDescent="0.2">
      <c r="A3585" s="81" t="s">
        <v>2555</v>
      </c>
      <c r="B3585" s="241" t="s">
        <v>587</v>
      </c>
      <c r="C3585" s="3" t="s">
        <v>588</v>
      </c>
      <c r="D3585" s="2" t="s">
        <v>585</v>
      </c>
      <c r="E3585" s="114">
        <v>1</v>
      </c>
      <c r="F3585" s="23">
        <f>VLOOKUP(B3585,'BASE DE DATOS'!$A$5:$E$997,5,FALSE)</f>
        <v>514339</v>
      </c>
      <c r="G3585" s="104">
        <f>1/2.2</f>
        <v>0.45454545454545453</v>
      </c>
      <c r="H3585" s="252">
        <f t="shared" si="313"/>
        <v>233790.45454545453</v>
      </c>
    </row>
    <row r="3586" spans="1:9" x14ac:dyDescent="0.2">
      <c r="A3586" s="937" t="s">
        <v>293</v>
      </c>
      <c r="B3586" s="241" t="s">
        <v>269</v>
      </c>
      <c r="C3586" s="3" t="s">
        <v>284</v>
      </c>
      <c r="D3586" s="2" t="s">
        <v>586</v>
      </c>
      <c r="E3586" s="114">
        <v>0.05</v>
      </c>
      <c r="F3586" s="23">
        <f>H3585</f>
        <v>233790.45454545453</v>
      </c>
      <c r="G3586" s="104">
        <v>0</v>
      </c>
      <c r="H3586" s="252">
        <f t="shared" si="313"/>
        <v>11689.522727272728</v>
      </c>
    </row>
    <row r="3587" spans="1:9" ht="13.5" thickBot="1" x14ac:dyDescent="0.25">
      <c r="A3587" s="938"/>
      <c r="B3587" s="528" t="s">
        <v>250</v>
      </c>
      <c r="C3587" s="108" t="s">
        <v>251</v>
      </c>
      <c r="D3587" s="109" t="s">
        <v>586</v>
      </c>
      <c r="E3587" s="200">
        <v>0.1</v>
      </c>
      <c r="F3587" s="110">
        <f>H3585</f>
        <v>233790.45454545453</v>
      </c>
      <c r="G3587" s="156">
        <v>0</v>
      </c>
      <c r="H3587" s="479">
        <f t="shared" si="313"/>
        <v>23379.045454545456</v>
      </c>
    </row>
    <row r="3588" spans="1:9" s="42" customFormat="1" ht="30" x14ac:dyDescent="0.2">
      <c r="A3588" s="67" t="s">
        <v>3421</v>
      </c>
      <c r="B3588" s="529"/>
      <c r="C3588" s="388" t="s">
        <v>553</v>
      </c>
      <c r="D3588" s="389" t="s">
        <v>405</v>
      </c>
      <c r="E3588" s="390"/>
      <c r="F3588" s="391">
        <f>ROUND(SUM(H3588:H3593),0)</f>
        <v>902294</v>
      </c>
      <c r="G3588" s="392"/>
      <c r="H3588" s="393"/>
      <c r="I3588" s="738"/>
    </row>
    <row r="3589" spans="1:9" ht="25.5" x14ac:dyDescent="0.2">
      <c r="A3589" s="82" t="s">
        <v>382</v>
      </c>
      <c r="B3589" s="241" t="s">
        <v>1625</v>
      </c>
      <c r="C3589" s="3" t="s">
        <v>3687</v>
      </c>
      <c r="D3589" s="2" t="s">
        <v>405</v>
      </c>
      <c r="E3589" s="114">
        <v>1</v>
      </c>
      <c r="F3589" s="23">
        <f>VLOOKUP(B3589,'BASE DE DATOS'!$A$5:$E$997,5,FALSE)</f>
        <v>525076</v>
      </c>
      <c r="G3589" s="104">
        <v>1.05</v>
      </c>
      <c r="H3589" s="252">
        <f t="shared" si="313"/>
        <v>551329.80000000005</v>
      </c>
    </row>
    <row r="3590" spans="1:9" ht="14.25" x14ac:dyDescent="0.2">
      <c r="A3590" s="64" t="s">
        <v>3252</v>
      </c>
      <c r="B3590" s="241" t="s">
        <v>810</v>
      </c>
      <c r="C3590" s="3" t="s">
        <v>2097</v>
      </c>
      <c r="D3590" s="2" t="s">
        <v>285</v>
      </c>
      <c r="E3590" s="114">
        <v>0.1</v>
      </c>
      <c r="F3590" s="23">
        <f>F90</f>
        <v>525897</v>
      </c>
      <c r="G3590" s="104">
        <v>1.05</v>
      </c>
      <c r="H3590" s="252">
        <f t="shared" si="313"/>
        <v>55219.184999999998</v>
      </c>
    </row>
    <row r="3591" spans="1:9" x14ac:dyDescent="0.2">
      <c r="A3591" s="81" t="s">
        <v>2555</v>
      </c>
      <c r="B3591" s="241" t="s">
        <v>587</v>
      </c>
      <c r="C3591" s="3" t="s">
        <v>588</v>
      </c>
      <c r="D3591" s="2" t="s">
        <v>585</v>
      </c>
      <c r="E3591" s="114">
        <v>1</v>
      </c>
      <c r="F3591" s="23">
        <f>VLOOKUP(B3591,'BASE DE DATOS'!$A$5:$E$997,5,FALSE)</f>
        <v>514339</v>
      </c>
      <c r="G3591" s="104">
        <f>1/2</f>
        <v>0.5</v>
      </c>
      <c r="H3591" s="252">
        <f t="shared" si="313"/>
        <v>257169.5</v>
      </c>
    </row>
    <row r="3592" spans="1:9" x14ac:dyDescent="0.2">
      <c r="A3592" s="937" t="s">
        <v>293</v>
      </c>
      <c r="B3592" s="241" t="s">
        <v>269</v>
      </c>
      <c r="C3592" s="3" t="s">
        <v>284</v>
      </c>
      <c r="D3592" s="2" t="s">
        <v>586</v>
      </c>
      <c r="E3592" s="114">
        <v>0.05</v>
      </c>
      <c r="F3592" s="23">
        <f>H3591</f>
        <v>257169.5</v>
      </c>
      <c r="G3592" s="104">
        <v>0</v>
      </c>
      <c r="H3592" s="252">
        <f t="shared" si="313"/>
        <v>12858.475</v>
      </c>
    </row>
    <row r="3593" spans="1:9" ht="13.5" thickBot="1" x14ac:dyDescent="0.25">
      <c r="A3593" s="938"/>
      <c r="B3593" s="528" t="s">
        <v>250</v>
      </c>
      <c r="C3593" s="108" t="s">
        <v>251</v>
      </c>
      <c r="D3593" s="109" t="s">
        <v>586</v>
      </c>
      <c r="E3593" s="200">
        <v>0.1</v>
      </c>
      <c r="F3593" s="110">
        <f>H3591</f>
        <v>257169.5</v>
      </c>
      <c r="G3593" s="156">
        <v>0</v>
      </c>
      <c r="H3593" s="479">
        <f t="shared" si="313"/>
        <v>25716.95</v>
      </c>
    </row>
    <row r="3594" spans="1:9" s="42" customFormat="1" ht="30" x14ac:dyDescent="0.2">
      <c r="A3594" s="67" t="s">
        <v>3422</v>
      </c>
      <c r="B3594" s="529"/>
      <c r="C3594" s="388" t="s">
        <v>554</v>
      </c>
      <c r="D3594" s="389" t="s">
        <v>405</v>
      </c>
      <c r="E3594" s="390"/>
      <c r="F3594" s="391">
        <f>ROUND(SUM(H3594:H3599),0)</f>
        <v>1035921</v>
      </c>
      <c r="G3594" s="392"/>
      <c r="H3594" s="393"/>
      <c r="I3594" s="738"/>
    </row>
    <row r="3595" spans="1:9" ht="25.5" x14ac:dyDescent="0.2">
      <c r="A3595" s="82" t="s">
        <v>382</v>
      </c>
      <c r="B3595" s="241" t="s">
        <v>1626</v>
      </c>
      <c r="C3595" s="3" t="s">
        <v>3688</v>
      </c>
      <c r="D3595" s="2" t="s">
        <v>405</v>
      </c>
      <c r="E3595" s="114">
        <v>1</v>
      </c>
      <c r="F3595" s="23">
        <f>VLOOKUP(B3595,'BASE DE DATOS'!$A$5:$E$997,5,FALSE)</f>
        <v>568454</v>
      </c>
      <c r="G3595" s="104">
        <v>1.05</v>
      </c>
      <c r="H3595" s="252">
        <f t="shared" si="313"/>
        <v>596876.70000000007</v>
      </c>
    </row>
    <row r="3596" spans="1:9" ht="14.25" x14ac:dyDescent="0.2">
      <c r="A3596" s="64" t="s">
        <v>3252</v>
      </c>
      <c r="B3596" s="241" t="s">
        <v>810</v>
      </c>
      <c r="C3596" s="3" t="s">
        <v>2097</v>
      </c>
      <c r="D3596" s="2" t="s">
        <v>285</v>
      </c>
      <c r="E3596" s="114">
        <v>0.2</v>
      </c>
      <c r="F3596" s="23">
        <f>F90</f>
        <v>525897</v>
      </c>
      <c r="G3596" s="104">
        <v>1.05</v>
      </c>
      <c r="H3596" s="252">
        <f t="shared" si="313"/>
        <v>110438.37</v>
      </c>
    </row>
    <row r="3597" spans="1:9" x14ac:dyDescent="0.2">
      <c r="A3597" s="81" t="s">
        <v>2555</v>
      </c>
      <c r="B3597" s="241" t="s">
        <v>587</v>
      </c>
      <c r="C3597" s="3" t="s">
        <v>588</v>
      </c>
      <c r="D3597" s="2" t="s">
        <v>585</v>
      </c>
      <c r="E3597" s="114">
        <v>1</v>
      </c>
      <c r="F3597" s="23">
        <f>VLOOKUP(B3597,'BASE DE DATOS'!$A$5:$E$997,5,FALSE)</f>
        <v>514339</v>
      </c>
      <c r="G3597" s="104">
        <f>1/1.8</f>
        <v>0.55555555555555558</v>
      </c>
      <c r="H3597" s="252">
        <f t="shared" si="313"/>
        <v>285743.88888888888</v>
      </c>
    </row>
    <row r="3598" spans="1:9" x14ac:dyDescent="0.2">
      <c r="A3598" s="937" t="s">
        <v>293</v>
      </c>
      <c r="B3598" s="241" t="s">
        <v>269</v>
      </c>
      <c r="C3598" s="3" t="s">
        <v>284</v>
      </c>
      <c r="D3598" s="2" t="s">
        <v>586</v>
      </c>
      <c r="E3598" s="114">
        <v>0.05</v>
      </c>
      <c r="F3598" s="23">
        <f>H3597</f>
        <v>285743.88888888888</v>
      </c>
      <c r="G3598" s="104">
        <v>0</v>
      </c>
      <c r="H3598" s="252">
        <f t="shared" si="313"/>
        <v>14287.194444444445</v>
      </c>
    </row>
    <row r="3599" spans="1:9" ht="13.5" thickBot="1" x14ac:dyDescent="0.25">
      <c r="A3599" s="938"/>
      <c r="B3599" s="528" t="s">
        <v>250</v>
      </c>
      <c r="C3599" s="108" t="s">
        <v>251</v>
      </c>
      <c r="D3599" s="109" t="s">
        <v>586</v>
      </c>
      <c r="E3599" s="200">
        <v>0.1</v>
      </c>
      <c r="F3599" s="110">
        <f>H3597</f>
        <v>285743.88888888888</v>
      </c>
      <c r="G3599" s="156">
        <v>0</v>
      </c>
      <c r="H3599" s="479">
        <f t="shared" si="313"/>
        <v>28574.388888888891</v>
      </c>
    </row>
    <row r="3600" spans="1:9" s="42" customFormat="1" ht="30" x14ac:dyDescent="0.2">
      <c r="A3600" s="67" t="s">
        <v>3453</v>
      </c>
      <c r="B3600" s="529"/>
      <c r="C3600" s="388" t="s">
        <v>555</v>
      </c>
      <c r="D3600" s="389" t="s">
        <v>405</v>
      </c>
      <c r="E3600" s="390"/>
      <c r="F3600" s="391">
        <f>ROUND(SUM(H3600:H3605),0)</f>
        <v>1353167</v>
      </c>
      <c r="G3600" s="392"/>
      <c r="H3600" s="393"/>
      <c r="I3600" s="738"/>
    </row>
    <row r="3601" spans="1:9" ht="25.5" x14ac:dyDescent="0.2">
      <c r="A3601" s="82" t="s">
        <v>382</v>
      </c>
      <c r="B3601" s="241" t="s">
        <v>1627</v>
      </c>
      <c r="C3601" s="3" t="s">
        <v>3689</v>
      </c>
      <c r="D3601" s="2" t="s">
        <v>405</v>
      </c>
      <c r="E3601" s="114">
        <v>1</v>
      </c>
      <c r="F3601" s="23">
        <f>VLOOKUP(B3601,'BASE DE DATOS'!$A$5:$E$997,5,FALSE)</f>
        <v>755412</v>
      </c>
      <c r="G3601" s="104">
        <v>1.05</v>
      </c>
      <c r="H3601" s="252">
        <f t="shared" si="313"/>
        <v>793182.6</v>
      </c>
    </row>
    <row r="3602" spans="1:9" ht="14.25" x14ac:dyDescent="0.2">
      <c r="A3602" s="64" t="s">
        <v>3252</v>
      </c>
      <c r="B3602" s="241" t="s">
        <v>810</v>
      </c>
      <c r="C3602" s="3" t="s">
        <v>2097</v>
      </c>
      <c r="D3602" s="2" t="s">
        <v>285</v>
      </c>
      <c r="E3602" s="114">
        <v>0.3</v>
      </c>
      <c r="F3602" s="23">
        <f>F90</f>
        <v>525897</v>
      </c>
      <c r="G3602" s="104">
        <v>1.05</v>
      </c>
      <c r="H3602" s="252">
        <f t="shared" si="313"/>
        <v>165657.55499999999</v>
      </c>
    </row>
    <row r="3603" spans="1:9" x14ac:dyDescent="0.2">
      <c r="A3603" s="81" t="s">
        <v>2555</v>
      </c>
      <c r="B3603" s="241" t="s">
        <v>587</v>
      </c>
      <c r="C3603" s="3" t="s">
        <v>588</v>
      </c>
      <c r="D3603" s="2" t="s">
        <v>585</v>
      </c>
      <c r="E3603" s="114">
        <v>1</v>
      </c>
      <c r="F3603" s="23">
        <f>VLOOKUP(B3603,'BASE DE DATOS'!$A$5:$E$997,5,FALSE)</f>
        <v>514339</v>
      </c>
      <c r="G3603" s="104">
        <f>1/1.5</f>
        <v>0.66666666666666663</v>
      </c>
      <c r="H3603" s="252">
        <f t="shared" si="313"/>
        <v>342892.66666666663</v>
      </c>
    </row>
    <row r="3604" spans="1:9" x14ac:dyDescent="0.2">
      <c r="A3604" s="937" t="s">
        <v>293</v>
      </c>
      <c r="B3604" s="241" t="s">
        <v>269</v>
      </c>
      <c r="C3604" s="3" t="s">
        <v>284</v>
      </c>
      <c r="D3604" s="2" t="s">
        <v>586</v>
      </c>
      <c r="E3604" s="114">
        <v>0.05</v>
      </c>
      <c r="F3604" s="23">
        <f>H3603</f>
        <v>342892.66666666663</v>
      </c>
      <c r="G3604" s="104">
        <v>0</v>
      </c>
      <c r="H3604" s="252">
        <f t="shared" si="313"/>
        <v>17144.633333333331</v>
      </c>
    </row>
    <row r="3605" spans="1:9" ht="13.5" thickBot="1" x14ac:dyDescent="0.25">
      <c r="A3605" s="938"/>
      <c r="B3605" s="528" t="s">
        <v>250</v>
      </c>
      <c r="C3605" s="108" t="s">
        <v>251</v>
      </c>
      <c r="D3605" s="109" t="s">
        <v>586</v>
      </c>
      <c r="E3605" s="200">
        <v>0.1</v>
      </c>
      <c r="F3605" s="110">
        <f>H3603</f>
        <v>342892.66666666663</v>
      </c>
      <c r="G3605" s="156">
        <v>0</v>
      </c>
      <c r="H3605" s="479">
        <f t="shared" si="313"/>
        <v>34289.266666666663</v>
      </c>
    </row>
    <row r="3606" spans="1:9" s="42" customFormat="1" ht="30" x14ac:dyDescent="0.2">
      <c r="A3606" s="67" t="s">
        <v>3454</v>
      </c>
      <c r="B3606" s="529"/>
      <c r="C3606" s="388" t="s">
        <v>27</v>
      </c>
      <c r="D3606" s="389" t="s">
        <v>405</v>
      </c>
      <c r="E3606" s="395"/>
      <c r="F3606" s="391">
        <f>ROUND(SUM(H3606:H3610),0)</f>
        <v>23340</v>
      </c>
      <c r="G3606" s="392"/>
      <c r="H3606" s="393"/>
      <c r="I3606" s="738"/>
    </row>
    <row r="3607" spans="1:9" ht="25.5" x14ac:dyDescent="0.2">
      <c r="A3607" s="936" t="s">
        <v>382</v>
      </c>
      <c r="B3607" s="241" t="s">
        <v>1681</v>
      </c>
      <c r="C3607" s="146" t="s">
        <v>27</v>
      </c>
      <c r="D3607" s="2" t="s">
        <v>405</v>
      </c>
      <c r="E3607" s="114">
        <v>1</v>
      </c>
      <c r="F3607" s="23">
        <f>VLOOKUP(B3607,'BASE DE DATOS'!$A$5:$E$997,5,FALSE)</f>
        <v>12816.666666666666</v>
      </c>
      <c r="G3607" s="104">
        <v>1.05</v>
      </c>
      <c r="H3607" s="252">
        <f t="shared" si="313"/>
        <v>13457.5</v>
      </c>
    </row>
    <row r="3608" spans="1:9" x14ac:dyDescent="0.2">
      <c r="A3608" s="936"/>
      <c r="B3608" s="241" t="s">
        <v>1691</v>
      </c>
      <c r="C3608" s="3" t="s">
        <v>249</v>
      </c>
      <c r="D3608" s="2" t="s">
        <v>590</v>
      </c>
      <c r="E3608" s="114">
        <v>0.05</v>
      </c>
      <c r="F3608" s="23">
        <f>VLOOKUP(B3608,'BASE DE DATOS'!$A$5:$E$997,5,FALSE)</f>
        <v>15110</v>
      </c>
      <c r="G3608" s="104">
        <v>1.03</v>
      </c>
      <c r="H3608" s="252">
        <f t="shared" si="313"/>
        <v>778.16500000000008</v>
      </c>
    </row>
    <row r="3609" spans="1:9" x14ac:dyDescent="0.2">
      <c r="A3609" s="81" t="s">
        <v>2555</v>
      </c>
      <c r="B3609" s="241" t="s">
        <v>644</v>
      </c>
      <c r="C3609" s="3" t="s">
        <v>645</v>
      </c>
      <c r="D3609" s="2" t="s">
        <v>585</v>
      </c>
      <c r="E3609" s="114">
        <v>1</v>
      </c>
      <c r="F3609" s="23">
        <f>VLOOKUP(B3609,'BASE DE DATOS'!$A$5:$E$997,5,FALSE)</f>
        <v>248302</v>
      </c>
      <c r="G3609" s="104">
        <f>1/30</f>
        <v>3.3333333333333333E-2</v>
      </c>
      <c r="H3609" s="252">
        <f t="shared" si="313"/>
        <v>8276.7333333333336</v>
      </c>
    </row>
    <row r="3610" spans="1:9" ht="13.5" thickBot="1" x14ac:dyDescent="0.25">
      <c r="A3610" s="94" t="s">
        <v>293</v>
      </c>
      <c r="B3610" s="528" t="s">
        <v>269</v>
      </c>
      <c r="C3610" s="108" t="s">
        <v>284</v>
      </c>
      <c r="D3610" s="109" t="s">
        <v>586</v>
      </c>
      <c r="E3610" s="200">
        <v>0.1</v>
      </c>
      <c r="F3610" s="110">
        <f>H3609</f>
        <v>8276.7333333333336</v>
      </c>
      <c r="G3610" s="156">
        <v>0</v>
      </c>
      <c r="H3610" s="479">
        <f t="shared" si="313"/>
        <v>827.6733333333334</v>
      </c>
    </row>
    <row r="3611" spans="1:9" s="42" customFormat="1" ht="30" x14ac:dyDescent="0.2">
      <c r="A3611" s="67" t="s">
        <v>3455</v>
      </c>
      <c r="B3611" s="529"/>
      <c r="C3611" s="388" t="s">
        <v>28</v>
      </c>
      <c r="D3611" s="389" t="s">
        <v>405</v>
      </c>
      <c r="E3611" s="395"/>
      <c r="F3611" s="391">
        <f>ROUND(SUM(H3611:H3615),0)</f>
        <v>55729</v>
      </c>
      <c r="G3611" s="392"/>
      <c r="H3611" s="393"/>
      <c r="I3611" s="738"/>
    </row>
    <row r="3612" spans="1:9" ht="25.5" x14ac:dyDescent="0.2">
      <c r="A3612" s="936" t="s">
        <v>382</v>
      </c>
      <c r="B3612" s="241" t="s">
        <v>1648</v>
      </c>
      <c r="C3612" s="146" t="s">
        <v>28</v>
      </c>
      <c r="D3612" s="2" t="s">
        <v>405</v>
      </c>
      <c r="E3612" s="114">
        <v>1</v>
      </c>
      <c r="F3612" s="23">
        <f>VLOOKUP(B3612,'BASE DE DATOS'!$A$5:$E$997,5,FALSE)</f>
        <v>41484</v>
      </c>
      <c r="G3612" s="104">
        <v>1.05</v>
      </c>
      <c r="H3612" s="252">
        <f t="shared" si="313"/>
        <v>43558.200000000004</v>
      </c>
    </row>
    <row r="3613" spans="1:9" x14ac:dyDescent="0.2">
      <c r="A3613" s="936"/>
      <c r="B3613" s="241" t="s">
        <v>1691</v>
      </c>
      <c r="C3613" s="3" t="s">
        <v>249</v>
      </c>
      <c r="D3613" s="2" t="s">
        <v>590</v>
      </c>
      <c r="E3613" s="114">
        <v>0.08</v>
      </c>
      <c r="F3613" s="23">
        <f>VLOOKUP(B3613,'BASE DE DATOS'!$A$5:$E$997,5,FALSE)</f>
        <v>15110</v>
      </c>
      <c r="G3613" s="104">
        <v>1.03</v>
      </c>
      <c r="H3613" s="252">
        <f t="shared" si="313"/>
        <v>1245.0640000000001</v>
      </c>
    </row>
    <row r="3614" spans="1:9" x14ac:dyDescent="0.2">
      <c r="A3614" s="81" t="s">
        <v>2555</v>
      </c>
      <c r="B3614" s="241" t="s">
        <v>644</v>
      </c>
      <c r="C3614" s="3" t="s">
        <v>645</v>
      </c>
      <c r="D3614" s="2" t="s">
        <v>585</v>
      </c>
      <c r="E3614" s="114">
        <v>1</v>
      </c>
      <c r="F3614" s="23">
        <f>VLOOKUP(B3614,'BASE DE DATOS'!$A$5:$E$997,5,FALSE)</f>
        <v>248302</v>
      </c>
      <c r="G3614" s="104">
        <f>1/25</f>
        <v>0.04</v>
      </c>
      <c r="H3614" s="252">
        <f t="shared" si="313"/>
        <v>9932.08</v>
      </c>
    </row>
    <row r="3615" spans="1:9" ht="13.5" thickBot="1" x14ac:dyDescent="0.25">
      <c r="A3615" s="94" t="s">
        <v>293</v>
      </c>
      <c r="B3615" s="528" t="s">
        <v>269</v>
      </c>
      <c r="C3615" s="108" t="s">
        <v>284</v>
      </c>
      <c r="D3615" s="109" t="s">
        <v>586</v>
      </c>
      <c r="E3615" s="200">
        <v>0.1</v>
      </c>
      <c r="F3615" s="110">
        <f>H3614</f>
        <v>9932.08</v>
      </c>
      <c r="G3615" s="156">
        <v>0</v>
      </c>
      <c r="H3615" s="479">
        <f t="shared" si="313"/>
        <v>993.20800000000008</v>
      </c>
    </row>
    <row r="3616" spans="1:9" s="42" customFormat="1" ht="30" x14ac:dyDescent="0.2">
      <c r="A3616" s="67" t="s">
        <v>3456</v>
      </c>
      <c r="B3616" s="529"/>
      <c r="C3616" s="388" t="s">
        <v>29</v>
      </c>
      <c r="D3616" s="389" t="s">
        <v>405</v>
      </c>
      <c r="E3616" s="395"/>
      <c r="F3616" s="391">
        <f>ROUND(SUM(H3616:H3620),0)</f>
        <v>62343</v>
      </c>
      <c r="G3616" s="392"/>
      <c r="H3616" s="393"/>
      <c r="I3616" s="738"/>
    </row>
    <row r="3617" spans="1:9" ht="25.5" x14ac:dyDescent="0.2">
      <c r="A3617" s="936" t="s">
        <v>382</v>
      </c>
      <c r="B3617" s="241" t="s">
        <v>1649</v>
      </c>
      <c r="C3617" s="146" t="s">
        <v>29</v>
      </c>
      <c r="D3617" s="2" t="s">
        <v>405</v>
      </c>
      <c r="E3617" s="114">
        <v>1</v>
      </c>
      <c r="F3617" s="23">
        <f>VLOOKUP(B3617,'BASE DE DATOS'!$A$5:$E$997,5,FALSE)</f>
        <v>43150</v>
      </c>
      <c r="G3617" s="104">
        <v>1.05</v>
      </c>
      <c r="H3617" s="252">
        <f t="shared" si="313"/>
        <v>45307.5</v>
      </c>
    </row>
    <row r="3618" spans="1:9" x14ac:dyDescent="0.2">
      <c r="A3618" s="936"/>
      <c r="B3618" s="241" t="s">
        <v>1691</v>
      </c>
      <c r="C3618" s="3" t="s">
        <v>249</v>
      </c>
      <c r="D3618" s="2" t="s">
        <v>590</v>
      </c>
      <c r="E3618" s="114">
        <v>1.2E-2</v>
      </c>
      <c r="F3618" s="23">
        <f>VLOOKUP(B3618,'BASE DE DATOS'!$A$5:$E$997,5,FALSE)</f>
        <v>15110</v>
      </c>
      <c r="G3618" s="104">
        <v>1.03</v>
      </c>
      <c r="H3618" s="252">
        <f t="shared" si="313"/>
        <v>186.75960000000001</v>
      </c>
    </row>
    <row r="3619" spans="1:9" x14ac:dyDescent="0.2">
      <c r="A3619" s="81" t="s">
        <v>2555</v>
      </c>
      <c r="B3619" s="241" t="s">
        <v>607</v>
      </c>
      <c r="C3619" s="3" t="s">
        <v>608</v>
      </c>
      <c r="D3619" s="2" t="s">
        <v>585</v>
      </c>
      <c r="E3619" s="114">
        <v>1</v>
      </c>
      <c r="F3619" s="23">
        <f>VLOOKUP(B3619,'BASE DE DATOS'!$A$5:$E$997,5,FALSE)</f>
        <v>336981</v>
      </c>
      <c r="G3619" s="104">
        <f>1/22</f>
        <v>4.5454545454545456E-2</v>
      </c>
      <c r="H3619" s="252">
        <f t="shared" si="313"/>
        <v>15317.318181818182</v>
      </c>
    </row>
    <row r="3620" spans="1:9" ht="13.5" thickBot="1" x14ac:dyDescent="0.25">
      <c r="A3620" s="94" t="s">
        <v>293</v>
      </c>
      <c r="B3620" s="528" t="s">
        <v>269</v>
      </c>
      <c r="C3620" s="108" t="s">
        <v>284</v>
      </c>
      <c r="D3620" s="109" t="s">
        <v>586</v>
      </c>
      <c r="E3620" s="200">
        <v>0.1</v>
      </c>
      <c r="F3620" s="110">
        <f>H3619</f>
        <v>15317.318181818182</v>
      </c>
      <c r="G3620" s="156">
        <v>0</v>
      </c>
      <c r="H3620" s="479">
        <f t="shared" si="313"/>
        <v>1531.7318181818182</v>
      </c>
    </row>
    <row r="3621" spans="1:9" s="42" customFormat="1" ht="30" x14ac:dyDescent="0.2">
      <c r="A3621" s="67" t="s">
        <v>3457</v>
      </c>
      <c r="B3621" s="529"/>
      <c r="C3621" s="388" t="s">
        <v>30</v>
      </c>
      <c r="D3621" s="389" t="s">
        <v>405</v>
      </c>
      <c r="E3621" s="395"/>
      <c r="F3621" s="391">
        <f>ROUND(SUM(H3621:H3625),0)</f>
        <v>87485</v>
      </c>
      <c r="G3621" s="392"/>
      <c r="H3621" s="393"/>
      <c r="I3621" s="738"/>
    </row>
    <row r="3622" spans="1:9" ht="25.5" x14ac:dyDescent="0.2">
      <c r="A3622" s="936" t="s">
        <v>382</v>
      </c>
      <c r="B3622" s="241" t="s">
        <v>1645</v>
      </c>
      <c r="C3622" s="146" t="s">
        <v>30</v>
      </c>
      <c r="D3622" s="2" t="s">
        <v>405</v>
      </c>
      <c r="E3622" s="114">
        <v>1</v>
      </c>
      <c r="F3622" s="23">
        <f>VLOOKUP(B3622,'BASE DE DATOS'!$A$5:$E$997,5,FALSE)</f>
        <v>63484</v>
      </c>
      <c r="G3622" s="104">
        <v>1.05</v>
      </c>
      <c r="H3622" s="252">
        <f t="shared" si="313"/>
        <v>66658.2</v>
      </c>
    </row>
    <row r="3623" spans="1:9" x14ac:dyDescent="0.2">
      <c r="A3623" s="936"/>
      <c r="B3623" s="241" t="s">
        <v>1691</v>
      </c>
      <c r="C3623" s="3" t="s">
        <v>249</v>
      </c>
      <c r="D3623" s="2" t="s">
        <v>590</v>
      </c>
      <c r="E3623" s="114">
        <v>1.4999999999999999E-2</v>
      </c>
      <c r="F3623" s="23">
        <f>VLOOKUP(B3623,'BASE DE DATOS'!$A$5:$E$997,5,FALSE)</f>
        <v>15110</v>
      </c>
      <c r="G3623" s="104">
        <v>1.03</v>
      </c>
      <c r="H3623" s="252">
        <f t="shared" si="313"/>
        <v>233.4495</v>
      </c>
    </row>
    <row r="3624" spans="1:9" x14ac:dyDescent="0.2">
      <c r="A3624" s="81" t="s">
        <v>2555</v>
      </c>
      <c r="B3624" s="241" t="s">
        <v>607</v>
      </c>
      <c r="C3624" s="3" t="s">
        <v>608</v>
      </c>
      <c r="D3624" s="2" t="s">
        <v>585</v>
      </c>
      <c r="E3624" s="114">
        <v>1</v>
      </c>
      <c r="F3624" s="23">
        <f>VLOOKUP(B3624,'BASE DE DATOS'!$A$5:$E$997,5,FALSE)</f>
        <v>336981</v>
      </c>
      <c r="G3624" s="104">
        <f>1/18</f>
        <v>5.5555555555555552E-2</v>
      </c>
      <c r="H3624" s="252">
        <f t="shared" si="313"/>
        <v>18721.166666666664</v>
      </c>
    </row>
    <row r="3625" spans="1:9" ht="13.5" thickBot="1" x14ac:dyDescent="0.25">
      <c r="A3625" s="94" t="s">
        <v>293</v>
      </c>
      <c r="B3625" s="528" t="s">
        <v>269</v>
      </c>
      <c r="C3625" s="108" t="s">
        <v>284</v>
      </c>
      <c r="D3625" s="109" t="s">
        <v>586</v>
      </c>
      <c r="E3625" s="200">
        <v>0.1</v>
      </c>
      <c r="F3625" s="110">
        <f>H3624</f>
        <v>18721.166666666664</v>
      </c>
      <c r="G3625" s="156">
        <v>0</v>
      </c>
      <c r="H3625" s="479">
        <f t="shared" si="313"/>
        <v>1872.1166666666666</v>
      </c>
    </row>
    <row r="3626" spans="1:9" s="42" customFormat="1" ht="30" x14ac:dyDescent="0.2">
      <c r="A3626" s="67" t="s">
        <v>3458</v>
      </c>
      <c r="B3626" s="529"/>
      <c r="C3626" s="388" t="s">
        <v>31</v>
      </c>
      <c r="D3626" s="389" t="s">
        <v>405</v>
      </c>
      <c r="E3626" s="395"/>
      <c r="F3626" s="391">
        <f>ROUND(SUM(H3626:H3630),0)</f>
        <v>155875</v>
      </c>
      <c r="G3626" s="392"/>
      <c r="H3626" s="393"/>
      <c r="I3626" s="738"/>
    </row>
    <row r="3627" spans="1:9" ht="25.5" x14ac:dyDescent="0.2">
      <c r="A3627" s="936" t="s">
        <v>382</v>
      </c>
      <c r="B3627" s="241" t="s">
        <v>1646</v>
      </c>
      <c r="C3627" s="146" t="s">
        <v>31</v>
      </c>
      <c r="D3627" s="2" t="s">
        <v>405</v>
      </c>
      <c r="E3627" s="114">
        <v>1</v>
      </c>
      <c r="F3627" s="23">
        <f>VLOOKUP(B3627,'BASE DE DATOS'!$A$5:$E$997,5,FALSE)</f>
        <v>124650</v>
      </c>
      <c r="G3627" s="104">
        <v>1.05</v>
      </c>
      <c r="H3627" s="252">
        <f t="shared" si="313"/>
        <v>130882.5</v>
      </c>
    </row>
    <row r="3628" spans="1:9" x14ac:dyDescent="0.2">
      <c r="A3628" s="936"/>
      <c r="B3628" s="241" t="s">
        <v>1691</v>
      </c>
      <c r="C3628" s="3" t="s">
        <v>249</v>
      </c>
      <c r="D3628" s="2" t="s">
        <v>590</v>
      </c>
      <c r="E3628" s="114">
        <v>1.7999999999999999E-2</v>
      </c>
      <c r="F3628" s="23">
        <f>VLOOKUP(B3628,'BASE DE DATOS'!$A$5:$E$997,5,FALSE)</f>
        <v>15110</v>
      </c>
      <c r="G3628" s="104">
        <v>1.03</v>
      </c>
      <c r="H3628" s="252">
        <f t="shared" si="313"/>
        <v>280.13940000000002</v>
      </c>
    </row>
    <row r="3629" spans="1:9" x14ac:dyDescent="0.2">
      <c r="A3629" s="81" t="s">
        <v>2555</v>
      </c>
      <c r="B3629" s="241" t="s">
        <v>607</v>
      </c>
      <c r="C3629" s="3" t="s">
        <v>608</v>
      </c>
      <c r="D3629" s="2" t="s">
        <v>585</v>
      </c>
      <c r="E3629" s="114">
        <v>1</v>
      </c>
      <c r="F3629" s="23">
        <f>VLOOKUP(B3629,'BASE DE DATOS'!$A$5:$E$997,5,FALSE)</f>
        <v>336981</v>
      </c>
      <c r="G3629" s="104">
        <f>1/15</f>
        <v>6.6666666666666666E-2</v>
      </c>
      <c r="H3629" s="252">
        <f t="shared" si="313"/>
        <v>22465.4</v>
      </c>
    </row>
    <row r="3630" spans="1:9" ht="13.5" thickBot="1" x14ac:dyDescent="0.25">
      <c r="A3630" s="94" t="s">
        <v>293</v>
      </c>
      <c r="B3630" s="528" t="s">
        <v>269</v>
      </c>
      <c r="C3630" s="108" t="s">
        <v>284</v>
      </c>
      <c r="D3630" s="109" t="s">
        <v>586</v>
      </c>
      <c r="E3630" s="200">
        <v>0.1</v>
      </c>
      <c r="F3630" s="110">
        <f>H3629</f>
        <v>22465.4</v>
      </c>
      <c r="G3630" s="156">
        <v>0</v>
      </c>
      <c r="H3630" s="479">
        <f t="shared" si="313"/>
        <v>2246.5400000000004</v>
      </c>
    </row>
    <row r="3631" spans="1:9" s="42" customFormat="1" ht="30" x14ac:dyDescent="0.2">
      <c r="A3631" s="67" t="s">
        <v>3459</v>
      </c>
      <c r="B3631" s="529"/>
      <c r="C3631" s="388" t="s">
        <v>32</v>
      </c>
      <c r="D3631" s="389" t="s">
        <v>405</v>
      </c>
      <c r="E3631" s="395"/>
      <c r="F3631" s="391">
        <f>ROUND(SUM(H3631:H3635),0)</f>
        <v>277493</v>
      </c>
      <c r="G3631" s="392"/>
      <c r="H3631" s="393"/>
      <c r="I3631" s="738"/>
    </row>
    <row r="3632" spans="1:9" ht="25.5" x14ac:dyDescent="0.2">
      <c r="A3632" s="936" t="s">
        <v>382</v>
      </c>
      <c r="B3632" s="241" t="s">
        <v>1647</v>
      </c>
      <c r="C3632" s="146" t="s">
        <v>32</v>
      </c>
      <c r="D3632" s="2" t="s">
        <v>405</v>
      </c>
      <c r="E3632" s="114">
        <v>1</v>
      </c>
      <c r="F3632" s="23">
        <f>VLOOKUP(B3632,'BASE DE DATOS'!$A$5:$E$997,5,FALSE)</f>
        <v>228650</v>
      </c>
      <c r="G3632" s="104">
        <v>1.05</v>
      </c>
      <c r="H3632" s="252">
        <f t="shared" si="313"/>
        <v>240082.5</v>
      </c>
    </row>
    <row r="3633" spans="1:9" x14ac:dyDescent="0.2">
      <c r="A3633" s="936"/>
      <c r="B3633" s="241" t="s">
        <v>1691</v>
      </c>
      <c r="C3633" s="3" t="s">
        <v>249</v>
      </c>
      <c r="D3633" s="2" t="s">
        <v>590</v>
      </c>
      <c r="E3633" s="114">
        <v>2.1999999999999999E-2</v>
      </c>
      <c r="F3633" s="23">
        <f>VLOOKUP(B3633,'BASE DE DATOS'!$A$5:$E$997,5,FALSE)</f>
        <v>15110</v>
      </c>
      <c r="G3633" s="104">
        <v>1.03</v>
      </c>
      <c r="H3633" s="252">
        <f t="shared" si="313"/>
        <v>342.39260000000002</v>
      </c>
    </row>
    <row r="3634" spans="1:9" x14ac:dyDescent="0.2">
      <c r="A3634" s="81" t="s">
        <v>2555</v>
      </c>
      <c r="B3634" s="241" t="s">
        <v>607</v>
      </c>
      <c r="C3634" s="3" t="s">
        <v>608</v>
      </c>
      <c r="D3634" s="2" t="s">
        <v>585</v>
      </c>
      <c r="E3634" s="114">
        <v>1</v>
      </c>
      <c r="F3634" s="23">
        <f>VLOOKUP(B3634,'BASE DE DATOS'!$A$5:$E$997,5,FALSE)</f>
        <v>336981</v>
      </c>
      <c r="G3634" s="104">
        <f>1/10</f>
        <v>0.1</v>
      </c>
      <c r="H3634" s="252">
        <f t="shared" si="313"/>
        <v>33698.1</v>
      </c>
    </row>
    <row r="3635" spans="1:9" ht="13.5" thickBot="1" x14ac:dyDescent="0.25">
      <c r="A3635" s="94" t="s">
        <v>293</v>
      </c>
      <c r="B3635" s="528" t="s">
        <v>269</v>
      </c>
      <c r="C3635" s="108" t="s">
        <v>284</v>
      </c>
      <c r="D3635" s="109" t="s">
        <v>586</v>
      </c>
      <c r="E3635" s="200">
        <v>0.1</v>
      </c>
      <c r="F3635" s="110">
        <f>H3634</f>
        <v>33698.1</v>
      </c>
      <c r="G3635" s="156">
        <v>0</v>
      </c>
      <c r="H3635" s="479">
        <f t="shared" ref="H3635" si="314">IF(G3635&gt;0,(G3635*F3635*E3635),(F3635*E3635))</f>
        <v>3369.81</v>
      </c>
    </row>
    <row r="3636" spans="1:9" s="42" customFormat="1" ht="30" x14ac:dyDescent="0.2">
      <c r="A3636" s="67" t="s">
        <v>3460</v>
      </c>
      <c r="B3636" s="526"/>
      <c r="C3636" s="399" t="s">
        <v>1786</v>
      </c>
      <c r="D3636" s="326" t="s">
        <v>405</v>
      </c>
      <c r="E3636" s="400"/>
      <c r="F3636" s="391">
        <f>ROUND(SUM(H3636:H3640),0)</f>
        <v>684377</v>
      </c>
      <c r="G3636" s="402"/>
      <c r="H3636" s="330"/>
      <c r="I3636" s="738"/>
    </row>
    <row r="3637" spans="1:9" ht="25.5" x14ac:dyDescent="0.2">
      <c r="A3637" s="936" t="s">
        <v>382</v>
      </c>
      <c r="B3637" s="244" t="s">
        <v>1784</v>
      </c>
      <c r="C3637" s="3" t="s">
        <v>1786</v>
      </c>
      <c r="D3637" s="19" t="s">
        <v>405</v>
      </c>
      <c r="E3637" s="194">
        <v>1</v>
      </c>
      <c r="F3637" s="23">
        <f>VLOOKUP(B3637,'BASE DE DATOS'!$A$5:$E$997,5,FALSE)</f>
        <v>607184.61538461538</v>
      </c>
      <c r="G3637" s="58">
        <v>1.05</v>
      </c>
      <c r="H3637" s="252">
        <f t="shared" ref="H3637:H3686" si="315">IF(G3637&gt;0,(G3637*F3637*E3637),(F3637*E3637))</f>
        <v>637543.84615384613</v>
      </c>
    </row>
    <row r="3638" spans="1:9" x14ac:dyDescent="0.2">
      <c r="A3638" s="936"/>
      <c r="B3638" s="244" t="s">
        <v>1691</v>
      </c>
      <c r="C3638" s="20" t="s">
        <v>249</v>
      </c>
      <c r="D3638" s="19" t="s">
        <v>590</v>
      </c>
      <c r="E3638" s="194">
        <v>3.2000000000000001E-2</v>
      </c>
      <c r="F3638" s="23">
        <f>VLOOKUP(B3638,'BASE DE DATOS'!$A$5:$E$997,5,FALSE)</f>
        <v>15110</v>
      </c>
      <c r="G3638" s="58">
        <v>1.03</v>
      </c>
      <c r="H3638" s="252">
        <f t="shared" si="315"/>
        <v>498.02560000000005</v>
      </c>
    </row>
    <row r="3639" spans="1:9" x14ac:dyDescent="0.2">
      <c r="A3639" s="81" t="s">
        <v>2555</v>
      </c>
      <c r="B3639" s="244" t="s">
        <v>607</v>
      </c>
      <c r="C3639" s="20" t="s">
        <v>608</v>
      </c>
      <c r="D3639" s="19" t="s">
        <v>585</v>
      </c>
      <c r="E3639" s="194">
        <v>1</v>
      </c>
      <c r="F3639" s="23">
        <f>VLOOKUP(B3639,'BASE DE DATOS'!$A$5:$E$997,5,FALSE)</f>
        <v>336981</v>
      </c>
      <c r="G3639" s="58">
        <f>1/8</f>
        <v>0.125</v>
      </c>
      <c r="H3639" s="252">
        <f t="shared" si="315"/>
        <v>42122.625</v>
      </c>
    </row>
    <row r="3640" spans="1:9" s="25" customFormat="1" ht="13.5" thickBot="1" x14ac:dyDescent="0.25">
      <c r="A3640" s="94" t="s">
        <v>293</v>
      </c>
      <c r="B3640" s="543" t="s">
        <v>269</v>
      </c>
      <c r="C3640" s="111" t="s">
        <v>284</v>
      </c>
      <c r="D3640" s="112" t="s">
        <v>586</v>
      </c>
      <c r="E3640" s="201">
        <v>0.1</v>
      </c>
      <c r="F3640" s="113">
        <f>H3639</f>
        <v>42122.625</v>
      </c>
      <c r="G3640" s="157">
        <v>0</v>
      </c>
      <c r="H3640" s="479">
        <f t="shared" si="315"/>
        <v>4212.2624999999998</v>
      </c>
    </row>
    <row r="3641" spans="1:9" s="42" customFormat="1" ht="30" x14ac:dyDescent="0.2">
      <c r="A3641" s="67" t="s">
        <v>3461</v>
      </c>
      <c r="B3641" s="526"/>
      <c r="C3641" s="439" t="s">
        <v>682</v>
      </c>
      <c r="D3641" s="326" t="s">
        <v>405</v>
      </c>
      <c r="E3641" s="400"/>
      <c r="F3641" s="391">
        <f>ROUND(SUM(H3641:H3645),0)</f>
        <v>796627</v>
      </c>
      <c r="G3641" s="402"/>
      <c r="H3641" s="330"/>
      <c r="I3641" s="738"/>
    </row>
    <row r="3642" spans="1:9" ht="25.5" x14ac:dyDescent="0.2">
      <c r="A3642" s="936" t="s">
        <v>382</v>
      </c>
      <c r="B3642" s="244" t="s">
        <v>1650</v>
      </c>
      <c r="C3642" s="3" t="s">
        <v>682</v>
      </c>
      <c r="D3642" s="19" t="s">
        <v>405</v>
      </c>
      <c r="E3642" s="194">
        <v>1</v>
      </c>
      <c r="F3642" s="23">
        <f>VLOOKUP(B3642,'BASE DE DATOS'!$A$5:$E$997,5,FALSE)</f>
        <v>714030.76923076925</v>
      </c>
      <c r="G3642" s="58">
        <v>1.05</v>
      </c>
      <c r="H3642" s="252">
        <f t="shared" si="315"/>
        <v>749732.30769230775</v>
      </c>
    </row>
    <row r="3643" spans="1:9" x14ac:dyDescent="0.2">
      <c r="A3643" s="936"/>
      <c r="B3643" s="244" t="s">
        <v>1691</v>
      </c>
      <c r="C3643" s="20" t="s">
        <v>249</v>
      </c>
      <c r="D3643" s="19" t="s">
        <v>590</v>
      </c>
      <c r="E3643" s="194">
        <v>3.5999999999999997E-2</v>
      </c>
      <c r="F3643" s="23">
        <f>VLOOKUP(B3643,'BASE DE DATOS'!$A$5:$E$997,5,FALSE)</f>
        <v>15110</v>
      </c>
      <c r="G3643" s="58">
        <v>1.03</v>
      </c>
      <c r="H3643" s="252">
        <f t="shared" si="315"/>
        <v>560.27880000000005</v>
      </c>
    </row>
    <row r="3644" spans="1:9" x14ac:dyDescent="0.2">
      <c r="A3644" s="81" t="s">
        <v>2555</v>
      </c>
      <c r="B3644" s="244" t="s">
        <v>607</v>
      </c>
      <c r="C3644" s="20" t="s">
        <v>608</v>
      </c>
      <c r="D3644" s="19" t="s">
        <v>585</v>
      </c>
      <c r="E3644" s="194">
        <v>1</v>
      </c>
      <c r="F3644" s="23">
        <f>VLOOKUP(B3644,'BASE DE DATOS'!$A$5:$E$997,5,FALSE)</f>
        <v>336981</v>
      </c>
      <c r="G3644" s="58">
        <f>1/8</f>
        <v>0.125</v>
      </c>
      <c r="H3644" s="252">
        <f t="shared" si="315"/>
        <v>42122.625</v>
      </c>
    </row>
    <row r="3645" spans="1:9" ht="13.5" thickBot="1" x14ac:dyDescent="0.25">
      <c r="A3645" s="94" t="s">
        <v>293</v>
      </c>
      <c r="B3645" s="543" t="s">
        <v>269</v>
      </c>
      <c r="C3645" s="111" t="s">
        <v>284</v>
      </c>
      <c r="D3645" s="112" t="s">
        <v>586</v>
      </c>
      <c r="E3645" s="201">
        <v>0.1</v>
      </c>
      <c r="F3645" s="113">
        <f>H3644</f>
        <v>42122.625</v>
      </c>
      <c r="G3645" s="157">
        <v>0</v>
      </c>
      <c r="H3645" s="479">
        <f t="shared" si="315"/>
        <v>4212.2624999999998</v>
      </c>
    </row>
    <row r="3646" spans="1:9" s="42" customFormat="1" ht="30" x14ac:dyDescent="0.2">
      <c r="A3646" s="67" t="s">
        <v>3462</v>
      </c>
      <c r="B3646" s="526"/>
      <c r="C3646" s="439" t="s">
        <v>681</v>
      </c>
      <c r="D3646" s="326" t="s">
        <v>405</v>
      </c>
      <c r="E3646" s="400"/>
      <c r="F3646" s="391">
        <f>ROUND(SUM(H3646:H3650),0)</f>
        <v>907346</v>
      </c>
      <c r="G3646" s="402"/>
      <c r="H3646" s="330"/>
      <c r="I3646" s="738"/>
    </row>
    <row r="3647" spans="1:9" ht="25.5" x14ac:dyDescent="0.2">
      <c r="A3647" s="936" t="s">
        <v>382</v>
      </c>
      <c r="B3647" s="244" t="s">
        <v>1651</v>
      </c>
      <c r="C3647" s="3" t="s">
        <v>680</v>
      </c>
      <c r="D3647" s="19" t="s">
        <v>405</v>
      </c>
      <c r="E3647" s="194">
        <v>1</v>
      </c>
      <c r="F3647" s="23">
        <f>VLOOKUP(B3647,'BASE DE DATOS'!$A$5:$E$997,5,FALSE)</f>
        <v>813114</v>
      </c>
      <c r="G3647" s="58">
        <v>1.05</v>
      </c>
      <c r="H3647" s="252">
        <f t="shared" si="315"/>
        <v>853769.70000000007</v>
      </c>
    </row>
    <row r="3648" spans="1:9" x14ac:dyDescent="0.2">
      <c r="A3648" s="936"/>
      <c r="B3648" s="244" t="s">
        <v>1691</v>
      </c>
      <c r="C3648" s="20" t="s">
        <v>249</v>
      </c>
      <c r="D3648" s="19" t="s">
        <v>590</v>
      </c>
      <c r="E3648" s="194">
        <v>0.04</v>
      </c>
      <c r="F3648" s="23">
        <f>VLOOKUP(B3648,'BASE DE DATOS'!$A$5:$E$997,5,FALSE)</f>
        <v>15110</v>
      </c>
      <c r="G3648" s="58">
        <v>1.03</v>
      </c>
      <c r="H3648" s="252">
        <f t="shared" si="315"/>
        <v>622.53200000000004</v>
      </c>
    </row>
    <row r="3649" spans="1:9" x14ac:dyDescent="0.2">
      <c r="A3649" s="81" t="s">
        <v>2555</v>
      </c>
      <c r="B3649" s="244" t="s">
        <v>607</v>
      </c>
      <c r="C3649" s="20" t="s">
        <v>608</v>
      </c>
      <c r="D3649" s="19" t="s">
        <v>585</v>
      </c>
      <c r="E3649" s="194">
        <v>1</v>
      </c>
      <c r="F3649" s="23">
        <f>VLOOKUP(B3649,'BASE DE DATOS'!$A$5:$E$997,5,FALSE)</f>
        <v>336981</v>
      </c>
      <c r="G3649" s="58">
        <f>1/7</f>
        <v>0.14285714285714285</v>
      </c>
      <c r="H3649" s="252">
        <f t="shared" si="315"/>
        <v>48140.142857142855</v>
      </c>
    </row>
    <row r="3650" spans="1:9" ht="13.5" thickBot="1" x14ac:dyDescent="0.25">
      <c r="A3650" s="94" t="s">
        <v>293</v>
      </c>
      <c r="B3650" s="543" t="s">
        <v>269</v>
      </c>
      <c r="C3650" s="111" t="s">
        <v>284</v>
      </c>
      <c r="D3650" s="112" t="s">
        <v>586</v>
      </c>
      <c r="E3650" s="201">
        <v>0.1</v>
      </c>
      <c r="F3650" s="113">
        <f>H3649</f>
        <v>48140.142857142855</v>
      </c>
      <c r="G3650" s="157">
        <v>0</v>
      </c>
      <c r="H3650" s="479">
        <f t="shared" si="315"/>
        <v>4814.0142857142855</v>
      </c>
    </row>
    <row r="3651" spans="1:9" s="42" customFormat="1" ht="30" x14ac:dyDescent="0.2">
      <c r="A3651" s="67" t="s">
        <v>3463</v>
      </c>
      <c r="B3651" s="526"/>
      <c r="C3651" s="439" t="s">
        <v>683</v>
      </c>
      <c r="D3651" s="326" t="s">
        <v>405</v>
      </c>
      <c r="E3651" s="400"/>
      <c r="F3651" s="391">
        <f>ROUND(SUM(H3651:H3655),0)</f>
        <v>1799145</v>
      </c>
      <c r="G3651" s="402"/>
      <c r="H3651" s="330"/>
      <c r="I3651" s="738"/>
    </row>
    <row r="3652" spans="1:9" ht="25.5" x14ac:dyDescent="0.2">
      <c r="A3652" s="936" t="s">
        <v>382</v>
      </c>
      <c r="B3652" s="244" t="s">
        <v>1652</v>
      </c>
      <c r="C3652" s="3" t="s">
        <v>683</v>
      </c>
      <c r="D3652" s="19" t="s">
        <v>405</v>
      </c>
      <c r="E3652" s="194">
        <v>1</v>
      </c>
      <c r="F3652" s="23">
        <f>VLOOKUP(B3652,'BASE DE DATOS'!$A$5:$E$997,5,FALSE)</f>
        <v>1653892.3076923077</v>
      </c>
      <c r="G3652" s="58">
        <v>1.05</v>
      </c>
      <c r="H3652" s="252">
        <f t="shared" si="315"/>
        <v>1736586.9230769232</v>
      </c>
    </row>
    <row r="3653" spans="1:9" x14ac:dyDescent="0.2">
      <c r="A3653" s="936"/>
      <c r="B3653" s="244" t="s">
        <v>1691</v>
      </c>
      <c r="C3653" s="20" t="s">
        <v>249</v>
      </c>
      <c r="D3653" s="19" t="s">
        <v>590</v>
      </c>
      <c r="E3653" s="194">
        <v>0.05</v>
      </c>
      <c r="F3653" s="23">
        <f>VLOOKUP(B3653,'BASE DE DATOS'!$A$5:$E$997,5,FALSE)</f>
        <v>15110</v>
      </c>
      <c r="G3653" s="58">
        <v>1.03</v>
      </c>
      <c r="H3653" s="252">
        <f t="shared" si="315"/>
        <v>778.16500000000008</v>
      </c>
    </row>
    <row r="3654" spans="1:9" x14ac:dyDescent="0.2">
      <c r="A3654" s="81" t="s">
        <v>2555</v>
      </c>
      <c r="B3654" s="244" t="s">
        <v>607</v>
      </c>
      <c r="C3654" s="20" t="s">
        <v>608</v>
      </c>
      <c r="D3654" s="19" t="s">
        <v>585</v>
      </c>
      <c r="E3654" s="194">
        <v>1</v>
      </c>
      <c r="F3654" s="23">
        <f>VLOOKUP(B3654,'BASE DE DATOS'!$A$5:$E$997,5,FALSE)</f>
        <v>336981</v>
      </c>
      <c r="G3654" s="58">
        <f>1/6</f>
        <v>0.16666666666666666</v>
      </c>
      <c r="H3654" s="252">
        <f t="shared" si="315"/>
        <v>56163.5</v>
      </c>
    </row>
    <row r="3655" spans="1:9" ht="13.5" thickBot="1" x14ac:dyDescent="0.25">
      <c r="A3655" s="94" t="s">
        <v>293</v>
      </c>
      <c r="B3655" s="543" t="s">
        <v>269</v>
      </c>
      <c r="C3655" s="111" t="s">
        <v>284</v>
      </c>
      <c r="D3655" s="112" t="s">
        <v>586</v>
      </c>
      <c r="E3655" s="201">
        <v>0.1</v>
      </c>
      <c r="F3655" s="113">
        <f>H3654</f>
        <v>56163.5</v>
      </c>
      <c r="G3655" s="157">
        <v>0</v>
      </c>
      <c r="H3655" s="479">
        <f t="shared" si="315"/>
        <v>5616.35</v>
      </c>
    </row>
    <row r="3656" spans="1:9" s="42" customFormat="1" ht="30" x14ac:dyDescent="0.2">
      <c r="A3656" s="67" t="s">
        <v>3464</v>
      </c>
      <c r="B3656" s="526"/>
      <c r="C3656" s="439" t="s">
        <v>685</v>
      </c>
      <c r="D3656" s="326" t="s">
        <v>405</v>
      </c>
      <c r="E3656" s="400"/>
      <c r="F3656" s="401">
        <f>SUM(H3656:H3660)</f>
        <v>2790444.0326153846</v>
      </c>
      <c r="G3656" s="402"/>
      <c r="H3656" s="330"/>
      <c r="I3656" s="738"/>
    </row>
    <row r="3657" spans="1:9" ht="25.5" x14ac:dyDescent="0.2">
      <c r="A3657" s="936" t="s">
        <v>382</v>
      </c>
      <c r="B3657" s="244" t="s">
        <v>1653</v>
      </c>
      <c r="C3657" s="3" t="s">
        <v>685</v>
      </c>
      <c r="D3657" s="19" t="s">
        <v>405</v>
      </c>
      <c r="E3657" s="194">
        <v>1</v>
      </c>
      <c r="F3657" s="23">
        <f>VLOOKUP(B3657,'BASE DE DATOS'!$A$5:$E$997,5,FALSE)</f>
        <v>2597838.4615384615</v>
      </c>
      <c r="G3657" s="58">
        <v>1.05</v>
      </c>
      <c r="H3657" s="252">
        <f t="shared" si="315"/>
        <v>2727730.3846153845</v>
      </c>
    </row>
    <row r="3658" spans="1:9" x14ac:dyDescent="0.2">
      <c r="A3658" s="936"/>
      <c r="B3658" s="244" t="s">
        <v>1691</v>
      </c>
      <c r="C3658" s="20" t="s">
        <v>249</v>
      </c>
      <c r="D3658" s="19" t="s">
        <v>590</v>
      </c>
      <c r="E3658" s="194">
        <v>0.06</v>
      </c>
      <c r="F3658" s="23">
        <f>VLOOKUP(B3658,'BASE DE DATOS'!$A$5:$E$997,5,FALSE)</f>
        <v>15110</v>
      </c>
      <c r="G3658" s="58">
        <v>1.03</v>
      </c>
      <c r="H3658" s="252">
        <f t="shared" si="315"/>
        <v>933.798</v>
      </c>
    </row>
    <row r="3659" spans="1:9" x14ac:dyDescent="0.2">
      <c r="A3659" s="81" t="s">
        <v>2555</v>
      </c>
      <c r="B3659" s="244" t="s">
        <v>607</v>
      </c>
      <c r="C3659" s="20" t="s">
        <v>608</v>
      </c>
      <c r="D3659" s="19" t="s">
        <v>585</v>
      </c>
      <c r="E3659" s="194">
        <v>1</v>
      </c>
      <c r="F3659" s="23">
        <f>VLOOKUP(B3659,'BASE DE DATOS'!$A$5:$E$997,5,FALSE)</f>
        <v>336981</v>
      </c>
      <c r="G3659" s="58">
        <f>1/6</f>
        <v>0.16666666666666666</v>
      </c>
      <c r="H3659" s="252">
        <f t="shared" si="315"/>
        <v>56163.5</v>
      </c>
    </row>
    <row r="3660" spans="1:9" ht="13.5" thickBot="1" x14ac:dyDescent="0.25">
      <c r="A3660" s="94" t="s">
        <v>293</v>
      </c>
      <c r="B3660" s="543" t="s">
        <v>269</v>
      </c>
      <c r="C3660" s="111" t="s">
        <v>284</v>
      </c>
      <c r="D3660" s="112" t="s">
        <v>586</v>
      </c>
      <c r="E3660" s="201">
        <v>0.1</v>
      </c>
      <c r="F3660" s="113">
        <f>H3659</f>
        <v>56163.5</v>
      </c>
      <c r="G3660" s="157">
        <v>0</v>
      </c>
      <c r="H3660" s="479">
        <f t="shared" si="315"/>
        <v>5616.35</v>
      </c>
    </row>
    <row r="3661" spans="1:9" s="42" customFormat="1" ht="15" x14ac:dyDescent="0.2">
      <c r="A3661" s="67" t="s">
        <v>3465</v>
      </c>
      <c r="B3661" s="529"/>
      <c r="C3661" s="388" t="s">
        <v>2112</v>
      </c>
      <c r="D3661" s="389" t="s">
        <v>411</v>
      </c>
      <c r="E3661" s="390"/>
      <c r="F3661" s="391">
        <f>ROUND(SUM(H3661:H3667),0)</f>
        <v>409539</v>
      </c>
      <c r="G3661" s="392"/>
      <c r="H3661" s="393"/>
      <c r="I3661" s="738"/>
    </row>
    <row r="3662" spans="1:9" x14ac:dyDescent="0.2">
      <c r="A3662" s="936" t="s">
        <v>382</v>
      </c>
      <c r="B3662" s="241" t="s">
        <v>1275</v>
      </c>
      <c r="C3662" s="3" t="s">
        <v>45</v>
      </c>
      <c r="D3662" s="2" t="s">
        <v>411</v>
      </c>
      <c r="E3662" s="114">
        <v>0.2</v>
      </c>
      <c r="F3662" s="23">
        <f>VLOOKUP(B3662,'BASE DE DATOS'!$A$5:$E$997,5,FALSE)</f>
        <v>90900</v>
      </c>
      <c r="G3662" s="104">
        <v>1.03</v>
      </c>
      <c r="H3662" s="252">
        <f>IF(G3662&gt;0,(G3662*F3662*E3662),(F3662*E3662))</f>
        <v>18725.400000000001</v>
      </c>
    </row>
    <row r="3663" spans="1:9" x14ac:dyDescent="0.2">
      <c r="A3663" s="936"/>
      <c r="B3663" s="241" t="s">
        <v>1462</v>
      </c>
      <c r="C3663" s="3" t="s">
        <v>1</v>
      </c>
      <c r="D3663" s="2" t="s">
        <v>411</v>
      </c>
      <c r="E3663" s="114">
        <v>0.1</v>
      </c>
      <c r="F3663" s="23">
        <f>VLOOKUP(B3663,'BASE DE DATOS'!$A$5:$E$997,5,FALSE)</f>
        <v>46900</v>
      </c>
      <c r="G3663" s="104">
        <v>1.03</v>
      </c>
      <c r="H3663" s="252">
        <f t="shared" si="315"/>
        <v>4830.7</v>
      </c>
    </row>
    <row r="3664" spans="1:9" x14ac:dyDescent="0.2">
      <c r="A3664" s="936"/>
      <c r="B3664" s="241" t="s">
        <v>1741</v>
      </c>
      <c r="C3664" s="44" t="s">
        <v>3894</v>
      </c>
      <c r="D3664" s="2" t="s">
        <v>411</v>
      </c>
      <c r="E3664" s="114">
        <v>1</v>
      </c>
      <c r="F3664" s="23">
        <f>VLOOKUP(B3664,'BASE DE DATOS'!$A$5:$E$997,5,FALSE)</f>
        <v>331900</v>
      </c>
      <c r="G3664" s="104">
        <v>1.05</v>
      </c>
      <c r="H3664" s="252">
        <f>IF(G3664&gt;0,(G3664*F3664*E3664),(F3664*E3664))</f>
        <v>348495</v>
      </c>
    </row>
    <row r="3665" spans="1:9" x14ac:dyDescent="0.2">
      <c r="A3665" s="936"/>
      <c r="B3665" s="241" t="s">
        <v>1691</v>
      </c>
      <c r="C3665" s="3" t="s">
        <v>249</v>
      </c>
      <c r="D3665" s="2" t="s">
        <v>590</v>
      </c>
      <c r="E3665" s="114">
        <v>2.7E-2</v>
      </c>
      <c r="F3665" s="23">
        <f>VLOOKUP(B3665,'BASE DE DATOS'!$A$5:$E$997,5,FALSE)</f>
        <v>15110</v>
      </c>
      <c r="G3665" s="104">
        <v>1.03</v>
      </c>
      <c r="H3665" s="252">
        <f t="shared" si="315"/>
        <v>420.20910000000003</v>
      </c>
    </row>
    <row r="3666" spans="1:9" x14ac:dyDescent="0.2">
      <c r="A3666" s="81" t="s">
        <v>2555</v>
      </c>
      <c r="B3666" s="241" t="s">
        <v>607</v>
      </c>
      <c r="C3666" s="3" t="s">
        <v>608</v>
      </c>
      <c r="D3666" s="2" t="s">
        <v>585</v>
      </c>
      <c r="E3666" s="114">
        <v>1</v>
      </c>
      <c r="F3666" s="23">
        <f>VLOOKUP(B3666,'BASE DE DATOS'!$A$5:$E$997,5,FALSE)</f>
        <v>336981</v>
      </c>
      <c r="G3666" s="104">
        <f>1/10</f>
        <v>0.1</v>
      </c>
      <c r="H3666" s="252">
        <f t="shared" si="315"/>
        <v>33698.1</v>
      </c>
    </row>
    <row r="3667" spans="1:9" ht="13.5" thickBot="1" x14ac:dyDescent="0.25">
      <c r="A3667" s="94" t="s">
        <v>293</v>
      </c>
      <c r="B3667" s="528" t="s">
        <v>269</v>
      </c>
      <c r="C3667" s="108" t="s">
        <v>284</v>
      </c>
      <c r="D3667" s="109" t="s">
        <v>586</v>
      </c>
      <c r="E3667" s="200">
        <v>0.1</v>
      </c>
      <c r="F3667" s="110">
        <f>H3666</f>
        <v>33698.1</v>
      </c>
      <c r="G3667" s="156">
        <v>0</v>
      </c>
      <c r="H3667" s="479">
        <f t="shared" si="315"/>
        <v>3369.81</v>
      </c>
    </row>
    <row r="3668" spans="1:9" s="42" customFormat="1" ht="15" x14ac:dyDescent="0.2">
      <c r="A3668" s="67" t="s">
        <v>3466</v>
      </c>
      <c r="B3668" s="529"/>
      <c r="C3668" s="435" t="s">
        <v>1948</v>
      </c>
      <c r="D3668" s="389" t="s">
        <v>411</v>
      </c>
      <c r="E3668" s="395"/>
      <c r="F3668" s="391">
        <f>ROUND(SUM(H3668:H3674),0)</f>
        <v>437604</v>
      </c>
      <c r="G3668" s="392"/>
      <c r="H3668" s="393"/>
      <c r="I3668" s="738"/>
    </row>
    <row r="3669" spans="1:9" x14ac:dyDescent="0.2">
      <c r="A3669" s="936" t="s">
        <v>382</v>
      </c>
      <c r="B3669" s="241" t="s">
        <v>1275</v>
      </c>
      <c r="C3669" s="3" t="s">
        <v>45</v>
      </c>
      <c r="D3669" s="2" t="s">
        <v>411</v>
      </c>
      <c r="E3669" s="114">
        <v>0.23</v>
      </c>
      <c r="F3669" s="23">
        <f>VLOOKUP(B3669,'BASE DE DATOS'!$A$5:$E$997,5,FALSE)</f>
        <v>90900</v>
      </c>
      <c r="G3669" s="104">
        <v>1.03</v>
      </c>
      <c r="H3669" s="252">
        <f>IF(G3669&gt;0,(G3669*F3669*E3669),(F3669*E3669))</f>
        <v>21534.21</v>
      </c>
    </row>
    <row r="3670" spans="1:9" x14ac:dyDescent="0.2">
      <c r="A3670" s="936"/>
      <c r="B3670" s="241" t="s">
        <v>1462</v>
      </c>
      <c r="C3670" s="3" t="s">
        <v>1</v>
      </c>
      <c r="D3670" s="2" t="s">
        <v>411</v>
      </c>
      <c r="E3670" s="114">
        <v>0.12</v>
      </c>
      <c r="F3670" s="23">
        <f>VLOOKUP(B3670,'BASE DE DATOS'!$A$5:$E$997,5,FALSE)</f>
        <v>46900</v>
      </c>
      <c r="G3670" s="104">
        <v>1.03</v>
      </c>
      <c r="H3670" s="252">
        <f t="shared" si="315"/>
        <v>5796.84</v>
      </c>
    </row>
    <row r="3671" spans="1:9" x14ac:dyDescent="0.2">
      <c r="A3671" s="936"/>
      <c r="B3671" s="241" t="s">
        <v>1742</v>
      </c>
      <c r="C3671" s="44" t="s">
        <v>1948</v>
      </c>
      <c r="D3671" s="2" t="s">
        <v>411</v>
      </c>
      <c r="E3671" s="114">
        <v>1</v>
      </c>
      <c r="F3671" s="23">
        <f>VLOOKUP(B3671,'BASE DE DATOS'!$A$5:$E$997,5,FALSE)</f>
        <v>354900</v>
      </c>
      <c r="G3671" s="104">
        <v>1.05</v>
      </c>
      <c r="H3671" s="252">
        <f>IF(G3671&gt;0,(G3671*F3671*E3671),(F3671*E3671))</f>
        <v>372645</v>
      </c>
    </row>
    <row r="3672" spans="1:9" x14ac:dyDescent="0.2">
      <c r="A3672" s="936"/>
      <c r="B3672" s="241" t="s">
        <v>1691</v>
      </c>
      <c r="C3672" s="3" t="s">
        <v>249</v>
      </c>
      <c r="D3672" s="2" t="s">
        <v>590</v>
      </c>
      <c r="E3672" s="114">
        <v>3.5999999999999997E-2</v>
      </c>
      <c r="F3672" s="23">
        <f>VLOOKUP(B3672,'BASE DE DATOS'!$A$5:$E$997,5,FALSE)</f>
        <v>15110</v>
      </c>
      <c r="G3672" s="104">
        <v>1.03</v>
      </c>
      <c r="H3672" s="252">
        <f t="shared" si="315"/>
        <v>560.27880000000005</v>
      </c>
    </row>
    <row r="3673" spans="1:9" x14ac:dyDescent="0.2">
      <c r="A3673" s="81" t="s">
        <v>2555</v>
      </c>
      <c r="B3673" s="241" t="s">
        <v>607</v>
      </c>
      <c r="C3673" s="3" t="s">
        <v>608</v>
      </c>
      <c r="D3673" s="2" t="s">
        <v>585</v>
      </c>
      <c r="E3673" s="114">
        <v>1</v>
      </c>
      <c r="F3673" s="23">
        <f>VLOOKUP(B3673,'BASE DE DATOS'!$A$5:$E$997,5,FALSE)</f>
        <v>336981</v>
      </c>
      <c r="G3673" s="104">
        <f>1/10</f>
        <v>0.1</v>
      </c>
      <c r="H3673" s="252">
        <f t="shared" si="315"/>
        <v>33698.1</v>
      </c>
    </row>
    <row r="3674" spans="1:9" ht="13.5" thickBot="1" x14ac:dyDescent="0.25">
      <c r="A3674" s="94" t="s">
        <v>293</v>
      </c>
      <c r="B3674" s="528" t="s">
        <v>269</v>
      </c>
      <c r="C3674" s="108" t="s">
        <v>284</v>
      </c>
      <c r="D3674" s="109" t="s">
        <v>586</v>
      </c>
      <c r="E3674" s="200">
        <v>0.1</v>
      </c>
      <c r="F3674" s="110">
        <f>H3673</f>
        <v>33698.1</v>
      </c>
      <c r="G3674" s="156">
        <v>0</v>
      </c>
      <c r="H3674" s="479">
        <f t="shared" si="315"/>
        <v>3369.81</v>
      </c>
    </row>
    <row r="3675" spans="1:9" s="42" customFormat="1" ht="15" x14ac:dyDescent="0.2">
      <c r="A3675" s="67" t="s">
        <v>3467</v>
      </c>
      <c r="B3675" s="529"/>
      <c r="C3675" s="435" t="s">
        <v>1971</v>
      </c>
      <c r="D3675" s="389" t="s">
        <v>411</v>
      </c>
      <c r="E3675" s="390"/>
      <c r="F3675" s="391">
        <f>ROUND(SUM(H3675:H3681),0)</f>
        <v>340438</v>
      </c>
      <c r="G3675" s="392"/>
      <c r="H3675" s="393"/>
      <c r="I3675" s="738"/>
    </row>
    <row r="3676" spans="1:9" x14ac:dyDescent="0.2">
      <c r="A3676" s="936" t="s">
        <v>382</v>
      </c>
      <c r="B3676" s="241" t="s">
        <v>1275</v>
      </c>
      <c r="C3676" s="3" t="s">
        <v>45</v>
      </c>
      <c r="D3676" s="2" t="s">
        <v>411</v>
      </c>
      <c r="E3676" s="114">
        <v>0.3</v>
      </c>
      <c r="F3676" s="23">
        <f>VLOOKUP(B3676,'BASE DE DATOS'!$A$5:$E$997,5,FALSE)</f>
        <v>90900</v>
      </c>
      <c r="G3676" s="104">
        <v>1.03</v>
      </c>
      <c r="H3676" s="252">
        <f>IF(G3676&gt;0,(G3676*F3676*E3676),(F3676*E3676))</f>
        <v>28088.1</v>
      </c>
    </row>
    <row r="3677" spans="1:9" x14ac:dyDescent="0.2">
      <c r="A3677" s="936"/>
      <c r="B3677" s="241" t="s">
        <v>1462</v>
      </c>
      <c r="C3677" s="3" t="s">
        <v>1</v>
      </c>
      <c r="D3677" s="2" t="s">
        <v>411</v>
      </c>
      <c r="E3677" s="114">
        <v>0.2</v>
      </c>
      <c r="F3677" s="23">
        <f>VLOOKUP(B3677,'BASE DE DATOS'!$A$5:$E$997,5,FALSE)</f>
        <v>46900</v>
      </c>
      <c r="G3677" s="104">
        <v>1.03</v>
      </c>
      <c r="H3677" s="252">
        <f t="shared" si="315"/>
        <v>9661.4</v>
      </c>
    </row>
    <row r="3678" spans="1:9" x14ac:dyDescent="0.2">
      <c r="A3678" s="936"/>
      <c r="B3678" s="241" t="s">
        <v>1743</v>
      </c>
      <c r="C3678" s="44" t="s">
        <v>1971</v>
      </c>
      <c r="D3678" s="2" t="s">
        <v>411</v>
      </c>
      <c r="E3678" s="114">
        <v>1</v>
      </c>
      <c r="F3678" s="23">
        <f>VLOOKUP(B3678,'BASE DE DATOS'!$A$5:$E$997,5,FALSE)</f>
        <v>252335</v>
      </c>
      <c r="G3678" s="104">
        <v>1.05</v>
      </c>
      <c r="H3678" s="252">
        <f>IF(G3678&gt;0,(G3678*F3678*E3678),(F3678*E3678))</f>
        <v>264951.75</v>
      </c>
    </row>
    <row r="3679" spans="1:9" x14ac:dyDescent="0.2">
      <c r="A3679" s="936"/>
      <c r="B3679" s="241" t="s">
        <v>1691</v>
      </c>
      <c r="C3679" s="3" t="s">
        <v>249</v>
      </c>
      <c r="D3679" s="2" t="s">
        <v>590</v>
      </c>
      <c r="E3679" s="114">
        <v>4.2999999999999997E-2</v>
      </c>
      <c r="F3679" s="23">
        <f>VLOOKUP(B3679,'BASE DE DATOS'!$A$5:$E$997,5,FALSE)</f>
        <v>15110</v>
      </c>
      <c r="G3679" s="104">
        <v>1.03</v>
      </c>
      <c r="H3679" s="252">
        <f t="shared" si="315"/>
        <v>669.22190000000001</v>
      </c>
    </row>
    <row r="3680" spans="1:9" x14ac:dyDescent="0.2">
      <c r="A3680" s="81" t="s">
        <v>2555</v>
      </c>
      <c r="B3680" s="241" t="s">
        <v>607</v>
      </c>
      <c r="C3680" s="3" t="s">
        <v>608</v>
      </c>
      <c r="D3680" s="2" t="s">
        <v>585</v>
      </c>
      <c r="E3680" s="114">
        <v>1</v>
      </c>
      <c r="F3680" s="23">
        <f>VLOOKUP(B3680,'BASE DE DATOS'!$A$5:$E$997,5,FALSE)</f>
        <v>336981</v>
      </c>
      <c r="G3680" s="104">
        <f>1/10</f>
        <v>0.1</v>
      </c>
      <c r="H3680" s="252">
        <f t="shared" si="315"/>
        <v>33698.1</v>
      </c>
    </row>
    <row r="3681" spans="1:9" ht="13.5" thickBot="1" x14ac:dyDescent="0.25">
      <c r="A3681" s="94" t="s">
        <v>293</v>
      </c>
      <c r="B3681" s="528" t="s">
        <v>269</v>
      </c>
      <c r="C3681" s="108" t="s">
        <v>284</v>
      </c>
      <c r="D3681" s="109" t="s">
        <v>586</v>
      </c>
      <c r="E3681" s="200">
        <v>0.1</v>
      </c>
      <c r="F3681" s="110">
        <f>H3680</f>
        <v>33698.1</v>
      </c>
      <c r="G3681" s="156">
        <v>0</v>
      </c>
      <c r="H3681" s="479">
        <f t="shared" si="315"/>
        <v>3369.81</v>
      </c>
    </row>
    <row r="3682" spans="1:9" s="42" customFormat="1" ht="15" x14ac:dyDescent="0.2">
      <c r="A3682" s="67" t="s">
        <v>3468</v>
      </c>
      <c r="B3682" s="565"/>
      <c r="C3682" s="435" t="s">
        <v>10</v>
      </c>
      <c r="D3682" s="396" t="s">
        <v>411</v>
      </c>
      <c r="E3682" s="438"/>
      <c r="F3682" s="391">
        <f>ROUND(SUM(H3682:H3686),0)</f>
        <v>10373</v>
      </c>
      <c r="G3682" s="437"/>
      <c r="H3682" s="303"/>
      <c r="I3682" s="738">
        <f>124-70</f>
        <v>54</v>
      </c>
    </row>
    <row r="3683" spans="1:9" x14ac:dyDescent="0.2">
      <c r="A3683" s="936" t="s">
        <v>382</v>
      </c>
      <c r="B3683" s="241" t="s">
        <v>1266</v>
      </c>
      <c r="C3683" s="44" t="s">
        <v>3796</v>
      </c>
      <c r="D3683" s="2" t="s">
        <v>411</v>
      </c>
      <c r="E3683" s="114">
        <v>1</v>
      </c>
      <c r="F3683" s="23">
        <f>VLOOKUP(B3683,'BASE DE DATOS'!$A$5:$E$997,5,FALSE)</f>
        <v>4078</v>
      </c>
      <c r="G3683" s="104">
        <v>0</v>
      </c>
      <c r="H3683" s="252">
        <f t="shared" si="315"/>
        <v>4078</v>
      </c>
    </row>
    <row r="3684" spans="1:9" x14ac:dyDescent="0.2">
      <c r="A3684" s="936"/>
      <c r="B3684" s="241" t="s">
        <v>1462</v>
      </c>
      <c r="C3684" s="3" t="s">
        <v>1</v>
      </c>
      <c r="D3684" s="2" t="s">
        <v>411</v>
      </c>
      <c r="E3684" s="114">
        <v>1.4999999999999999E-2</v>
      </c>
      <c r="F3684" s="23">
        <f>VLOOKUP(B3684,'BASE DE DATOS'!$A$5:$E$997,5,FALSE)</f>
        <v>46900</v>
      </c>
      <c r="G3684" s="104">
        <v>1.03</v>
      </c>
      <c r="H3684" s="252">
        <f t="shared" si="315"/>
        <v>724.60500000000002</v>
      </c>
    </row>
    <row r="3685" spans="1:9" x14ac:dyDescent="0.2">
      <c r="A3685" s="936"/>
      <c r="B3685" s="241" t="s">
        <v>1701</v>
      </c>
      <c r="C3685" s="3" t="s">
        <v>2071</v>
      </c>
      <c r="D3685" s="2" t="s">
        <v>642</v>
      </c>
      <c r="E3685" s="114">
        <v>3.0000000000000001E-3</v>
      </c>
      <c r="F3685" s="23">
        <f>VLOOKUP(B3685,'BASE DE DATOS'!$A$5:$E$997,5,FALSE)</f>
        <v>80900</v>
      </c>
      <c r="G3685" s="104">
        <v>1.03</v>
      </c>
      <c r="H3685" s="252">
        <f t="shared" si="315"/>
        <v>249.98099999999999</v>
      </c>
    </row>
    <row r="3686" spans="1:9" ht="13.5" thickBot="1" x14ac:dyDescent="0.25">
      <c r="A3686" s="122" t="s">
        <v>2555</v>
      </c>
      <c r="B3686" s="528" t="s">
        <v>599</v>
      </c>
      <c r="C3686" s="143" t="s">
        <v>600</v>
      </c>
      <c r="D3686" s="109" t="s">
        <v>585</v>
      </c>
      <c r="E3686" s="200">
        <v>1</v>
      </c>
      <c r="F3686" s="110">
        <f>VLOOKUP(B3686,'BASE DE DATOS'!$A$5:$E$997,5,FALSE)</f>
        <v>159623</v>
      </c>
      <c r="G3686" s="156">
        <f>1/30</f>
        <v>3.3333333333333333E-2</v>
      </c>
      <c r="H3686" s="252">
        <f t="shared" si="315"/>
        <v>5320.7666666666664</v>
      </c>
    </row>
    <row r="3687" spans="1:9" ht="16.5" thickBot="1" x14ac:dyDescent="0.25">
      <c r="A3687" s="1034" t="s">
        <v>3472</v>
      </c>
      <c r="B3687" s="1035"/>
      <c r="C3687" s="1035"/>
      <c r="D3687" s="1035"/>
      <c r="E3687" s="1035"/>
      <c r="F3687" s="1035"/>
      <c r="G3687" s="1035"/>
      <c r="H3687" s="1036"/>
    </row>
    <row r="3688" spans="1:9" s="42" customFormat="1" ht="30" x14ac:dyDescent="0.2">
      <c r="A3688" s="67" t="s">
        <v>3469</v>
      </c>
      <c r="B3688" s="560"/>
      <c r="C3688" s="415" t="s">
        <v>473</v>
      </c>
      <c r="D3688" s="441" t="s">
        <v>411</v>
      </c>
      <c r="E3688" s="395"/>
      <c r="F3688" s="391">
        <f>ROUND(SUM(H3688:H3694),0)</f>
        <v>4074202</v>
      </c>
      <c r="G3688" s="437"/>
      <c r="H3688" s="442"/>
      <c r="I3688" s="738"/>
    </row>
    <row r="3689" spans="1:9" x14ac:dyDescent="0.2">
      <c r="A3689" s="936" t="s">
        <v>382</v>
      </c>
      <c r="B3689" s="241" t="s">
        <v>1347</v>
      </c>
      <c r="C3689" s="3" t="s">
        <v>2856</v>
      </c>
      <c r="D3689" s="2" t="s">
        <v>405</v>
      </c>
      <c r="E3689" s="196">
        <v>1</v>
      </c>
      <c r="F3689" s="23">
        <f>VLOOKUP(B3689,'BASE DE DATOS'!$A$5:$E$997,5,FALSE)</f>
        <v>290</v>
      </c>
      <c r="G3689" s="104">
        <f>1</f>
        <v>1</v>
      </c>
      <c r="H3689" s="252">
        <f>IF(G3689&gt;0,(G3689*F3689*E3689),(F3689*E3689))</f>
        <v>290</v>
      </c>
    </row>
    <row r="3690" spans="1:9" x14ac:dyDescent="0.2">
      <c r="A3690" s="936"/>
      <c r="B3690" s="241" t="s">
        <v>1423</v>
      </c>
      <c r="C3690" s="3" t="s">
        <v>234</v>
      </c>
      <c r="D3690" s="2" t="s">
        <v>411</v>
      </c>
      <c r="E3690" s="196">
        <v>1</v>
      </c>
      <c r="F3690" s="23">
        <f>VLOOKUP(B3690,'BASE DE DATOS'!$A$5:$E$997,5,FALSE)</f>
        <v>3119000</v>
      </c>
      <c r="G3690" s="104">
        <v>0</v>
      </c>
      <c r="H3690" s="252">
        <f t="shared" ref="H3690:H3707" si="316">IF(G3690&gt;0,(G3690*F3690*E3690),(F3690*E3690))</f>
        <v>3119000</v>
      </c>
    </row>
    <row r="3691" spans="1:9" x14ac:dyDescent="0.2">
      <c r="A3691" s="936"/>
      <c r="B3691" s="241" t="s">
        <v>1632</v>
      </c>
      <c r="C3691" s="3" t="s">
        <v>2080</v>
      </c>
      <c r="D3691" s="2" t="s">
        <v>405</v>
      </c>
      <c r="E3691" s="196">
        <v>1</v>
      </c>
      <c r="F3691" s="23">
        <f>VLOOKUP(B3691,'BASE DE DATOS'!$A$5:$E$997,5,FALSE)</f>
        <v>34984</v>
      </c>
      <c r="G3691" s="104">
        <v>1.05</v>
      </c>
      <c r="H3691" s="252">
        <f>IF(G3691&gt;0,(G3691*F3691*E3691),(F3691*E3691))</f>
        <v>36733.200000000004</v>
      </c>
    </row>
    <row r="3692" spans="1:9" x14ac:dyDescent="0.2">
      <c r="A3692" s="936"/>
      <c r="B3692" s="241" t="s">
        <v>1686</v>
      </c>
      <c r="C3692" s="3" t="s">
        <v>235</v>
      </c>
      <c r="D3692" s="2" t="s">
        <v>411</v>
      </c>
      <c r="E3692" s="196">
        <v>1</v>
      </c>
      <c r="F3692" s="23">
        <f>VLOOKUP(B3692,'BASE DE DATOS'!$A$5:$E$997,5,FALSE)</f>
        <v>547500</v>
      </c>
      <c r="G3692" s="104">
        <v>0</v>
      </c>
      <c r="H3692" s="252">
        <f t="shared" si="316"/>
        <v>547500</v>
      </c>
    </row>
    <row r="3693" spans="1:9" x14ac:dyDescent="0.2">
      <c r="A3693" s="81" t="s">
        <v>2555</v>
      </c>
      <c r="B3693" s="241" t="s">
        <v>607</v>
      </c>
      <c r="C3693" s="3" t="s">
        <v>608</v>
      </c>
      <c r="D3693" s="2" t="s">
        <v>585</v>
      </c>
      <c r="E3693" s="196">
        <v>1</v>
      </c>
      <c r="F3693" s="23">
        <f>VLOOKUP(B3693,'BASE DE DATOS'!$A$5:$E$997,5,FALSE)</f>
        <v>336981</v>
      </c>
      <c r="G3693" s="104">
        <f>1</f>
        <v>1</v>
      </c>
      <c r="H3693" s="252">
        <f t="shared" si="316"/>
        <v>336981</v>
      </c>
    </row>
    <row r="3694" spans="1:9" ht="13.5" thickBot="1" x14ac:dyDescent="0.25">
      <c r="A3694" s="94" t="s">
        <v>293</v>
      </c>
      <c r="B3694" s="528" t="s">
        <v>269</v>
      </c>
      <c r="C3694" s="108" t="s">
        <v>284</v>
      </c>
      <c r="D3694" s="109" t="s">
        <v>586</v>
      </c>
      <c r="E3694" s="203">
        <v>0.1</v>
      </c>
      <c r="F3694" s="110">
        <f>H3693</f>
        <v>336981</v>
      </c>
      <c r="G3694" s="156">
        <v>0</v>
      </c>
      <c r="H3694" s="479">
        <f t="shared" si="316"/>
        <v>33698.1</v>
      </c>
    </row>
    <row r="3695" spans="1:9" s="42" customFormat="1" ht="30" x14ac:dyDescent="0.2">
      <c r="A3695" s="67" t="s">
        <v>3470</v>
      </c>
      <c r="B3695" s="560"/>
      <c r="C3695" s="415" t="s">
        <v>393</v>
      </c>
      <c r="D3695" s="441" t="s">
        <v>411</v>
      </c>
      <c r="E3695" s="395"/>
      <c r="F3695" s="391">
        <f>ROUND(SUM(H3695:H3701),0)</f>
        <v>3714250</v>
      </c>
      <c r="G3695" s="437"/>
      <c r="H3695" s="442"/>
      <c r="I3695" s="738"/>
    </row>
    <row r="3696" spans="1:9" x14ac:dyDescent="0.2">
      <c r="A3696" s="936" t="s">
        <v>382</v>
      </c>
      <c r="B3696" s="241" t="s">
        <v>1347</v>
      </c>
      <c r="C3696" s="3" t="s">
        <v>2856</v>
      </c>
      <c r="D3696" s="2" t="s">
        <v>405</v>
      </c>
      <c r="E3696" s="196">
        <v>1</v>
      </c>
      <c r="F3696" s="23">
        <f>VLOOKUP(B3696,'BASE DE DATOS'!$A$5:$E$997,5,FALSE)</f>
        <v>290</v>
      </c>
      <c r="G3696" s="104">
        <f>1</f>
        <v>1</v>
      </c>
      <c r="H3696" s="252">
        <f>IF(G3696&gt;0,(G3696*F3696*E3696),(F3696*E3696))</f>
        <v>290</v>
      </c>
    </row>
    <row r="3697" spans="1:9" x14ac:dyDescent="0.2">
      <c r="A3697" s="936"/>
      <c r="B3697" s="241" t="s">
        <v>1424</v>
      </c>
      <c r="C3697" s="3" t="s">
        <v>236</v>
      </c>
      <c r="D3697" s="2" t="s">
        <v>411</v>
      </c>
      <c r="E3697" s="196">
        <v>1</v>
      </c>
      <c r="F3697" s="23">
        <f>VLOOKUP(B3697,'BASE DE DATOS'!$A$5:$E$997,5,FALSE)</f>
        <v>2899140</v>
      </c>
      <c r="G3697" s="104">
        <v>0</v>
      </c>
      <c r="H3697" s="252">
        <f t="shared" si="316"/>
        <v>2899140</v>
      </c>
    </row>
    <row r="3698" spans="1:9" x14ac:dyDescent="0.2">
      <c r="A3698" s="936"/>
      <c r="B3698" s="241" t="s">
        <v>1632</v>
      </c>
      <c r="C3698" s="3" t="s">
        <v>2080</v>
      </c>
      <c r="D3698" s="2" t="s">
        <v>405</v>
      </c>
      <c r="E3698" s="196">
        <v>1</v>
      </c>
      <c r="F3698" s="23">
        <f>VLOOKUP(B3698,'BASE DE DATOS'!$A$5:$E$997,5,FALSE)</f>
        <v>34984</v>
      </c>
      <c r="G3698" s="104">
        <v>1.05</v>
      </c>
      <c r="H3698" s="252">
        <f>IF(G3698&gt;0,(G3698*F3698*E3698),(F3698*E3698))</f>
        <v>36733.200000000004</v>
      </c>
    </row>
    <row r="3699" spans="1:9" x14ac:dyDescent="0.2">
      <c r="A3699" s="936"/>
      <c r="B3699" s="241" t="s">
        <v>1687</v>
      </c>
      <c r="C3699" s="3" t="s">
        <v>237</v>
      </c>
      <c r="D3699" s="2" t="s">
        <v>411</v>
      </c>
      <c r="E3699" s="196">
        <v>1</v>
      </c>
      <c r="F3699" s="23">
        <f>VLOOKUP(B3699,'BASE DE DATOS'!$A$5:$E$997,5,FALSE)</f>
        <v>407408</v>
      </c>
      <c r="G3699" s="104">
        <v>0</v>
      </c>
      <c r="H3699" s="252">
        <f t="shared" si="316"/>
        <v>407408</v>
      </c>
    </row>
    <row r="3700" spans="1:9" x14ac:dyDescent="0.2">
      <c r="A3700" s="81" t="s">
        <v>2555</v>
      </c>
      <c r="B3700" s="241" t="s">
        <v>607</v>
      </c>
      <c r="C3700" s="3" t="s">
        <v>608</v>
      </c>
      <c r="D3700" s="2" t="s">
        <v>585</v>
      </c>
      <c r="E3700" s="196">
        <v>1</v>
      </c>
      <c r="F3700" s="23">
        <f>VLOOKUP(B3700,'BASE DE DATOS'!$A$5:$E$997,5,FALSE)</f>
        <v>336981</v>
      </c>
      <c r="G3700" s="104">
        <f>1</f>
        <v>1</v>
      </c>
      <c r="H3700" s="252">
        <f t="shared" si="316"/>
        <v>336981</v>
      </c>
    </row>
    <row r="3701" spans="1:9" ht="13.5" thickBot="1" x14ac:dyDescent="0.25">
      <c r="A3701" s="94" t="s">
        <v>293</v>
      </c>
      <c r="B3701" s="528" t="s">
        <v>269</v>
      </c>
      <c r="C3701" s="108" t="s">
        <v>284</v>
      </c>
      <c r="D3701" s="109" t="s">
        <v>586</v>
      </c>
      <c r="E3701" s="203">
        <v>0.1</v>
      </c>
      <c r="F3701" s="110">
        <f>H3700</f>
        <v>336981</v>
      </c>
      <c r="G3701" s="156">
        <v>0</v>
      </c>
      <c r="H3701" s="479">
        <f t="shared" si="316"/>
        <v>33698.1</v>
      </c>
    </row>
    <row r="3702" spans="1:9" s="42" customFormat="1" ht="210" x14ac:dyDescent="0.2">
      <c r="A3702" s="67" t="s">
        <v>3471</v>
      </c>
      <c r="B3702" s="560"/>
      <c r="C3702" s="415" t="s">
        <v>3904</v>
      </c>
      <c r="D3702" s="441" t="s">
        <v>411</v>
      </c>
      <c r="E3702" s="395"/>
      <c r="F3702" s="391">
        <f>ROUND(SUM(H3702:H3707),0)</f>
        <v>1657702</v>
      </c>
      <c r="G3702" s="437"/>
      <c r="H3702" s="442"/>
      <c r="I3702" s="738">
        <v>3</v>
      </c>
    </row>
    <row r="3703" spans="1:9" x14ac:dyDescent="0.2">
      <c r="A3703" s="936" t="s">
        <v>382</v>
      </c>
      <c r="B3703" s="241" t="s">
        <v>1347</v>
      </c>
      <c r="C3703" s="3" t="s">
        <v>2856</v>
      </c>
      <c r="D3703" s="2" t="s">
        <v>405</v>
      </c>
      <c r="E3703" s="196">
        <v>1</v>
      </c>
      <c r="F3703" s="23">
        <f>VLOOKUP(B3703,'BASE DE DATOS'!$A$5:$E$997,5,FALSE)</f>
        <v>290</v>
      </c>
      <c r="G3703" s="104">
        <f>1</f>
        <v>1</v>
      </c>
      <c r="H3703" s="252">
        <f>IF(G3703&gt;0,(G3703*F3703*E3703),(F3703*E3703))</f>
        <v>290</v>
      </c>
    </row>
    <row r="3704" spans="1:9" x14ac:dyDescent="0.2">
      <c r="A3704" s="936"/>
      <c r="B3704" s="241" t="s">
        <v>1401</v>
      </c>
      <c r="C3704" s="3" t="s">
        <v>240</v>
      </c>
      <c r="D3704" s="2" t="s">
        <v>411</v>
      </c>
      <c r="E3704" s="196">
        <v>1</v>
      </c>
      <c r="F3704" s="23">
        <f>VLOOKUP(B3704,'BASE DE DATOS'!$A$5:$E$997,5,FALSE)</f>
        <v>1250000</v>
      </c>
      <c r="G3704" s="104">
        <v>0</v>
      </c>
      <c r="H3704" s="252">
        <f t="shared" si="316"/>
        <v>1250000</v>
      </c>
    </row>
    <row r="3705" spans="1:9" x14ac:dyDescent="0.2">
      <c r="A3705" s="936"/>
      <c r="B3705" s="241" t="s">
        <v>1632</v>
      </c>
      <c r="C3705" s="3" t="s">
        <v>2080</v>
      </c>
      <c r="D3705" s="2" t="s">
        <v>405</v>
      </c>
      <c r="E3705" s="196">
        <v>1</v>
      </c>
      <c r="F3705" s="23">
        <f>VLOOKUP(B3705,'BASE DE DATOS'!$A$5:$E$997,5,FALSE)</f>
        <v>34984</v>
      </c>
      <c r="G3705" s="104">
        <v>1.05</v>
      </c>
      <c r="H3705" s="252">
        <f t="shared" si="316"/>
        <v>36733.200000000004</v>
      </c>
    </row>
    <row r="3706" spans="1:9" x14ac:dyDescent="0.2">
      <c r="A3706" s="81" t="s">
        <v>2555</v>
      </c>
      <c r="B3706" s="241" t="s">
        <v>607</v>
      </c>
      <c r="C3706" s="3" t="s">
        <v>608</v>
      </c>
      <c r="D3706" s="2" t="s">
        <v>585</v>
      </c>
      <c r="E3706" s="196">
        <v>1</v>
      </c>
      <c r="F3706" s="23">
        <f>VLOOKUP(B3706,'BASE DE DATOS'!$A$5:$E$997,5,FALSE)</f>
        <v>336981</v>
      </c>
      <c r="G3706" s="104">
        <f>1</f>
        <v>1</v>
      </c>
      <c r="H3706" s="252">
        <f t="shared" si="316"/>
        <v>336981</v>
      </c>
    </row>
    <row r="3707" spans="1:9" ht="13.5" thickBot="1" x14ac:dyDescent="0.25">
      <c r="A3707" s="94" t="s">
        <v>293</v>
      </c>
      <c r="B3707" s="528" t="s">
        <v>269</v>
      </c>
      <c r="C3707" s="108" t="s">
        <v>284</v>
      </c>
      <c r="D3707" s="109" t="s">
        <v>586</v>
      </c>
      <c r="E3707" s="203">
        <v>0.1</v>
      </c>
      <c r="F3707" s="110">
        <f>H3706</f>
        <v>336981</v>
      </c>
      <c r="G3707" s="156">
        <v>0</v>
      </c>
      <c r="H3707" s="479">
        <f t="shared" si="316"/>
        <v>33698.1</v>
      </c>
    </row>
    <row r="3708" spans="1:9" s="42" customFormat="1" ht="15.75" thickBot="1" x14ac:dyDescent="0.25">
      <c r="A3708" s="1009" t="s">
        <v>3525</v>
      </c>
      <c r="B3708" s="981"/>
      <c r="C3708" s="981"/>
      <c r="D3708" s="981"/>
      <c r="E3708" s="981"/>
      <c r="F3708" s="982"/>
      <c r="G3708" s="981"/>
      <c r="H3708" s="983"/>
      <c r="I3708" s="738"/>
    </row>
    <row r="3709" spans="1:9" s="42" customFormat="1" ht="45.75" thickBot="1" x14ac:dyDescent="0.25">
      <c r="A3709" s="494" t="s">
        <v>2044</v>
      </c>
      <c r="B3709" s="494" t="s">
        <v>265</v>
      </c>
      <c r="C3709" s="494" t="s">
        <v>402</v>
      </c>
      <c r="D3709" s="494" t="s">
        <v>346</v>
      </c>
      <c r="E3709" s="192" t="s">
        <v>2173</v>
      </c>
      <c r="F3709" s="162" t="s">
        <v>3165</v>
      </c>
      <c r="G3709" s="290" t="s">
        <v>281</v>
      </c>
      <c r="H3709" s="74" t="s">
        <v>3164</v>
      </c>
      <c r="I3709" s="738"/>
    </row>
    <row r="3710" spans="1:9" s="42" customFormat="1" ht="45" x14ac:dyDescent="0.2">
      <c r="A3710" s="67" t="s">
        <v>1048</v>
      </c>
      <c r="B3710" s="529"/>
      <c r="C3710" s="388" t="s">
        <v>3506</v>
      </c>
      <c r="D3710" s="389" t="s">
        <v>405</v>
      </c>
      <c r="E3710" s="395"/>
      <c r="F3710" s="391">
        <f>ROUND(SUM(H3710:H3721),0)</f>
        <v>612480</v>
      </c>
      <c r="G3710" s="392"/>
      <c r="H3710" s="393"/>
      <c r="I3710" s="738"/>
    </row>
    <row r="3711" spans="1:9" x14ac:dyDescent="0.2">
      <c r="A3711" s="936" t="s">
        <v>382</v>
      </c>
      <c r="B3711" s="241" t="s">
        <v>1418</v>
      </c>
      <c r="C3711" s="3" t="s">
        <v>591</v>
      </c>
      <c r="D3711" s="2" t="s">
        <v>411</v>
      </c>
      <c r="E3711" s="196">
        <v>0.4</v>
      </c>
      <c r="F3711" s="23">
        <f>VLOOKUP(B3711,'BASE DE DATOS'!$A$5:$E$997,5,FALSE)</f>
        <v>5250</v>
      </c>
      <c r="G3711" s="104">
        <f>1/3</f>
        <v>0.33333333333333331</v>
      </c>
      <c r="H3711" s="252">
        <f>IF(G3711&gt;0,(G3711*F3711*E3711),(F3711*E3711))</f>
        <v>700</v>
      </c>
    </row>
    <row r="3712" spans="1:9" x14ac:dyDescent="0.2">
      <c r="A3712" s="936"/>
      <c r="B3712" s="241" t="s">
        <v>1463</v>
      </c>
      <c r="C3712" s="3" t="s">
        <v>593</v>
      </c>
      <c r="D3712" s="2" t="s">
        <v>405</v>
      </c>
      <c r="E3712" s="196">
        <v>8.1999999999999993</v>
      </c>
      <c r="F3712" s="23">
        <f>VLOOKUP(B3712,'BASE DE DATOS'!$A$5:$E$997,5,FALSE)</f>
        <v>4704</v>
      </c>
      <c r="G3712" s="104">
        <f>1/3</f>
        <v>0.33333333333333331</v>
      </c>
      <c r="H3712" s="252">
        <f t="shared" ref="H3712:H3762" si="317">IF(G3712&gt;0,(G3712*F3712*E3712),(F3712*E3712))</f>
        <v>12857.599999999999</v>
      </c>
    </row>
    <row r="3713" spans="1:9" x14ac:dyDescent="0.2">
      <c r="A3713" s="936"/>
      <c r="B3713" s="241" t="s">
        <v>1558</v>
      </c>
      <c r="C3713" s="3" t="s">
        <v>2023</v>
      </c>
      <c r="D3713" s="2" t="s">
        <v>590</v>
      </c>
      <c r="E3713" s="196">
        <v>0.6</v>
      </c>
      <c r="F3713" s="23">
        <f>VLOOKUP(B3713,'BASE DE DATOS'!$A$5:$E$997,5,FALSE)</f>
        <v>5650</v>
      </c>
      <c r="G3713" s="104">
        <v>0</v>
      </c>
      <c r="H3713" s="252">
        <f t="shared" si="317"/>
        <v>3390</v>
      </c>
    </row>
    <row r="3714" spans="1:9" x14ac:dyDescent="0.2">
      <c r="A3714" s="936"/>
      <c r="B3714" s="241" t="s">
        <v>1711</v>
      </c>
      <c r="C3714" s="3" t="s">
        <v>632</v>
      </c>
      <c r="D3714" s="2" t="s">
        <v>405</v>
      </c>
      <c r="E3714" s="196">
        <v>5</v>
      </c>
      <c r="F3714" s="23">
        <f>VLOOKUP(B3714,'BASE DE DATOS'!$A$5:$E$997,5,FALSE)</f>
        <v>10991</v>
      </c>
      <c r="G3714" s="104">
        <f>1/3</f>
        <v>0.33333333333333331</v>
      </c>
      <c r="H3714" s="252">
        <f t="shared" si="317"/>
        <v>18318.333333333332</v>
      </c>
    </row>
    <row r="3715" spans="1:9" ht="14.25" x14ac:dyDescent="0.2">
      <c r="A3715" s="948" t="s">
        <v>3252</v>
      </c>
      <c r="B3715" s="241" t="s">
        <v>802</v>
      </c>
      <c r="C3715" s="3" t="s">
        <v>2104</v>
      </c>
      <c r="D3715" s="2" t="s">
        <v>285</v>
      </c>
      <c r="E3715" s="196">
        <v>6.6000000000000003E-2</v>
      </c>
      <c r="F3715" s="23">
        <f>F58</f>
        <v>523640.36249999999</v>
      </c>
      <c r="G3715" s="104">
        <v>1.05</v>
      </c>
      <c r="H3715" s="252">
        <f t="shared" si="317"/>
        <v>36288.277121250001</v>
      </c>
    </row>
    <row r="3716" spans="1:9" x14ac:dyDescent="0.2">
      <c r="A3716" s="948"/>
      <c r="B3716" s="241" t="s">
        <v>820</v>
      </c>
      <c r="C3716" s="11" t="s">
        <v>2100</v>
      </c>
      <c r="D3716" s="2" t="s">
        <v>410</v>
      </c>
      <c r="E3716" s="196">
        <v>3.5000000000000003E-2</v>
      </c>
      <c r="F3716" s="23">
        <f>F108</f>
        <v>843974</v>
      </c>
      <c r="G3716" s="104">
        <v>1.05</v>
      </c>
      <c r="H3716" s="252">
        <f>IF(G3716&gt;0,(G3716*F3716*E3716),(F3716*E3716))</f>
        <v>31016.044500000004</v>
      </c>
    </row>
    <row r="3717" spans="1:9" x14ac:dyDescent="0.2">
      <c r="A3717" s="948"/>
      <c r="B3717" s="241" t="s">
        <v>814</v>
      </c>
      <c r="C3717" s="24" t="s">
        <v>2018</v>
      </c>
      <c r="D3717" s="2" t="s">
        <v>406</v>
      </c>
      <c r="E3717" s="196">
        <v>4.5</v>
      </c>
      <c r="F3717" s="23">
        <f>F118</f>
        <v>7440</v>
      </c>
      <c r="G3717" s="104">
        <v>0</v>
      </c>
      <c r="H3717" s="252">
        <f t="shared" si="317"/>
        <v>33480</v>
      </c>
    </row>
    <row r="3718" spans="1:9" ht="25.5" x14ac:dyDescent="0.2">
      <c r="A3718" s="948"/>
      <c r="B3718" s="241" t="s">
        <v>3326</v>
      </c>
      <c r="C3718" s="3" t="s">
        <v>3338</v>
      </c>
      <c r="D3718" s="2" t="s">
        <v>288</v>
      </c>
      <c r="E3718" s="196">
        <v>2.4</v>
      </c>
      <c r="F3718" s="23">
        <f>F1855</f>
        <v>75713</v>
      </c>
      <c r="G3718" s="104">
        <v>0</v>
      </c>
      <c r="H3718" s="252">
        <f>IF(G3718&gt;0,(G3718*F3718*E3718),(F3718*E3718))</f>
        <v>181711.19999999998</v>
      </c>
    </row>
    <row r="3719" spans="1:9" ht="14.25" x14ac:dyDescent="0.2">
      <c r="A3719" s="948"/>
      <c r="B3719" s="241" t="s">
        <v>872</v>
      </c>
      <c r="C3719" s="3" t="s">
        <v>3507</v>
      </c>
      <c r="D3719" s="2" t="s">
        <v>288</v>
      </c>
      <c r="E3719" s="196">
        <v>0.3</v>
      </c>
      <c r="F3719" s="23">
        <f>F1230</f>
        <v>71955</v>
      </c>
      <c r="G3719" s="104">
        <v>0</v>
      </c>
      <c r="H3719" s="252">
        <f t="shared" si="317"/>
        <v>21586.5</v>
      </c>
    </row>
    <row r="3720" spans="1:9" x14ac:dyDescent="0.2">
      <c r="A3720" s="81" t="s">
        <v>2555</v>
      </c>
      <c r="B3720" s="241" t="s">
        <v>644</v>
      </c>
      <c r="C3720" s="3" t="s">
        <v>645</v>
      </c>
      <c r="D3720" s="2" t="s">
        <v>585</v>
      </c>
      <c r="E3720" s="196">
        <v>1</v>
      </c>
      <c r="F3720" s="23">
        <f>VLOOKUP(B3720,'BASE DE DATOS'!$A$5:$E$997,5,FALSE)</f>
        <v>248302</v>
      </c>
      <c r="G3720" s="104">
        <f>1/1</f>
        <v>1</v>
      </c>
      <c r="H3720" s="252">
        <f t="shared" si="317"/>
        <v>248302</v>
      </c>
    </row>
    <row r="3721" spans="1:9" ht="13.5" thickBot="1" x14ac:dyDescent="0.25">
      <c r="A3721" s="94" t="s">
        <v>293</v>
      </c>
      <c r="B3721" s="528" t="s">
        <v>269</v>
      </c>
      <c r="C3721" s="108" t="s">
        <v>284</v>
      </c>
      <c r="D3721" s="109" t="s">
        <v>586</v>
      </c>
      <c r="E3721" s="203">
        <v>0.1</v>
      </c>
      <c r="F3721" s="110">
        <f>H3720</f>
        <v>248302</v>
      </c>
      <c r="G3721" s="156">
        <v>0</v>
      </c>
      <c r="H3721" s="479">
        <f t="shared" si="317"/>
        <v>24830.2</v>
      </c>
    </row>
    <row r="3722" spans="1:9" s="42" customFormat="1" ht="30" x14ac:dyDescent="0.2">
      <c r="A3722" s="67" t="s">
        <v>3633</v>
      </c>
      <c r="B3722" s="529"/>
      <c r="C3722" s="388" t="s">
        <v>2068</v>
      </c>
      <c r="D3722" s="389" t="s">
        <v>405</v>
      </c>
      <c r="E3722" s="395"/>
      <c r="F3722" s="391">
        <f>ROUND(SUM(H3722:H3733),0)</f>
        <v>408374</v>
      </c>
      <c r="G3722" s="392"/>
      <c r="H3722" s="393"/>
      <c r="I3722" s="738"/>
    </row>
    <row r="3723" spans="1:9" x14ac:dyDescent="0.2">
      <c r="A3723" s="936" t="s">
        <v>382</v>
      </c>
      <c r="B3723" s="241" t="s">
        <v>1418</v>
      </c>
      <c r="C3723" s="3" t="s">
        <v>591</v>
      </c>
      <c r="D3723" s="2" t="s">
        <v>411</v>
      </c>
      <c r="E3723" s="196">
        <v>0.4</v>
      </c>
      <c r="F3723" s="23">
        <f>VLOOKUP(B3723,'BASE DE DATOS'!$A$5:$E$997,5,FALSE)</f>
        <v>5250</v>
      </c>
      <c r="G3723" s="104">
        <f>1/3</f>
        <v>0.33333333333333331</v>
      </c>
      <c r="H3723" s="252">
        <f t="shared" si="317"/>
        <v>700</v>
      </c>
    </row>
    <row r="3724" spans="1:9" x14ac:dyDescent="0.2">
      <c r="A3724" s="936"/>
      <c r="B3724" s="241" t="s">
        <v>1463</v>
      </c>
      <c r="C3724" s="3" t="s">
        <v>593</v>
      </c>
      <c r="D3724" s="2" t="s">
        <v>405</v>
      </c>
      <c r="E3724" s="196">
        <v>8.1999999999999993</v>
      </c>
      <c r="F3724" s="23">
        <f>VLOOKUP(B3724,'BASE DE DATOS'!$A$5:$E$997,5,FALSE)</f>
        <v>4704</v>
      </c>
      <c r="G3724" s="104">
        <v>0</v>
      </c>
      <c r="H3724" s="252">
        <f t="shared" si="317"/>
        <v>38572.799999999996</v>
      </c>
    </row>
    <row r="3725" spans="1:9" x14ac:dyDescent="0.2">
      <c r="A3725" s="936"/>
      <c r="B3725" s="241" t="s">
        <v>1558</v>
      </c>
      <c r="C3725" s="3" t="s">
        <v>2023</v>
      </c>
      <c r="D3725" s="2" t="s">
        <v>590</v>
      </c>
      <c r="E3725" s="196">
        <v>0.6</v>
      </c>
      <c r="F3725" s="23">
        <f>VLOOKUP(B3725,'BASE DE DATOS'!$A$5:$E$997,5,FALSE)</f>
        <v>5650</v>
      </c>
      <c r="G3725" s="104">
        <v>3</v>
      </c>
      <c r="H3725" s="252">
        <f t="shared" si="317"/>
        <v>10170</v>
      </c>
    </row>
    <row r="3726" spans="1:9" x14ac:dyDescent="0.2">
      <c r="A3726" s="936"/>
      <c r="B3726" s="241" t="s">
        <v>1711</v>
      </c>
      <c r="C3726" s="3" t="s">
        <v>632</v>
      </c>
      <c r="D3726" s="2" t="s">
        <v>405</v>
      </c>
      <c r="E3726" s="196">
        <v>5</v>
      </c>
      <c r="F3726" s="23">
        <f>VLOOKUP(B3726,'BASE DE DATOS'!$A$5:$E$997,5,FALSE)</f>
        <v>10991</v>
      </c>
      <c r="G3726" s="104">
        <f>1/3</f>
        <v>0.33333333333333331</v>
      </c>
      <c r="H3726" s="252">
        <f t="shared" si="317"/>
        <v>18318.333333333332</v>
      </c>
    </row>
    <row r="3727" spans="1:9" ht="14.25" x14ac:dyDescent="0.2">
      <c r="A3727" s="948" t="s">
        <v>3252</v>
      </c>
      <c r="B3727" s="241" t="s">
        <v>802</v>
      </c>
      <c r="C3727" s="3" t="s">
        <v>2103</v>
      </c>
      <c r="D3727" s="2" t="s">
        <v>285</v>
      </c>
      <c r="E3727" s="196">
        <v>6.6000000000000003E-2</v>
      </c>
      <c r="F3727" s="23">
        <f>$F$58</f>
        <v>523640.36249999999</v>
      </c>
      <c r="G3727" s="104">
        <v>1.05</v>
      </c>
      <c r="H3727" s="252">
        <f t="shared" si="317"/>
        <v>36288.277121250001</v>
      </c>
    </row>
    <row r="3728" spans="1:9" x14ac:dyDescent="0.2">
      <c r="A3728" s="948"/>
      <c r="B3728" s="241" t="s">
        <v>820</v>
      </c>
      <c r="C3728" s="11" t="s">
        <v>2100</v>
      </c>
      <c r="D3728" s="2" t="s">
        <v>410</v>
      </c>
      <c r="E3728" s="196">
        <v>0.04</v>
      </c>
      <c r="F3728" s="23">
        <f>F106</f>
        <v>514339</v>
      </c>
      <c r="G3728" s="104">
        <v>1.05</v>
      </c>
      <c r="H3728" s="252">
        <f>IF(G3728&gt;0,(G3728*F3728*E3728),(F3728*E3728))</f>
        <v>21602.238000000005</v>
      </c>
    </row>
    <row r="3729" spans="1:9" x14ac:dyDescent="0.2">
      <c r="A3729" s="948"/>
      <c r="B3729" s="241" t="s">
        <v>814</v>
      </c>
      <c r="C3729" s="11" t="s">
        <v>2018</v>
      </c>
      <c r="D3729" s="2" t="s">
        <v>406</v>
      </c>
      <c r="E3729" s="196">
        <v>4.5</v>
      </c>
      <c r="F3729" s="23">
        <f>$F$118</f>
        <v>7440</v>
      </c>
      <c r="G3729" s="104">
        <v>0</v>
      </c>
      <c r="H3729" s="252">
        <f t="shared" si="317"/>
        <v>33480</v>
      </c>
    </row>
    <row r="3730" spans="1:9" ht="25.5" x14ac:dyDescent="0.2">
      <c r="A3730" s="948"/>
      <c r="B3730" s="241" t="s">
        <v>3326</v>
      </c>
      <c r="C3730" s="3" t="s">
        <v>3338</v>
      </c>
      <c r="D3730" s="2" t="s">
        <v>288</v>
      </c>
      <c r="E3730" s="196">
        <v>2.2000000000000002</v>
      </c>
      <c r="F3730" s="23">
        <f>F1855</f>
        <v>75713</v>
      </c>
      <c r="G3730" s="104">
        <v>0</v>
      </c>
      <c r="H3730" s="252">
        <f>IF(G3730&gt;0,(G3730*F3730*E3730),(F3730*E3730))</f>
        <v>166568.6</v>
      </c>
    </row>
    <row r="3731" spans="1:9" ht="14.25" x14ac:dyDescent="0.2">
      <c r="A3731" s="948"/>
      <c r="B3731" s="241" t="s">
        <v>872</v>
      </c>
      <c r="C3731" s="3" t="s">
        <v>3507</v>
      </c>
      <c r="D3731" s="2" t="s">
        <v>288</v>
      </c>
      <c r="E3731" s="196">
        <v>0.2</v>
      </c>
      <c r="F3731" s="23">
        <f>F1230</f>
        <v>71955</v>
      </c>
      <c r="G3731" s="104">
        <v>0</v>
      </c>
      <c r="H3731" s="252">
        <f t="shared" si="317"/>
        <v>14391</v>
      </c>
    </row>
    <row r="3732" spans="1:9" x14ac:dyDescent="0.2">
      <c r="A3732" s="81" t="s">
        <v>2555</v>
      </c>
      <c r="B3732" s="241" t="s">
        <v>644</v>
      </c>
      <c r="C3732" s="3" t="s">
        <v>645</v>
      </c>
      <c r="D3732" s="2" t="s">
        <v>585</v>
      </c>
      <c r="E3732" s="196">
        <v>1</v>
      </c>
      <c r="F3732" s="23">
        <f>VLOOKUP(B3732,'BASE DE DATOS'!$A$5:$E$997,5,FALSE)</f>
        <v>248302</v>
      </c>
      <c r="G3732" s="104">
        <f>1/4</f>
        <v>0.25</v>
      </c>
      <c r="H3732" s="252">
        <f t="shared" si="317"/>
        <v>62075.5</v>
      </c>
    </row>
    <row r="3733" spans="1:9" ht="13.5" thickBot="1" x14ac:dyDescent="0.25">
      <c r="A3733" s="94" t="s">
        <v>293</v>
      </c>
      <c r="B3733" s="528" t="s">
        <v>269</v>
      </c>
      <c r="C3733" s="108" t="s">
        <v>284</v>
      </c>
      <c r="D3733" s="109" t="s">
        <v>586</v>
      </c>
      <c r="E3733" s="200">
        <v>0.1</v>
      </c>
      <c r="F3733" s="110">
        <f>H3732</f>
        <v>62075.5</v>
      </c>
      <c r="G3733" s="156">
        <v>0</v>
      </c>
      <c r="H3733" s="479">
        <f t="shared" si="317"/>
        <v>6207.55</v>
      </c>
    </row>
    <row r="3734" spans="1:9" s="42" customFormat="1" ht="60" x14ac:dyDescent="0.2">
      <c r="A3734" s="67" t="s">
        <v>1049</v>
      </c>
      <c r="B3734" s="529"/>
      <c r="C3734" s="388" t="s">
        <v>3759</v>
      </c>
      <c r="D3734" s="389" t="s">
        <v>405</v>
      </c>
      <c r="E3734" s="390"/>
      <c r="F3734" s="391">
        <f>ROUND(SUM(H3734:H3746),0)</f>
        <v>617317</v>
      </c>
      <c r="G3734" s="392"/>
      <c r="H3734" s="393"/>
      <c r="I3734" s="738"/>
    </row>
    <row r="3735" spans="1:9" x14ac:dyDescent="0.2">
      <c r="A3735" s="939" t="s">
        <v>295</v>
      </c>
      <c r="B3735" s="241" t="s">
        <v>1418</v>
      </c>
      <c r="C3735" s="3" t="s">
        <v>591</v>
      </c>
      <c r="D3735" s="2" t="s">
        <v>411</v>
      </c>
      <c r="E3735" s="196">
        <f>0.9*2</f>
        <v>1.8</v>
      </c>
      <c r="F3735" s="23">
        <f>VLOOKUP(B3735,'BASE DE DATOS'!$A$5:$E$997,5,FALSE)</f>
        <v>5250</v>
      </c>
      <c r="G3735" s="104">
        <f>1/3</f>
        <v>0.33333333333333331</v>
      </c>
      <c r="H3735" s="252">
        <f>IF(G3735&gt;0,(G3735*F3735*E3735),(F3735*E3735))</f>
        <v>3150</v>
      </c>
    </row>
    <row r="3736" spans="1:9" ht="14.25" x14ac:dyDescent="0.2">
      <c r="A3736" s="939"/>
      <c r="B3736" s="241" t="s">
        <v>1777</v>
      </c>
      <c r="C3736" s="3" t="s">
        <v>1969</v>
      </c>
      <c r="D3736" s="2" t="s">
        <v>288</v>
      </c>
      <c r="E3736" s="114">
        <v>0.85</v>
      </c>
      <c r="F3736" s="23">
        <f>VLOOKUP(B3736,'BASE DE DATOS'!$A$5:$E$997,5,FALSE)</f>
        <v>244900</v>
      </c>
      <c r="G3736" s="104">
        <v>1.1000000000000001</v>
      </c>
      <c r="H3736" s="252">
        <f>IF(G3736&gt;0,(G3736*F3736*E3736),(F3736*E3736))</f>
        <v>228981.5</v>
      </c>
    </row>
    <row r="3737" spans="1:9" x14ac:dyDescent="0.2">
      <c r="A3737" s="939"/>
      <c r="B3737" s="241" t="s">
        <v>1463</v>
      </c>
      <c r="C3737" s="3" t="s">
        <v>593</v>
      </c>
      <c r="D3737" s="2" t="s">
        <v>405</v>
      </c>
      <c r="E3737" s="196">
        <f>0.6*4</f>
        <v>2.4</v>
      </c>
      <c r="F3737" s="23">
        <f>VLOOKUP(B3737,'BASE DE DATOS'!$A$5:$E$997,5,FALSE)</f>
        <v>4704</v>
      </c>
      <c r="G3737" s="104">
        <f>1/3</f>
        <v>0.33333333333333331</v>
      </c>
      <c r="H3737" s="252">
        <f t="shared" si="317"/>
        <v>3763.2</v>
      </c>
    </row>
    <row r="3738" spans="1:9" x14ac:dyDescent="0.2">
      <c r="A3738" s="939"/>
      <c r="B3738" s="241" t="s">
        <v>1558</v>
      </c>
      <c r="C3738" s="3" t="s">
        <v>2023</v>
      </c>
      <c r="D3738" s="2" t="s">
        <v>590</v>
      </c>
      <c r="E3738" s="196">
        <v>0.4</v>
      </c>
      <c r="F3738" s="23">
        <f>VLOOKUP(B3738,'BASE DE DATOS'!$A$5:$E$997,5,FALSE)</f>
        <v>5650</v>
      </c>
      <c r="G3738" s="104">
        <v>0</v>
      </c>
      <c r="H3738" s="252">
        <f t="shared" si="317"/>
        <v>2260</v>
      </c>
    </row>
    <row r="3739" spans="1:9" x14ac:dyDescent="0.2">
      <c r="A3739" s="939"/>
      <c r="B3739" s="241" t="s">
        <v>1711</v>
      </c>
      <c r="C3739" s="3" t="s">
        <v>632</v>
      </c>
      <c r="D3739" s="2" t="s">
        <v>405</v>
      </c>
      <c r="E3739" s="114">
        <v>3</v>
      </c>
      <c r="F3739" s="23">
        <f>VLOOKUP(B3739,'BASE DE DATOS'!$A$5:$E$997,5,FALSE)</f>
        <v>10991</v>
      </c>
      <c r="G3739" s="104">
        <f>1/3</f>
        <v>0.33333333333333331</v>
      </c>
      <c r="H3739" s="252">
        <f t="shared" si="317"/>
        <v>10991</v>
      </c>
    </row>
    <row r="3740" spans="1:9" ht="14.25" x14ac:dyDescent="0.2">
      <c r="A3740" s="948" t="s">
        <v>3252</v>
      </c>
      <c r="B3740" s="241" t="s">
        <v>799</v>
      </c>
      <c r="C3740" s="3" t="s">
        <v>2089</v>
      </c>
      <c r="D3740" s="2" t="s">
        <v>285</v>
      </c>
      <c r="E3740" s="114">
        <v>0.06</v>
      </c>
      <c r="F3740" s="23">
        <f>F34</f>
        <v>482282</v>
      </c>
      <c r="G3740" s="104">
        <v>1.05</v>
      </c>
      <c r="H3740" s="252">
        <f t="shared" si="317"/>
        <v>30383.766</v>
      </c>
    </row>
    <row r="3741" spans="1:9" ht="14.25" x14ac:dyDescent="0.2">
      <c r="A3741" s="948"/>
      <c r="B3741" s="241" t="s">
        <v>810</v>
      </c>
      <c r="C3741" s="3" t="s">
        <v>2097</v>
      </c>
      <c r="D3741" s="2" t="s">
        <v>285</v>
      </c>
      <c r="E3741" s="114">
        <f>0.03*0.85*1</f>
        <v>2.5499999999999998E-2</v>
      </c>
      <c r="F3741" s="23">
        <f>F90</f>
        <v>525897</v>
      </c>
      <c r="G3741" s="104">
        <v>1.05</v>
      </c>
      <c r="H3741" s="252">
        <f>IF(G3741&gt;0,(G3741*F3741*E3741),(F3741*E3741))</f>
        <v>14080.892174999999</v>
      </c>
    </row>
    <row r="3742" spans="1:9" x14ac:dyDescent="0.2">
      <c r="A3742" s="948"/>
      <c r="B3742" s="241" t="s">
        <v>814</v>
      </c>
      <c r="C3742" s="11" t="s">
        <v>2018</v>
      </c>
      <c r="D3742" s="2" t="s">
        <v>406</v>
      </c>
      <c r="E3742" s="114">
        <v>7.8</v>
      </c>
      <c r="F3742" s="23">
        <f>F118</f>
        <v>7440</v>
      </c>
      <c r="G3742" s="104">
        <v>0</v>
      </c>
      <c r="H3742" s="252">
        <f t="shared" si="317"/>
        <v>58032</v>
      </c>
    </row>
    <row r="3743" spans="1:9" ht="25.5" x14ac:dyDescent="0.2">
      <c r="A3743" s="948"/>
      <c r="B3743" s="241" t="s">
        <v>3327</v>
      </c>
      <c r="C3743" s="3" t="s">
        <v>3312</v>
      </c>
      <c r="D3743" s="2" t="s">
        <v>288</v>
      </c>
      <c r="E3743" s="114">
        <f>0.54*2+0.1*0.9</f>
        <v>1.1700000000000002</v>
      </c>
      <c r="F3743" s="23">
        <f>F1864</f>
        <v>77139</v>
      </c>
      <c r="G3743" s="104">
        <v>0</v>
      </c>
      <c r="H3743" s="252">
        <f>IF(G3743&gt;0,(G3743*F3743*E3743),(F3743*E3743))</f>
        <v>90252.63</v>
      </c>
    </row>
    <row r="3744" spans="1:9" ht="14.25" x14ac:dyDescent="0.2">
      <c r="A3744" s="948"/>
      <c r="B3744" s="241" t="s">
        <v>872</v>
      </c>
      <c r="C3744" s="3" t="s">
        <v>3507</v>
      </c>
      <c r="D3744" s="2" t="s">
        <v>288</v>
      </c>
      <c r="E3744" s="114">
        <f>0.6*0.9</f>
        <v>0.54</v>
      </c>
      <c r="F3744" s="23">
        <f>F1230</f>
        <v>71955</v>
      </c>
      <c r="G3744" s="104">
        <v>0</v>
      </c>
      <c r="H3744" s="252">
        <f t="shared" si="317"/>
        <v>38855.700000000004</v>
      </c>
    </row>
    <row r="3745" spans="1:9" x14ac:dyDescent="0.2">
      <c r="A3745" s="81" t="s">
        <v>2555</v>
      </c>
      <c r="B3745" s="241" t="s">
        <v>644</v>
      </c>
      <c r="C3745" s="3" t="s">
        <v>645</v>
      </c>
      <c r="D3745" s="2" t="s">
        <v>585</v>
      </c>
      <c r="E3745" s="114">
        <v>1</v>
      </c>
      <c r="F3745" s="23">
        <f>VLOOKUP(B3745,'BASE DE DATOS'!$A$5:$E$997,5,FALSE)</f>
        <v>248302</v>
      </c>
      <c r="G3745" s="104">
        <f>1/2</f>
        <v>0.5</v>
      </c>
      <c r="H3745" s="252">
        <f t="shared" si="317"/>
        <v>124151</v>
      </c>
    </row>
    <row r="3746" spans="1:9" ht="13.5" thickBot="1" x14ac:dyDescent="0.25">
      <c r="A3746" s="499" t="s">
        <v>293</v>
      </c>
      <c r="B3746" s="530" t="s">
        <v>269</v>
      </c>
      <c r="C3746" s="88" t="s">
        <v>284</v>
      </c>
      <c r="D3746" s="89" t="s">
        <v>586</v>
      </c>
      <c r="E3746" s="193">
        <v>0.1</v>
      </c>
      <c r="F3746" s="90">
        <f>H3745</f>
        <v>124151</v>
      </c>
      <c r="G3746" s="153">
        <v>0</v>
      </c>
      <c r="H3746" s="479">
        <f t="shared" si="317"/>
        <v>12415.1</v>
      </c>
    </row>
    <row r="3747" spans="1:9" s="42" customFormat="1" ht="75" x14ac:dyDescent="0.2">
      <c r="A3747" s="67" t="s">
        <v>1050</v>
      </c>
      <c r="B3747" s="529"/>
      <c r="C3747" s="388" t="s">
        <v>3585</v>
      </c>
      <c r="D3747" s="389" t="s">
        <v>405</v>
      </c>
      <c r="E3747" s="390"/>
      <c r="F3747" s="391">
        <f>ROUND(SUM(H3747:H3762),0)</f>
        <v>484102</v>
      </c>
      <c r="G3747" s="392"/>
      <c r="H3747" s="393"/>
      <c r="I3747" s="738"/>
    </row>
    <row r="3748" spans="1:9" ht="13.15" customHeight="1" x14ac:dyDescent="0.2">
      <c r="A3748" s="939" t="s">
        <v>295</v>
      </c>
      <c r="B3748" s="241" t="s">
        <v>1318</v>
      </c>
      <c r="C3748" s="3" t="s">
        <v>677</v>
      </c>
      <c r="D3748" s="2" t="s">
        <v>406</v>
      </c>
      <c r="E3748" s="196">
        <v>18</v>
      </c>
      <c r="F3748" s="23">
        <f>VLOOKUP(B3748,'BASE DE DATOS'!$A$5:$E$997,5,FALSE)</f>
        <v>1675</v>
      </c>
      <c r="G3748" s="104">
        <v>1.05</v>
      </c>
      <c r="H3748" s="252">
        <f t="shared" si="317"/>
        <v>31657.5</v>
      </c>
    </row>
    <row r="3749" spans="1:9" x14ac:dyDescent="0.2">
      <c r="A3749" s="939"/>
      <c r="B3749" s="241" t="s">
        <v>1370</v>
      </c>
      <c r="C3749" s="3" t="s">
        <v>3509</v>
      </c>
      <c r="D3749" s="2" t="s">
        <v>405</v>
      </c>
      <c r="E3749" s="196">
        <f>0.9*1.67</f>
        <v>1.5029999999999999</v>
      </c>
      <c r="F3749" s="23">
        <f>VLOOKUP(B3749,'BASE DE DATOS'!$A$5:$E$997,5,FALSE)</f>
        <v>19960</v>
      </c>
      <c r="G3749" s="104">
        <v>0</v>
      </c>
      <c r="H3749" s="252">
        <f>IF(G3749&gt;0,(G3749*F3749*E3749),(F3749*E3749))</f>
        <v>29999.879999999997</v>
      </c>
    </row>
    <row r="3750" spans="1:9" x14ac:dyDescent="0.2">
      <c r="A3750" s="939"/>
      <c r="B3750" s="241" t="s">
        <v>1418</v>
      </c>
      <c r="C3750" s="3" t="s">
        <v>591</v>
      </c>
      <c r="D3750" s="2" t="s">
        <v>411</v>
      </c>
      <c r="E3750" s="196">
        <v>1.8</v>
      </c>
      <c r="F3750" s="23">
        <f>VLOOKUP(B3750,'BASE DE DATOS'!$A$5:$E$997,5,FALSE)</f>
        <v>5250</v>
      </c>
      <c r="G3750" s="104">
        <f>1/3</f>
        <v>0.33333333333333331</v>
      </c>
      <c r="H3750" s="252">
        <f>IF(G3750&gt;0,(G3750*F3750*E3750),(F3750*E3750))</f>
        <v>3150</v>
      </c>
    </row>
    <row r="3751" spans="1:9" x14ac:dyDescent="0.2">
      <c r="A3751" s="939"/>
      <c r="B3751" s="241" t="s">
        <v>1892</v>
      </c>
      <c r="C3751" s="3" t="s">
        <v>2463</v>
      </c>
      <c r="D3751" s="2" t="s">
        <v>616</v>
      </c>
      <c r="E3751" s="196">
        <v>1</v>
      </c>
      <c r="F3751" s="23">
        <f>VLOOKUP(B3751,'BASE DE DATOS'!$A$5:$E$997,5,FALSE)</f>
        <v>30232.5</v>
      </c>
      <c r="G3751" s="104">
        <v>1.03</v>
      </c>
      <c r="H3751" s="252">
        <f>IF(G3751&gt;0,(G3751*F3751*E3751),(F3751*E3751))</f>
        <v>31139.475000000002</v>
      </c>
    </row>
    <row r="3752" spans="1:9" x14ac:dyDescent="0.2">
      <c r="A3752" s="939"/>
      <c r="B3752" s="241" t="s">
        <v>1463</v>
      </c>
      <c r="C3752" s="3" t="s">
        <v>593</v>
      </c>
      <c r="D3752" s="2" t="s">
        <v>405</v>
      </c>
      <c r="E3752" s="196">
        <v>2.4</v>
      </c>
      <c r="F3752" s="23">
        <f>VLOOKUP(B3752,'BASE DE DATOS'!$A$5:$E$997,5,FALSE)</f>
        <v>4704</v>
      </c>
      <c r="G3752" s="104">
        <f>1/3</f>
        <v>0.33333333333333331</v>
      </c>
      <c r="H3752" s="252">
        <f t="shared" si="317"/>
        <v>3763.2</v>
      </c>
    </row>
    <row r="3753" spans="1:9" x14ac:dyDescent="0.2">
      <c r="A3753" s="939"/>
      <c r="B3753" s="241" t="s">
        <v>1558</v>
      </c>
      <c r="C3753" s="3" t="s">
        <v>2023</v>
      </c>
      <c r="D3753" s="2" t="s">
        <v>590</v>
      </c>
      <c r="E3753" s="196">
        <v>0.40500000000000003</v>
      </c>
      <c r="F3753" s="23">
        <f>VLOOKUP(B3753,'BASE DE DATOS'!$A$5:$E$997,5,FALSE)</f>
        <v>5650</v>
      </c>
      <c r="G3753" s="104">
        <v>0</v>
      </c>
      <c r="H3753" s="252">
        <f t="shared" si="317"/>
        <v>2288.25</v>
      </c>
    </row>
    <row r="3754" spans="1:9" x14ac:dyDescent="0.2">
      <c r="A3754" s="939"/>
      <c r="B3754" s="241" t="s">
        <v>1711</v>
      </c>
      <c r="C3754" s="3" t="s">
        <v>632</v>
      </c>
      <c r="D3754" s="2" t="s">
        <v>405</v>
      </c>
      <c r="E3754" s="196">
        <v>3</v>
      </c>
      <c r="F3754" s="23">
        <f>VLOOKUP(B3754,'BASE DE DATOS'!$A$5:$E$997,5,FALSE)</f>
        <v>10991</v>
      </c>
      <c r="G3754" s="104">
        <f>1/3</f>
        <v>0.33333333333333331</v>
      </c>
      <c r="H3754" s="252">
        <f t="shared" si="317"/>
        <v>10991</v>
      </c>
    </row>
    <row r="3755" spans="1:9" ht="14.25" x14ac:dyDescent="0.2">
      <c r="A3755" s="948" t="s">
        <v>3252</v>
      </c>
      <c r="B3755" s="241" t="s">
        <v>799</v>
      </c>
      <c r="C3755" s="3" t="s">
        <v>2089</v>
      </c>
      <c r="D3755" s="2" t="s">
        <v>285</v>
      </c>
      <c r="E3755" s="196">
        <v>0.06</v>
      </c>
      <c r="F3755" s="23">
        <f>F34</f>
        <v>482282</v>
      </c>
      <c r="G3755" s="104">
        <v>1.05</v>
      </c>
      <c r="H3755" s="252">
        <f t="shared" si="317"/>
        <v>30383.766</v>
      </c>
    </row>
    <row r="3756" spans="1:9" ht="14.25" x14ac:dyDescent="0.2">
      <c r="A3756" s="948"/>
      <c r="B3756" s="241" t="s">
        <v>810</v>
      </c>
      <c r="C3756" s="3" t="s">
        <v>2097</v>
      </c>
      <c r="D3756" s="2" t="s">
        <v>285</v>
      </c>
      <c r="E3756" s="196">
        <v>2.5999999999999999E-2</v>
      </c>
      <c r="F3756" s="23">
        <f>F90</f>
        <v>525897</v>
      </c>
      <c r="G3756" s="104">
        <v>1.05</v>
      </c>
      <c r="H3756" s="252">
        <f t="shared" si="317"/>
        <v>14356.988099999999</v>
      </c>
    </row>
    <row r="3757" spans="1:9" x14ac:dyDescent="0.2">
      <c r="A3757" s="948"/>
      <c r="B3757" s="241" t="s">
        <v>814</v>
      </c>
      <c r="C3757" s="11" t="s">
        <v>2018</v>
      </c>
      <c r="D3757" s="2" t="s">
        <v>406</v>
      </c>
      <c r="E3757" s="196">
        <v>7.8</v>
      </c>
      <c r="F3757" s="23">
        <f>F118</f>
        <v>7440</v>
      </c>
      <c r="G3757" s="104">
        <v>0</v>
      </c>
      <c r="H3757" s="252">
        <f t="shared" si="317"/>
        <v>58032</v>
      </c>
    </row>
    <row r="3758" spans="1:9" ht="25.5" x14ac:dyDescent="0.2">
      <c r="A3758" s="948"/>
      <c r="B3758" s="241" t="s">
        <v>3327</v>
      </c>
      <c r="C3758" s="3" t="s">
        <v>3312</v>
      </c>
      <c r="D3758" s="2" t="s">
        <v>288</v>
      </c>
      <c r="E3758" s="196">
        <v>1.17</v>
      </c>
      <c r="F3758" s="23">
        <f>F1864</f>
        <v>77139</v>
      </c>
      <c r="G3758" s="104">
        <v>0</v>
      </c>
      <c r="H3758" s="252">
        <f t="shared" si="317"/>
        <v>90252.62999999999</v>
      </c>
    </row>
    <row r="3759" spans="1:9" ht="14.25" x14ac:dyDescent="0.2">
      <c r="A3759" s="948"/>
      <c r="B3759" s="241" t="s">
        <v>872</v>
      </c>
      <c r="C3759" s="3" t="s">
        <v>3507</v>
      </c>
      <c r="D3759" s="2" t="s">
        <v>288</v>
      </c>
      <c r="E3759" s="196">
        <v>0.54</v>
      </c>
      <c r="F3759" s="23">
        <f>F1230</f>
        <v>71955</v>
      </c>
      <c r="G3759" s="104">
        <v>0</v>
      </c>
      <c r="H3759" s="252">
        <f>IF(G3759&gt;0,(G3759*F3759*E3759),(F3759*E3759))</f>
        <v>38855.700000000004</v>
      </c>
    </row>
    <row r="3760" spans="1:9" x14ac:dyDescent="0.2">
      <c r="A3760" s="81" t="s">
        <v>2555</v>
      </c>
      <c r="B3760" s="241" t="s">
        <v>644</v>
      </c>
      <c r="C3760" s="3" t="s">
        <v>645</v>
      </c>
      <c r="D3760" s="2" t="s">
        <v>585</v>
      </c>
      <c r="E3760" s="196">
        <v>1</v>
      </c>
      <c r="F3760" s="23">
        <f>VLOOKUP(B3760,'BASE DE DATOS'!$A$5:$E$997,5,FALSE)</f>
        <v>248302</v>
      </c>
      <c r="G3760" s="104">
        <f>1/2</f>
        <v>0.5</v>
      </c>
      <c r="H3760" s="252">
        <f t="shared" si="317"/>
        <v>124151</v>
      </c>
    </row>
    <row r="3761" spans="1:9" x14ac:dyDescent="0.2">
      <c r="A3761" s="944" t="s">
        <v>293</v>
      </c>
      <c r="B3761" s="241" t="s">
        <v>269</v>
      </c>
      <c r="C3761" s="3" t="s">
        <v>284</v>
      </c>
      <c r="D3761" s="2" t="s">
        <v>586</v>
      </c>
      <c r="E3761" s="196">
        <v>0.1</v>
      </c>
      <c r="F3761" s="23">
        <f>H3760</f>
        <v>124151</v>
      </c>
      <c r="G3761" s="104">
        <v>0</v>
      </c>
      <c r="H3761" s="252">
        <f t="shared" si="317"/>
        <v>12415.1</v>
      </c>
    </row>
    <row r="3762" spans="1:9" ht="13.5" thickBot="1" x14ac:dyDescent="0.25">
      <c r="A3762" s="945"/>
      <c r="B3762" s="528" t="s">
        <v>169</v>
      </c>
      <c r="C3762" s="108" t="s">
        <v>170</v>
      </c>
      <c r="D3762" s="109" t="s">
        <v>585</v>
      </c>
      <c r="E3762" s="203">
        <v>1</v>
      </c>
      <c r="F3762" s="110">
        <f>VLOOKUP(B3762,'BASE DE DATOS'!$A$5:$E$997,5,FALSE)</f>
        <v>39984</v>
      </c>
      <c r="G3762" s="156">
        <f>1/15</f>
        <v>6.6666666666666666E-2</v>
      </c>
      <c r="H3762" s="479">
        <f t="shared" si="317"/>
        <v>2665.6</v>
      </c>
    </row>
    <row r="3763" spans="1:9" s="42" customFormat="1" ht="60" x14ac:dyDescent="0.2">
      <c r="A3763" s="67" t="s">
        <v>1051</v>
      </c>
      <c r="B3763" s="529"/>
      <c r="C3763" s="388" t="s">
        <v>3510</v>
      </c>
      <c r="D3763" s="389" t="s">
        <v>405</v>
      </c>
      <c r="E3763" s="390"/>
      <c r="F3763" s="391">
        <f>ROUND(SUM(H3763:H3774),0)</f>
        <v>437072</v>
      </c>
      <c r="G3763" s="392"/>
      <c r="H3763" s="393"/>
      <c r="I3763" s="738"/>
    </row>
    <row r="3764" spans="1:9" x14ac:dyDescent="0.2">
      <c r="A3764" s="936" t="s">
        <v>382</v>
      </c>
      <c r="B3764" s="241" t="s">
        <v>1418</v>
      </c>
      <c r="C3764" s="3" t="s">
        <v>591</v>
      </c>
      <c r="D3764" s="2" t="s">
        <v>411</v>
      </c>
      <c r="E3764" s="196">
        <f>0.9*2</f>
        <v>1.8</v>
      </c>
      <c r="F3764" s="23">
        <f>VLOOKUP(B3764,'BASE DE DATOS'!$A$5:$E$997,5,FALSE)</f>
        <v>5250</v>
      </c>
      <c r="G3764" s="104">
        <f>1/3</f>
        <v>0.33333333333333331</v>
      </c>
      <c r="H3764" s="252">
        <f>IF(G3764&gt;0,(G3764*F3764*E3764),(F3764*E3764))</f>
        <v>3150</v>
      </c>
    </row>
    <row r="3765" spans="1:9" x14ac:dyDescent="0.2">
      <c r="A3765" s="936"/>
      <c r="B3765" s="241" t="s">
        <v>1463</v>
      </c>
      <c r="C3765" s="3" t="s">
        <v>593</v>
      </c>
      <c r="D3765" s="2" t="s">
        <v>405</v>
      </c>
      <c r="E3765" s="196">
        <f>0.6*4</f>
        <v>2.4</v>
      </c>
      <c r="F3765" s="23">
        <f>VLOOKUP(B3765,'BASE DE DATOS'!$A$5:$E$997,5,FALSE)</f>
        <v>4704</v>
      </c>
      <c r="G3765" s="104">
        <f>1/3</f>
        <v>0.33333333333333331</v>
      </c>
      <c r="H3765" s="252">
        <f t="shared" ref="H3765:H3827" si="318">IF(G3765&gt;0,(G3765*F3765*E3765),(F3765*E3765))</f>
        <v>3763.2</v>
      </c>
    </row>
    <row r="3766" spans="1:9" x14ac:dyDescent="0.2">
      <c r="A3766" s="936"/>
      <c r="B3766" s="241" t="s">
        <v>1558</v>
      </c>
      <c r="C3766" s="3" t="s">
        <v>2023</v>
      </c>
      <c r="D3766" s="2" t="s">
        <v>590</v>
      </c>
      <c r="E3766" s="196">
        <v>0.4</v>
      </c>
      <c r="F3766" s="23">
        <f>VLOOKUP(B3766,'BASE DE DATOS'!$A$5:$E$997,5,FALSE)</f>
        <v>5650</v>
      </c>
      <c r="G3766" s="104">
        <v>0</v>
      </c>
      <c r="H3766" s="252">
        <f t="shared" si="318"/>
        <v>2260</v>
      </c>
    </row>
    <row r="3767" spans="1:9" x14ac:dyDescent="0.2">
      <c r="A3767" s="936"/>
      <c r="B3767" s="241" t="s">
        <v>1711</v>
      </c>
      <c r="C3767" s="3" t="s">
        <v>632</v>
      </c>
      <c r="D3767" s="2" t="s">
        <v>405</v>
      </c>
      <c r="E3767" s="114">
        <v>3</v>
      </c>
      <c r="F3767" s="23">
        <f>VLOOKUP(B3767,'BASE DE DATOS'!$A$5:$E$997,5,FALSE)</f>
        <v>10991</v>
      </c>
      <c r="G3767" s="104">
        <f>1/3</f>
        <v>0.33333333333333331</v>
      </c>
      <c r="H3767" s="252">
        <f t="shared" si="318"/>
        <v>10991</v>
      </c>
    </row>
    <row r="3768" spans="1:9" ht="14.25" x14ac:dyDescent="0.2">
      <c r="A3768" s="948" t="s">
        <v>3252</v>
      </c>
      <c r="B3768" s="241" t="s">
        <v>799</v>
      </c>
      <c r="C3768" s="3" t="s">
        <v>2089</v>
      </c>
      <c r="D3768" s="2" t="s">
        <v>285</v>
      </c>
      <c r="E3768" s="114">
        <v>0.06</v>
      </c>
      <c r="F3768" s="23">
        <f>F63</f>
        <v>482282</v>
      </c>
      <c r="G3768" s="104">
        <v>1.05</v>
      </c>
      <c r="H3768" s="252">
        <f t="shared" si="318"/>
        <v>30383.766</v>
      </c>
    </row>
    <row r="3769" spans="1:9" ht="14.25" x14ac:dyDescent="0.2">
      <c r="A3769" s="948"/>
      <c r="B3769" s="241" t="s">
        <v>810</v>
      </c>
      <c r="C3769" s="3" t="s">
        <v>2097</v>
      </c>
      <c r="D3769" s="2" t="s">
        <v>285</v>
      </c>
      <c r="E3769" s="114">
        <f>0.03*0.85*1</f>
        <v>2.5499999999999998E-2</v>
      </c>
      <c r="F3769" s="23">
        <f>F90</f>
        <v>525897</v>
      </c>
      <c r="G3769" s="104">
        <v>1.05</v>
      </c>
      <c r="H3769" s="252">
        <f>IF(G3769&gt;0,(G3769*F3769*E3769),(F3769*E3769))</f>
        <v>14080.892174999999</v>
      </c>
    </row>
    <row r="3770" spans="1:9" x14ac:dyDescent="0.2">
      <c r="A3770" s="948"/>
      <c r="B3770" s="241" t="s">
        <v>814</v>
      </c>
      <c r="C3770" s="11" t="s">
        <v>2018</v>
      </c>
      <c r="D3770" s="2" t="s">
        <v>406</v>
      </c>
      <c r="E3770" s="114">
        <v>7.8</v>
      </c>
      <c r="F3770" s="23">
        <f>F118</f>
        <v>7440</v>
      </c>
      <c r="G3770" s="104">
        <v>0</v>
      </c>
      <c r="H3770" s="252">
        <f t="shared" si="318"/>
        <v>58032</v>
      </c>
    </row>
    <row r="3771" spans="1:9" ht="25.5" x14ac:dyDescent="0.2">
      <c r="A3771" s="948"/>
      <c r="B3771" s="241" t="s">
        <v>3327</v>
      </c>
      <c r="C3771" s="3" t="s">
        <v>3312</v>
      </c>
      <c r="D3771" s="2" t="s">
        <v>288</v>
      </c>
      <c r="E3771" s="114">
        <f>0.9*0.6*1.67+0.9</f>
        <v>1.8018000000000001</v>
      </c>
      <c r="F3771" s="23">
        <f>F1864</f>
        <v>77139</v>
      </c>
      <c r="G3771" s="104">
        <v>0</v>
      </c>
      <c r="H3771" s="252">
        <f>IF(G3771&gt;0,(G3771*F3771*E3771),(F3771*E3771))</f>
        <v>138989.0502</v>
      </c>
    </row>
    <row r="3772" spans="1:9" ht="14.25" x14ac:dyDescent="0.2">
      <c r="A3772" s="948"/>
      <c r="B3772" s="241" t="s">
        <v>872</v>
      </c>
      <c r="C3772" s="3" t="s">
        <v>3507</v>
      </c>
      <c r="D3772" s="2" t="s">
        <v>288</v>
      </c>
      <c r="E3772" s="114">
        <f>0.6*0.9</f>
        <v>0.54</v>
      </c>
      <c r="F3772" s="23">
        <f>F1230</f>
        <v>71955</v>
      </c>
      <c r="G3772" s="104">
        <v>0</v>
      </c>
      <c r="H3772" s="252">
        <f t="shared" si="318"/>
        <v>38855.700000000004</v>
      </c>
    </row>
    <row r="3773" spans="1:9" x14ac:dyDescent="0.2">
      <c r="A3773" s="500" t="s">
        <v>2555</v>
      </c>
      <c r="B3773" s="241" t="s">
        <v>644</v>
      </c>
      <c r="C3773" s="3" t="s">
        <v>645</v>
      </c>
      <c r="D3773" s="2" t="s">
        <v>585</v>
      </c>
      <c r="E3773" s="114">
        <v>1</v>
      </c>
      <c r="F3773" s="23">
        <f>VLOOKUP(B3773,'BASE DE DATOS'!$A$5:$E$997,5,FALSE)</f>
        <v>248302</v>
      </c>
      <c r="G3773" s="104">
        <f>1/2</f>
        <v>0.5</v>
      </c>
      <c r="H3773" s="252">
        <f t="shared" si="318"/>
        <v>124151</v>
      </c>
    </row>
    <row r="3774" spans="1:9" ht="13.5" thickBot="1" x14ac:dyDescent="0.25">
      <c r="A3774" s="499" t="s">
        <v>293</v>
      </c>
      <c r="B3774" s="530" t="s">
        <v>269</v>
      </c>
      <c r="C3774" s="88" t="s">
        <v>284</v>
      </c>
      <c r="D3774" s="89" t="s">
        <v>586</v>
      </c>
      <c r="E3774" s="193">
        <v>0.1</v>
      </c>
      <c r="F3774" s="90">
        <f>H3773</f>
        <v>124151</v>
      </c>
      <c r="G3774" s="153">
        <v>0</v>
      </c>
      <c r="H3774" s="479">
        <f t="shared" si="318"/>
        <v>12415.1</v>
      </c>
    </row>
    <row r="3775" spans="1:9" s="42" customFormat="1" ht="45" x14ac:dyDescent="0.2">
      <c r="A3775" s="67" t="s">
        <v>1052</v>
      </c>
      <c r="B3775" s="529"/>
      <c r="C3775" s="388" t="s">
        <v>3511</v>
      </c>
      <c r="D3775" s="389" t="s">
        <v>405</v>
      </c>
      <c r="E3775" s="390"/>
      <c r="F3775" s="391">
        <f>ROUND(SUM(H3775:H3786),0)</f>
        <v>362659</v>
      </c>
      <c r="G3775" s="392"/>
      <c r="H3775" s="393"/>
      <c r="I3775" s="738"/>
    </row>
    <row r="3776" spans="1:9" x14ac:dyDescent="0.2">
      <c r="A3776" s="939" t="s">
        <v>295</v>
      </c>
      <c r="B3776" s="241" t="s">
        <v>1318</v>
      </c>
      <c r="C3776" s="3" t="s">
        <v>677</v>
      </c>
      <c r="D3776" s="2" t="s">
        <v>406</v>
      </c>
      <c r="E3776" s="196">
        <v>27</v>
      </c>
      <c r="F3776" s="23">
        <f>VLOOKUP(B3776,'BASE DE DATOS'!$A$5:$E$997,5,FALSE)</f>
        <v>1675</v>
      </c>
      <c r="G3776" s="104">
        <v>1.05</v>
      </c>
      <c r="H3776" s="252">
        <f t="shared" si="318"/>
        <v>47486.25</v>
      </c>
    </row>
    <row r="3777" spans="1:9" x14ac:dyDescent="0.2">
      <c r="A3777" s="939"/>
      <c r="B3777" s="241" t="s">
        <v>1372</v>
      </c>
      <c r="C3777" s="3" t="s">
        <v>3850</v>
      </c>
      <c r="D3777" s="2" t="s">
        <v>405</v>
      </c>
      <c r="E3777" s="196">
        <v>2.1</v>
      </c>
      <c r="F3777" s="23">
        <f>VLOOKUP(B3777,'BASE DE DATOS'!$A$5:$E$997,5,FALSE)</f>
        <v>3366</v>
      </c>
      <c r="G3777" s="104">
        <v>1.03</v>
      </c>
      <c r="H3777" s="252">
        <f>IF(G3777&gt;0,(G3777*F3777*E3777),(F3777*E3777))</f>
        <v>7280.6580000000004</v>
      </c>
    </row>
    <row r="3778" spans="1:9" x14ac:dyDescent="0.2">
      <c r="A3778" s="939"/>
      <c r="B3778" s="241" t="s">
        <v>1892</v>
      </c>
      <c r="C3778" s="3" t="s">
        <v>2463</v>
      </c>
      <c r="D3778" s="2" t="s">
        <v>616</v>
      </c>
      <c r="E3778" s="196">
        <v>1</v>
      </c>
      <c r="F3778" s="23">
        <f>VLOOKUP(B3778,'BASE DE DATOS'!$A$5:$E$997,5,FALSE)</f>
        <v>30232.5</v>
      </c>
      <c r="G3778" s="104">
        <v>1.03</v>
      </c>
      <c r="H3778" s="252">
        <f>IF(G3778&gt;0,(G3778*F3778*E3778),(F3778*E3778))</f>
        <v>31139.475000000002</v>
      </c>
    </row>
    <row r="3779" spans="1:9" x14ac:dyDescent="0.2">
      <c r="A3779" s="939"/>
      <c r="B3779" s="241" t="s">
        <v>1463</v>
      </c>
      <c r="C3779" s="3" t="s">
        <v>593</v>
      </c>
      <c r="D3779" s="2" t="s">
        <v>405</v>
      </c>
      <c r="E3779" s="196">
        <v>6.5</v>
      </c>
      <c r="F3779" s="23">
        <f>VLOOKUP(B3779,'BASE DE DATOS'!$A$5:$E$997,5,FALSE)</f>
        <v>4704</v>
      </c>
      <c r="G3779" s="104">
        <f>1/3</f>
        <v>0.33333333333333331</v>
      </c>
      <c r="H3779" s="252">
        <f>IF(G3779&gt;0,(G3779*F3779*E3779),(F3779*E3779))</f>
        <v>10192</v>
      </c>
    </row>
    <row r="3780" spans="1:9" x14ac:dyDescent="0.2">
      <c r="A3780" s="939"/>
      <c r="B3780" s="241" t="s">
        <v>1711</v>
      </c>
      <c r="C3780" s="3" t="s">
        <v>632</v>
      </c>
      <c r="D3780" s="2" t="s">
        <v>405</v>
      </c>
      <c r="E3780" s="196">
        <v>4.5</v>
      </c>
      <c r="F3780" s="23">
        <f>VLOOKUP(B3780,'BASE DE DATOS'!$A$5:$E$997,5,FALSE)</f>
        <v>10991</v>
      </c>
      <c r="G3780" s="104">
        <f>1/3</f>
        <v>0.33333333333333331</v>
      </c>
      <c r="H3780" s="252">
        <f t="shared" si="318"/>
        <v>16486.5</v>
      </c>
    </row>
    <row r="3781" spans="1:9" ht="14.25" x14ac:dyDescent="0.2">
      <c r="A3781" s="940" t="s">
        <v>3252</v>
      </c>
      <c r="B3781" s="241" t="s">
        <v>802</v>
      </c>
      <c r="C3781" s="3" t="s">
        <v>2103</v>
      </c>
      <c r="D3781" s="2" t="s">
        <v>285</v>
      </c>
      <c r="E3781" s="196">
        <v>0.11</v>
      </c>
      <c r="F3781" s="23">
        <f>F58</f>
        <v>523640.36249999999</v>
      </c>
      <c r="G3781" s="104">
        <v>1.05</v>
      </c>
      <c r="H3781" s="252">
        <f t="shared" si="318"/>
        <v>60480.461868749997</v>
      </c>
    </row>
    <row r="3782" spans="1:9" ht="14.25" x14ac:dyDescent="0.2">
      <c r="A3782" s="940"/>
      <c r="B3782" s="241" t="s">
        <v>810</v>
      </c>
      <c r="C3782" s="3" t="s">
        <v>2097</v>
      </c>
      <c r="D3782" s="2" t="s">
        <v>285</v>
      </c>
      <c r="E3782" s="196">
        <v>2.1000000000000001E-2</v>
      </c>
      <c r="F3782" s="23">
        <f>F90</f>
        <v>525897</v>
      </c>
      <c r="G3782" s="104">
        <v>1.05</v>
      </c>
      <c r="H3782" s="252">
        <f t="shared" si="318"/>
        <v>11596.028850000001</v>
      </c>
    </row>
    <row r="3783" spans="1:9" x14ac:dyDescent="0.2">
      <c r="A3783" s="940"/>
      <c r="B3783" s="241" t="s">
        <v>814</v>
      </c>
      <c r="C3783" s="11" t="s">
        <v>2018</v>
      </c>
      <c r="D3783" s="2" t="s">
        <v>406</v>
      </c>
      <c r="E3783" s="196">
        <v>5.3</v>
      </c>
      <c r="F3783" s="23">
        <f>F118</f>
        <v>7440</v>
      </c>
      <c r="G3783" s="104">
        <v>0</v>
      </c>
      <c r="H3783" s="252">
        <f t="shared" si="318"/>
        <v>39432</v>
      </c>
    </row>
    <row r="3784" spans="1:9" x14ac:dyDescent="0.2">
      <c r="A3784" s="81" t="s">
        <v>2555</v>
      </c>
      <c r="B3784" s="241" t="s">
        <v>644</v>
      </c>
      <c r="C3784" s="3" t="s">
        <v>645</v>
      </c>
      <c r="D3784" s="2" t="s">
        <v>585</v>
      </c>
      <c r="E3784" s="196">
        <v>1</v>
      </c>
      <c r="F3784" s="23">
        <f>VLOOKUP(B3784,'BASE DE DATOS'!$A$5:$E$997,5,FALSE)</f>
        <v>248302</v>
      </c>
      <c r="G3784" s="104">
        <f>1/2</f>
        <v>0.5</v>
      </c>
      <c r="H3784" s="252">
        <f t="shared" si="318"/>
        <v>124151</v>
      </c>
    </row>
    <row r="3785" spans="1:9" x14ac:dyDescent="0.2">
      <c r="A3785" s="944" t="s">
        <v>293</v>
      </c>
      <c r="B3785" s="241" t="s">
        <v>269</v>
      </c>
      <c r="C3785" s="3" t="s">
        <v>284</v>
      </c>
      <c r="D3785" s="2" t="s">
        <v>586</v>
      </c>
      <c r="E3785" s="196">
        <v>0.1</v>
      </c>
      <c r="F3785" s="23">
        <f>H3784</f>
        <v>124151</v>
      </c>
      <c r="G3785" s="104">
        <v>0</v>
      </c>
      <c r="H3785" s="252">
        <f t="shared" si="318"/>
        <v>12415.1</v>
      </c>
    </row>
    <row r="3786" spans="1:9" ht="13.5" thickBot="1" x14ac:dyDescent="0.25">
      <c r="A3786" s="945"/>
      <c r="B3786" s="528" t="s">
        <v>169</v>
      </c>
      <c r="C3786" s="108" t="s">
        <v>170</v>
      </c>
      <c r="D3786" s="109" t="s">
        <v>585</v>
      </c>
      <c r="E3786" s="203">
        <v>1</v>
      </c>
      <c r="F3786" s="110">
        <f>VLOOKUP(B3786,'BASE DE DATOS'!$A$5:$E$997,5,FALSE)</f>
        <v>39984</v>
      </c>
      <c r="G3786" s="156">
        <f>1/20</f>
        <v>0.05</v>
      </c>
      <c r="H3786" s="479">
        <f t="shared" si="318"/>
        <v>1999.2</v>
      </c>
    </row>
    <row r="3787" spans="1:9" s="42" customFormat="1" ht="45" x14ac:dyDescent="0.2">
      <c r="A3787" s="67" t="s">
        <v>1053</v>
      </c>
      <c r="B3787" s="527"/>
      <c r="C3787" s="388" t="s">
        <v>3354</v>
      </c>
      <c r="D3787" s="389" t="s">
        <v>411</v>
      </c>
      <c r="E3787" s="395"/>
      <c r="F3787" s="391">
        <f>ROUND(SUM(H3787:H3803),0)</f>
        <v>1015566</v>
      </c>
      <c r="G3787" s="392"/>
      <c r="H3787" s="393"/>
      <c r="I3787" s="738"/>
    </row>
    <row r="3788" spans="1:9" x14ac:dyDescent="0.2">
      <c r="A3788" s="939" t="s">
        <v>295</v>
      </c>
      <c r="B3788" s="241" t="s">
        <v>1286</v>
      </c>
      <c r="C3788" s="3" t="s">
        <v>664</v>
      </c>
      <c r="D3788" s="2" t="s">
        <v>405</v>
      </c>
      <c r="E3788" s="114">
        <v>5.8</v>
      </c>
      <c r="F3788" s="23">
        <f>VLOOKUP(B3788,'BASE DE DATOS'!$A$5:$E$997,5,FALSE)</f>
        <v>6817</v>
      </c>
      <c r="G3788" s="104">
        <v>1.1000000000000001</v>
      </c>
      <c r="H3788" s="252">
        <f t="shared" ref="H3788:H3794" si="319">IF(G3788&gt;0,(G3788*F3788*E3788),(F3788*E3788))</f>
        <v>43492.460000000006</v>
      </c>
    </row>
    <row r="3789" spans="1:9" x14ac:dyDescent="0.2">
      <c r="A3789" s="939"/>
      <c r="B3789" s="241" t="s">
        <v>1770</v>
      </c>
      <c r="C3789" s="3" t="s">
        <v>2803</v>
      </c>
      <c r="D3789" s="2" t="s">
        <v>411</v>
      </c>
      <c r="E3789" s="114">
        <v>3</v>
      </c>
      <c r="F3789" s="23">
        <f>VLOOKUP(B3789,'BASE DE DATOS'!$A$5:$E$997,5,FALSE)</f>
        <v>6950</v>
      </c>
      <c r="G3789" s="104">
        <v>0</v>
      </c>
      <c r="H3789" s="252">
        <f t="shared" si="319"/>
        <v>20850</v>
      </c>
    </row>
    <row r="3790" spans="1:9" ht="27" x14ac:dyDescent="0.2">
      <c r="A3790" s="939"/>
      <c r="B3790" s="241" t="s">
        <v>1478</v>
      </c>
      <c r="C3790" s="3" t="s">
        <v>3697</v>
      </c>
      <c r="D3790" s="2" t="s">
        <v>288</v>
      </c>
      <c r="E3790" s="114">
        <v>1.8</v>
      </c>
      <c r="F3790" s="23">
        <f>VLOOKUP(B3790,'BASE DE DATOS'!$A$5:$E$997,5,FALSE)</f>
        <v>17717</v>
      </c>
      <c r="G3790" s="104">
        <v>1.05</v>
      </c>
      <c r="H3790" s="252">
        <f t="shared" si="319"/>
        <v>33485.130000000005</v>
      </c>
    </row>
    <row r="3791" spans="1:9" x14ac:dyDescent="0.2">
      <c r="A3791" s="939"/>
      <c r="B3791" s="244" t="s">
        <v>1715</v>
      </c>
      <c r="C3791" s="20" t="s">
        <v>3148</v>
      </c>
      <c r="D3791" s="19" t="s">
        <v>411</v>
      </c>
      <c r="E3791" s="194">
        <v>1</v>
      </c>
      <c r="F3791" s="23">
        <f>VLOOKUP(B3791,'BASE DE DATOS'!$A$5:$E$997,5,FALSE)</f>
        <v>30000</v>
      </c>
      <c r="G3791" s="58">
        <v>0</v>
      </c>
      <c r="H3791" s="252">
        <f t="shared" si="319"/>
        <v>30000</v>
      </c>
    </row>
    <row r="3792" spans="1:9" x14ac:dyDescent="0.2">
      <c r="A3792" s="939"/>
      <c r="B3792" s="241" t="s">
        <v>1523</v>
      </c>
      <c r="C3792" s="3" t="s">
        <v>643</v>
      </c>
      <c r="D3792" s="2" t="s">
        <v>642</v>
      </c>
      <c r="E3792" s="114">
        <v>0.9</v>
      </c>
      <c r="F3792" s="23">
        <f>VLOOKUP(B3792,'BASE DE DATOS'!$A$5:$E$997,5,FALSE)</f>
        <v>108900</v>
      </c>
      <c r="G3792" s="104">
        <v>1.03</v>
      </c>
      <c r="H3792" s="252">
        <f t="shared" si="319"/>
        <v>100950.3</v>
      </c>
    </row>
    <row r="3793" spans="1:9" x14ac:dyDescent="0.2">
      <c r="A3793" s="939"/>
      <c r="B3793" s="241" t="s">
        <v>1558</v>
      </c>
      <c r="C3793" s="3" t="s">
        <v>2023</v>
      </c>
      <c r="D3793" s="2" t="s">
        <v>590</v>
      </c>
      <c r="E3793" s="114">
        <v>0.2</v>
      </c>
      <c r="F3793" s="23">
        <f>VLOOKUP(B3793,'BASE DE DATOS'!$A$5:$E$997,5,FALSE)</f>
        <v>5650</v>
      </c>
      <c r="G3793" s="104">
        <v>0</v>
      </c>
      <c r="H3793" s="252">
        <f t="shared" si="319"/>
        <v>1130</v>
      </c>
    </row>
    <row r="3794" spans="1:9" x14ac:dyDescent="0.2">
      <c r="A3794" s="939"/>
      <c r="B3794" s="241" t="s">
        <v>1788</v>
      </c>
      <c r="C3794" s="3" t="s">
        <v>174</v>
      </c>
      <c r="D3794" s="2" t="s">
        <v>406</v>
      </c>
      <c r="E3794" s="114">
        <v>0.4</v>
      </c>
      <c r="F3794" s="23">
        <f>VLOOKUP(B3794,'BASE DE DATOS'!$A$5:$E$997,5,FALSE)</f>
        <v>15580</v>
      </c>
      <c r="G3794" s="104">
        <v>1.05</v>
      </c>
      <c r="H3794" s="252">
        <f t="shared" si="319"/>
        <v>6543.6</v>
      </c>
    </row>
    <row r="3795" spans="1:9" ht="13.15" customHeight="1" x14ac:dyDescent="0.2">
      <c r="A3795" s="939"/>
      <c r="B3795" s="241" t="s">
        <v>1711</v>
      </c>
      <c r="C3795" s="3" t="s">
        <v>632</v>
      </c>
      <c r="D3795" s="2" t="s">
        <v>405</v>
      </c>
      <c r="E3795" s="114">
        <v>3</v>
      </c>
      <c r="F3795" s="23">
        <f>VLOOKUP(B3795,'BASE DE DATOS'!$A$5:$E$997,5,FALSE)</f>
        <v>10991</v>
      </c>
      <c r="G3795" s="104">
        <f>1/3</f>
        <v>0.33333333333333331</v>
      </c>
      <c r="H3795" s="252">
        <f t="shared" si="318"/>
        <v>10991</v>
      </c>
    </row>
    <row r="3796" spans="1:9" x14ac:dyDescent="0.2">
      <c r="A3796" s="939"/>
      <c r="B3796" s="241" t="s">
        <v>1629</v>
      </c>
      <c r="C3796" s="3" t="s">
        <v>175</v>
      </c>
      <c r="D3796" s="2" t="s">
        <v>405</v>
      </c>
      <c r="E3796" s="114">
        <v>5.8</v>
      </c>
      <c r="F3796" s="23">
        <f>VLOOKUP(B3796,'BASE DE DATOS'!$A$5:$E$997,5,FALSE)</f>
        <v>10712</v>
      </c>
      <c r="G3796" s="104">
        <v>1.05</v>
      </c>
      <c r="H3796" s="252">
        <f t="shared" si="318"/>
        <v>65236.08</v>
      </c>
    </row>
    <row r="3797" spans="1:9" ht="14.25" x14ac:dyDescent="0.2">
      <c r="A3797" s="940" t="s">
        <v>3252</v>
      </c>
      <c r="B3797" s="241" t="s">
        <v>799</v>
      </c>
      <c r="C3797" s="3" t="s">
        <v>2089</v>
      </c>
      <c r="D3797" s="2" t="s">
        <v>285</v>
      </c>
      <c r="E3797" s="114">
        <v>0.2</v>
      </c>
      <c r="F3797" s="23">
        <f>F34</f>
        <v>482282</v>
      </c>
      <c r="G3797" s="104">
        <v>1.05</v>
      </c>
      <c r="H3797" s="252">
        <f>IF(G3797&gt;0,(G3797*F3797*E3797),(F3797*E3797))</f>
        <v>101279.22000000002</v>
      </c>
    </row>
    <row r="3798" spans="1:9" x14ac:dyDescent="0.2">
      <c r="A3798" s="940"/>
      <c r="B3798" s="241" t="s">
        <v>814</v>
      </c>
      <c r="C3798" s="11" t="s">
        <v>2018</v>
      </c>
      <c r="D3798" s="2" t="s">
        <v>406</v>
      </c>
      <c r="E3798" s="114">
        <f>22+13</f>
        <v>35</v>
      </c>
      <c r="F3798" s="23">
        <f>F118</f>
        <v>7440</v>
      </c>
      <c r="G3798" s="104">
        <v>0</v>
      </c>
      <c r="H3798" s="252">
        <f>IF(G3798&gt;0,(G3798*F3798*E3798),(F3798*E3798))</f>
        <v>260400</v>
      </c>
    </row>
    <row r="3799" spans="1:9" ht="14.25" x14ac:dyDescent="0.2">
      <c r="A3799" s="940"/>
      <c r="B3799" s="241" t="s">
        <v>766</v>
      </c>
      <c r="C3799" s="3" t="s">
        <v>133</v>
      </c>
      <c r="D3799" s="2" t="s">
        <v>285</v>
      </c>
      <c r="E3799" s="114">
        <v>0.14000000000000001</v>
      </c>
      <c r="F3799" s="23">
        <f>F472</f>
        <v>43205</v>
      </c>
      <c r="G3799" s="104">
        <v>0</v>
      </c>
      <c r="H3799" s="252">
        <f t="shared" si="318"/>
        <v>6048.7000000000007</v>
      </c>
    </row>
    <row r="3800" spans="1:9" x14ac:dyDescent="0.2">
      <c r="A3800" s="979" t="s">
        <v>2555</v>
      </c>
      <c r="B3800" s="241" t="s">
        <v>587</v>
      </c>
      <c r="C3800" s="3" t="s">
        <v>588</v>
      </c>
      <c r="D3800" s="2" t="s">
        <v>585</v>
      </c>
      <c r="E3800" s="114">
        <v>1</v>
      </c>
      <c r="F3800" s="23">
        <f>VLOOKUP(B3800,'BASE DE DATOS'!$A$5:$E$997,5,FALSE)</f>
        <v>514339</v>
      </c>
      <c r="G3800" s="104">
        <f>1/2.5</f>
        <v>0.4</v>
      </c>
      <c r="H3800" s="252">
        <f t="shared" si="318"/>
        <v>205735.6</v>
      </c>
    </row>
    <row r="3801" spans="1:9" x14ac:dyDescent="0.2">
      <c r="A3801" s="979"/>
      <c r="B3801" s="241" t="s">
        <v>81</v>
      </c>
      <c r="C3801" s="44" t="s">
        <v>3760</v>
      </c>
      <c r="D3801" s="2" t="s">
        <v>585</v>
      </c>
      <c r="E3801" s="114">
        <v>1</v>
      </c>
      <c r="F3801" s="23">
        <f>VLOOKUP(B3801,'BASE DE DATOS'!$A$5:$E$997,5,FALSE)</f>
        <v>283774</v>
      </c>
      <c r="G3801" s="104">
        <f>1/3</f>
        <v>0.33333333333333331</v>
      </c>
      <c r="H3801" s="252">
        <f t="shared" si="318"/>
        <v>94591.333333333328</v>
      </c>
    </row>
    <row r="3802" spans="1:9" x14ac:dyDescent="0.2">
      <c r="A3802" s="937" t="s">
        <v>293</v>
      </c>
      <c r="B3802" s="241" t="s">
        <v>254</v>
      </c>
      <c r="C3802" s="44" t="s">
        <v>341</v>
      </c>
      <c r="D3802" s="136" t="s">
        <v>585</v>
      </c>
      <c r="E3802" s="114">
        <v>1</v>
      </c>
      <c r="F3802" s="23">
        <f>VLOOKUP(B3802,'BASE DE DATOS'!$A$5:$E$997,5,FALSE)</f>
        <v>48000</v>
      </c>
      <c r="G3802" s="104">
        <f>1/10</f>
        <v>0.1</v>
      </c>
      <c r="H3802" s="252">
        <f t="shared" si="318"/>
        <v>4800</v>
      </c>
    </row>
    <row r="3803" spans="1:9" ht="13.5" thickBot="1" x14ac:dyDescent="0.25">
      <c r="A3803" s="938"/>
      <c r="B3803" s="528" t="s">
        <v>269</v>
      </c>
      <c r="C3803" s="108" t="s">
        <v>284</v>
      </c>
      <c r="D3803" s="109" t="s">
        <v>586</v>
      </c>
      <c r="E3803" s="200">
        <v>0.1</v>
      </c>
      <c r="F3803" s="110">
        <f>H3800+H3801</f>
        <v>300326.93333333335</v>
      </c>
      <c r="G3803" s="156">
        <v>0</v>
      </c>
      <c r="H3803" s="479">
        <f t="shared" si="318"/>
        <v>30032.693333333336</v>
      </c>
    </row>
    <row r="3804" spans="1:9" s="42" customFormat="1" ht="45" x14ac:dyDescent="0.2">
      <c r="A3804" s="67" t="s">
        <v>1054</v>
      </c>
      <c r="B3804" s="529"/>
      <c r="C3804" s="359" t="s">
        <v>3520</v>
      </c>
      <c r="D3804" s="389" t="s">
        <v>405</v>
      </c>
      <c r="E3804" s="395"/>
      <c r="F3804" s="391">
        <f>ROUND(SUM(H3804:H3814),0)</f>
        <v>219343</v>
      </c>
      <c r="G3804" s="392"/>
      <c r="H3804" s="393"/>
      <c r="I3804" s="738"/>
    </row>
    <row r="3805" spans="1:9" ht="13.15" customHeight="1" x14ac:dyDescent="0.2">
      <c r="A3805" s="939" t="s">
        <v>295</v>
      </c>
      <c r="B3805" s="241" t="s">
        <v>1280</v>
      </c>
      <c r="C3805" s="44" t="s">
        <v>335</v>
      </c>
      <c r="D3805" s="136" t="s">
        <v>405</v>
      </c>
      <c r="E3805" s="114">
        <v>3</v>
      </c>
      <c r="F3805" s="23">
        <f>VLOOKUP(B3805,'BASE DE DATOS'!$A$5:$E$997,5,FALSE)</f>
        <v>584</v>
      </c>
      <c r="G3805" s="104">
        <v>0</v>
      </c>
      <c r="H3805" s="252">
        <f t="shared" si="318"/>
        <v>1752</v>
      </c>
    </row>
    <row r="3806" spans="1:9" x14ac:dyDescent="0.2">
      <c r="A3806" s="939"/>
      <c r="B3806" s="241" t="s">
        <v>1281</v>
      </c>
      <c r="C3806" s="3" t="s">
        <v>633</v>
      </c>
      <c r="D3806" s="2" t="s">
        <v>406</v>
      </c>
      <c r="E3806" s="114">
        <v>0.13</v>
      </c>
      <c r="F3806" s="23">
        <f>VLOOKUP(B3806,'BASE DE DATOS'!$A$5:$E$997,5,FALSE)</f>
        <v>11400</v>
      </c>
      <c r="G3806" s="104">
        <v>0</v>
      </c>
      <c r="H3806" s="252">
        <f>IF(G3806&gt;0,(G3806*F3806*E3806),(F3806*E3806))</f>
        <v>1482</v>
      </c>
    </row>
    <row r="3807" spans="1:9" ht="27" x14ac:dyDescent="0.2">
      <c r="A3807" s="939"/>
      <c r="B3807" s="241" t="s">
        <v>1478</v>
      </c>
      <c r="C3807" s="3" t="s">
        <v>3697</v>
      </c>
      <c r="D3807" s="2" t="s">
        <v>288</v>
      </c>
      <c r="E3807" s="196">
        <v>2.1</v>
      </c>
      <c r="F3807" s="23">
        <f>VLOOKUP(B3807,'BASE DE DATOS'!$A$5:$E$997,5,FALSE)</f>
        <v>17717</v>
      </c>
      <c r="G3807" s="104">
        <v>1.05</v>
      </c>
      <c r="H3807" s="252">
        <f t="shared" si="318"/>
        <v>39065.985000000008</v>
      </c>
    </row>
    <row r="3808" spans="1:9" x14ac:dyDescent="0.2">
      <c r="A3808" s="939"/>
      <c r="B3808" s="241" t="s">
        <v>1523</v>
      </c>
      <c r="C3808" s="3" t="s">
        <v>643</v>
      </c>
      <c r="D3808" s="2" t="s">
        <v>642</v>
      </c>
      <c r="E3808" s="196">
        <v>1.2999999999999999E-2</v>
      </c>
      <c r="F3808" s="23">
        <f>VLOOKUP(B3808,'BASE DE DATOS'!$A$5:$E$997,5,FALSE)</f>
        <v>108900</v>
      </c>
      <c r="G3808" s="104">
        <v>1.03</v>
      </c>
      <c r="H3808" s="252">
        <f>IF(G3808&gt;0,(G3808*F3808*E3808),(F3808*E3808))</f>
        <v>1458.1709999999998</v>
      </c>
    </row>
    <row r="3809" spans="1:9" x14ac:dyDescent="0.2">
      <c r="A3809" s="939"/>
      <c r="B3809" s="241" t="s">
        <v>1788</v>
      </c>
      <c r="C3809" s="3" t="s">
        <v>174</v>
      </c>
      <c r="D3809" s="2" t="s">
        <v>406</v>
      </c>
      <c r="E3809" s="114">
        <v>0.15</v>
      </c>
      <c r="F3809" s="23">
        <f>VLOOKUP(B3809,'BASE DE DATOS'!$A$5:$E$997,5,FALSE)</f>
        <v>15580</v>
      </c>
      <c r="G3809" s="104">
        <v>1.03</v>
      </c>
      <c r="H3809" s="252">
        <f>IF(G3809&gt;0,(G3809*F3809*E3809),(F3809*E3809))</f>
        <v>2407.1099999999997</v>
      </c>
    </row>
    <row r="3810" spans="1:9" x14ac:dyDescent="0.2">
      <c r="A3810" s="939"/>
      <c r="B3810" s="241" t="s">
        <v>1673</v>
      </c>
      <c r="C3810" s="44" t="s">
        <v>359</v>
      </c>
      <c r="D3810" s="136" t="s">
        <v>411</v>
      </c>
      <c r="E3810" s="114">
        <v>0.6</v>
      </c>
      <c r="F3810" s="23">
        <f>VLOOKUP(B3810,'BASE DE DATOS'!$A$5:$E$997,5,FALSE)</f>
        <v>64270</v>
      </c>
      <c r="G3810" s="104">
        <v>0</v>
      </c>
      <c r="H3810" s="252">
        <f t="shared" si="318"/>
        <v>38562</v>
      </c>
    </row>
    <row r="3811" spans="1:9" ht="14.25" x14ac:dyDescent="0.2">
      <c r="A3811" s="491" t="s">
        <v>3252</v>
      </c>
      <c r="B3811" s="244" t="s">
        <v>1156</v>
      </c>
      <c r="C3811" s="11" t="s">
        <v>3512</v>
      </c>
      <c r="D3811" s="2" t="s">
        <v>405</v>
      </c>
      <c r="E3811" s="196">
        <v>1</v>
      </c>
      <c r="F3811" s="23">
        <f>' VÍAS'!F581</f>
        <v>76667</v>
      </c>
      <c r="G3811" s="104">
        <v>0</v>
      </c>
      <c r="H3811" s="252">
        <f t="shared" si="318"/>
        <v>76667</v>
      </c>
    </row>
    <row r="3812" spans="1:9" x14ac:dyDescent="0.2">
      <c r="A3812" s="493" t="s">
        <v>2555</v>
      </c>
      <c r="B3812" s="241" t="s">
        <v>587</v>
      </c>
      <c r="C3812" s="3" t="s">
        <v>588</v>
      </c>
      <c r="D3812" s="2" t="s">
        <v>585</v>
      </c>
      <c r="E3812" s="196">
        <v>1</v>
      </c>
      <c r="F3812" s="23">
        <f>VLOOKUP(B3812,'BASE DE DATOS'!$A$5:$E$997,5,FALSE)</f>
        <v>514339</v>
      </c>
      <c r="G3812" s="104">
        <f>1/10</f>
        <v>0.1</v>
      </c>
      <c r="H3812" s="252">
        <f t="shared" si="318"/>
        <v>51433.9</v>
      </c>
    </row>
    <row r="3813" spans="1:9" x14ac:dyDescent="0.2">
      <c r="A3813" s="937" t="s">
        <v>293</v>
      </c>
      <c r="B3813" s="241" t="s">
        <v>254</v>
      </c>
      <c r="C3813" s="218" t="s">
        <v>341</v>
      </c>
      <c r="D3813" s="219" t="s">
        <v>585</v>
      </c>
      <c r="E3813" s="196">
        <v>1</v>
      </c>
      <c r="F3813" s="220">
        <f>VLOOKUP(B3813,'BASE DE DATOS'!$A$5:$E$997,5,FALSE)</f>
        <v>48000</v>
      </c>
      <c r="G3813" s="187">
        <f>1/35</f>
        <v>2.8571428571428571E-2</v>
      </c>
      <c r="H3813" s="252">
        <f>IF(G3813&gt;0,(G3813*F3813*E3813),(F3813*E3813))</f>
        <v>1371.4285714285713</v>
      </c>
    </row>
    <row r="3814" spans="1:9" ht="13.5" thickBot="1" x14ac:dyDescent="0.25">
      <c r="A3814" s="938"/>
      <c r="B3814" s="528" t="s">
        <v>269</v>
      </c>
      <c r="C3814" s="88" t="s">
        <v>284</v>
      </c>
      <c r="D3814" s="89" t="s">
        <v>586</v>
      </c>
      <c r="E3814" s="197">
        <v>0.1</v>
      </c>
      <c r="F3814" s="90">
        <f>SUM(H3812:H3812)</f>
        <v>51433.9</v>
      </c>
      <c r="G3814" s="153">
        <v>0</v>
      </c>
      <c r="H3814" s="255">
        <f t="shared" si="318"/>
        <v>5143.3900000000003</v>
      </c>
    </row>
    <row r="3815" spans="1:9" s="42" customFormat="1" ht="75" x14ac:dyDescent="0.2">
      <c r="A3815" s="458" t="s">
        <v>1055</v>
      </c>
      <c r="B3815" s="529"/>
      <c r="C3815" s="388" t="s">
        <v>3519</v>
      </c>
      <c r="D3815" s="389" t="s">
        <v>405</v>
      </c>
      <c r="E3815" s="395"/>
      <c r="F3815" s="391">
        <f>ROUND(SUM(H3815:H3831),0)</f>
        <v>574430</v>
      </c>
      <c r="G3815" s="392"/>
      <c r="H3815" s="393"/>
      <c r="I3815" s="738"/>
    </row>
    <row r="3816" spans="1:9" x14ac:dyDescent="0.2">
      <c r="A3816" s="939" t="s">
        <v>295</v>
      </c>
      <c r="B3816" s="241" t="s">
        <v>1281</v>
      </c>
      <c r="C3816" s="3" t="s">
        <v>633</v>
      </c>
      <c r="D3816" s="2" t="s">
        <v>406</v>
      </c>
      <c r="E3816" s="114">
        <v>0.2</v>
      </c>
      <c r="F3816" s="23">
        <f>VLOOKUP(B3816,'BASE DE DATOS'!$A$5:$E$997,5,FALSE)</f>
        <v>11400</v>
      </c>
      <c r="G3816" s="104">
        <v>0</v>
      </c>
      <c r="H3816" s="252">
        <f>IF(G3816&gt;0,(G3816*F3816*E3816),(F3816*E3816))</f>
        <v>2280</v>
      </c>
    </row>
    <row r="3817" spans="1:9" x14ac:dyDescent="0.2">
      <c r="A3817" s="939"/>
      <c r="B3817" s="241" t="s">
        <v>1286</v>
      </c>
      <c r="C3817" s="3" t="s">
        <v>664</v>
      </c>
      <c r="D3817" s="2" t="s">
        <v>405</v>
      </c>
      <c r="E3817" s="114">
        <v>2</v>
      </c>
      <c r="F3817" s="23">
        <f>VLOOKUP(B3817,'BASE DE DATOS'!$A$5:$E$997,5,FALSE)</f>
        <v>6817</v>
      </c>
      <c r="G3817" s="104">
        <v>0</v>
      </c>
      <c r="H3817" s="252">
        <f>IF(G3817&gt;0,(G3817*F3817*E3817),(F3817*E3817))</f>
        <v>13634</v>
      </c>
    </row>
    <row r="3818" spans="1:9" ht="27" x14ac:dyDescent="0.2">
      <c r="A3818" s="939"/>
      <c r="B3818" s="241" t="s">
        <v>1478</v>
      </c>
      <c r="C3818" s="3" t="s">
        <v>3697</v>
      </c>
      <c r="D3818" s="2" t="s">
        <v>288</v>
      </c>
      <c r="E3818" s="114">
        <v>5</v>
      </c>
      <c r="F3818" s="23">
        <f>VLOOKUP(B3818,'BASE DE DATOS'!$A$5:$E$997,5,FALSE)</f>
        <v>17717</v>
      </c>
      <c r="G3818" s="104">
        <v>0</v>
      </c>
      <c r="H3818" s="252">
        <f t="shared" si="318"/>
        <v>88585</v>
      </c>
    </row>
    <row r="3819" spans="1:9" s="33" customFormat="1" x14ac:dyDescent="0.2">
      <c r="A3819" s="939"/>
      <c r="B3819" s="241" t="s">
        <v>1788</v>
      </c>
      <c r="C3819" s="3" t="s">
        <v>174</v>
      </c>
      <c r="D3819" s="2" t="s">
        <v>406</v>
      </c>
      <c r="E3819" s="114">
        <v>0.6</v>
      </c>
      <c r="F3819" s="23">
        <f>VLOOKUP(B3819,'BASE DE DATOS'!$A$5:$E$997,5,FALSE)</f>
        <v>15580</v>
      </c>
      <c r="G3819" s="104">
        <v>1.03</v>
      </c>
      <c r="H3819" s="252">
        <f t="shared" si="318"/>
        <v>9628.4399999999987</v>
      </c>
    </row>
    <row r="3820" spans="1:9" x14ac:dyDescent="0.2">
      <c r="A3820" s="939"/>
      <c r="B3820" s="241" t="s">
        <v>1673</v>
      </c>
      <c r="C3820" s="44" t="s">
        <v>2020</v>
      </c>
      <c r="D3820" s="136" t="s">
        <v>411</v>
      </c>
      <c r="E3820" s="114">
        <v>0.6</v>
      </c>
      <c r="F3820" s="23">
        <f>VLOOKUP(B3820,'BASE DE DATOS'!$A$5:$E$997,5,FALSE)</f>
        <v>64270</v>
      </c>
      <c r="G3820" s="104">
        <v>0</v>
      </c>
      <c r="H3820" s="252">
        <f t="shared" si="318"/>
        <v>38562</v>
      </c>
    </row>
    <row r="3821" spans="1:9" ht="14.25" x14ac:dyDescent="0.2">
      <c r="A3821" s="948" t="s">
        <v>3252</v>
      </c>
      <c r="B3821" s="241" t="s">
        <v>799</v>
      </c>
      <c r="C3821" s="3" t="s">
        <v>2089</v>
      </c>
      <c r="D3821" s="2" t="s">
        <v>285</v>
      </c>
      <c r="E3821" s="114">
        <v>0.02</v>
      </c>
      <c r="F3821" s="23">
        <f>F34</f>
        <v>482282</v>
      </c>
      <c r="G3821" s="104">
        <v>1.05</v>
      </c>
      <c r="H3821" s="252">
        <f>IF(G3821&gt;0,(G3821*F3821*E3821),(F3821*E3821))</f>
        <v>10127.922</v>
      </c>
    </row>
    <row r="3822" spans="1:9" ht="14.25" x14ac:dyDescent="0.2">
      <c r="A3822" s="948"/>
      <c r="B3822" s="241" t="s">
        <v>806</v>
      </c>
      <c r="C3822" s="3" t="s">
        <v>2091</v>
      </c>
      <c r="D3822" s="2" t="s">
        <v>285</v>
      </c>
      <c r="E3822" s="114">
        <v>0.06</v>
      </c>
      <c r="F3822" s="23">
        <f>F70</f>
        <v>475537</v>
      </c>
      <c r="G3822" s="104">
        <v>1.05</v>
      </c>
      <c r="H3822" s="252">
        <f>IF(G3822&gt;0,(G3822*F3822*E3822),(F3822*E3822))</f>
        <v>29958.831000000002</v>
      </c>
    </row>
    <row r="3823" spans="1:9" s="33" customFormat="1" x14ac:dyDescent="0.2">
      <c r="A3823" s="948"/>
      <c r="B3823" s="241" t="s">
        <v>814</v>
      </c>
      <c r="C3823" s="3" t="s">
        <v>2109</v>
      </c>
      <c r="D3823" s="2" t="s">
        <v>406</v>
      </c>
      <c r="E3823" s="114">
        <v>4.5999999999999996</v>
      </c>
      <c r="F3823" s="23">
        <f>F118</f>
        <v>7440</v>
      </c>
      <c r="G3823" s="104">
        <v>0</v>
      </c>
      <c r="H3823" s="252">
        <f>IF(G3823&gt;0,(G3823*F3823*E3823),(F3823*E3823))</f>
        <v>34224</v>
      </c>
    </row>
    <row r="3824" spans="1:9" ht="33" customHeight="1" x14ac:dyDescent="0.2">
      <c r="A3824" s="948"/>
      <c r="B3824" s="244" t="s">
        <v>855</v>
      </c>
      <c r="C3824" s="11" t="s">
        <v>3550</v>
      </c>
      <c r="D3824" s="2" t="s">
        <v>405</v>
      </c>
      <c r="E3824" s="114">
        <v>1</v>
      </c>
      <c r="F3824" s="23">
        <f>F1040</f>
        <v>120453</v>
      </c>
      <c r="G3824" s="104">
        <v>1.01</v>
      </c>
      <c r="H3824" s="252">
        <f>IF(G3824&gt;0,(G3824*F3824*E3824),(F3824*E3824))</f>
        <v>121657.53</v>
      </c>
    </row>
    <row r="3825" spans="1:9" ht="14.25" x14ac:dyDescent="0.2">
      <c r="A3825" s="948"/>
      <c r="B3825" s="244" t="s">
        <v>766</v>
      </c>
      <c r="C3825" s="20" t="s">
        <v>133</v>
      </c>
      <c r="D3825" s="2" t="s">
        <v>285</v>
      </c>
      <c r="E3825" s="114">
        <v>0.06</v>
      </c>
      <c r="F3825" s="23">
        <f>F472</f>
        <v>43205</v>
      </c>
      <c r="G3825" s="104">
        <v>0</v>
      </c>
      <c r="H3825" s="252">
        <f t="shared" si="318"/>
        <v>2592.2999999999997</v>
      </c>
    </row>
    <row r="3826" spans="1:9" s="33" customFormat="1" ht="14.25" x14ac:dyDescent="0.2">
      <c r="A3826" s="948"/>
      <c r="B3826" s="244" t="s">
        <v>874</v>
      </c>
      <c r="C3826" s="11" t="s">
        <v>3513</v>
      </c>
      <c r="D3826" s="2" t="s">
        <v>288</v>
      </c>
      <c r="E3826" s="114">
        <v>0.5</v>
      </c>
      <c r="F3826" s="23">
        <f>F1244</f>
        <v>149364</v>
      </c>
      <c r="G3826" s="104">
        <v>0</v>
      </c>
      <c r="H3826" s="252">
        <f>IF(G3826&gt;0,(G3826*F3826*E3826),(F3826*E3826))</f>
        <v>74682</v>
      </c>
    </row>
    <row r="3827" spans="1:9" ht="14.25" x14ac:dyDescent="0.2">
      <c r="A3827" s="948"/>
      <c r="B3827" s="244" t="s">
        <v>904</v>
      </c>
      <c r="C3827" s="3" t="s">
        <v>38</v>
      </c>
      <c r="D3827" s="2" t="s">
        <v>288</v>
      </c>
      <c r="E3827" s="114">
        <v>1</v>
      </c>
      <c r="F3827" s="23">
        <f>F2050</f>
        <v>25400</v>
      </c>
      <c r="G3827" s="104">
        <v>0</v>
      </c>
      <c r="H3827" s="252">
        <f t="shared" si="318"/>
        <v>25400</v>
      </c>
    </row>
    <row r="3828" spans="1:9" x14ac:dyDescent="0.2">
      <c r="A3828" s="81" t="s">
        <v>2555</v>
      </c>
      <c r="B3828" s="244" t="s">
        <v>587</v>
      </c>
      <c r="C3828" s="20" t="s">
        <v>588</v>
      </c>
      <c r="D3828" s="19" t="s">
        <v>585</v>
      </c>
      <c r="E3828" s="194">
        <v>1</v>
      </c>
      <c r="F3828" s="23">
        <f>VLOOKUP(B3828,'BASE DE DATOS'!$A$5:$E$997,5,FALSE)</f>
        <v>514339</v>
      </c>
      <c r="G3828" s="58">
        <f>1/5</f>
        <v>0.2</v>
      </c>
      <c r="H3828" s="252">
        <f t="shared" ref="H3828:H3831" si="320">IF(G3828&gt;0,(G3828*F3828*E3828),(F3828*E3828))</f>
        <v>102867.8</v>
      </c>
    </row>
    <row r="3829" spans="1:9" x14ac:dyDescent="0.2">
      <c r="A3829" s="988" t="s">
        <v>293</v>
      </c>
      <c r="B3829" s="244" t="s">
        <v>598</v>
      </c>
      <c r="C3829" s="214" t="s">
        <v>3362</v>
      </c>
      <c r="D3829" s="215" t="s">
        <v>586</v>
      </c>
      <c r="E3829" s="198">
        <v>0.05</v>
      </c>
      <c r="F3829" s="220">
        <f>H3828</f>
        <v>102867.8</v>
      </c>
      <c r="G3829" s="216">
        <v>0</v>
      </c>
      <c r="H3829" s="252">
        <f>IF(G3829&gt;0,(G3829*F3829*E3829),(F3829*E3829))</f>
        <v>5143.3900000000003</v>
      </c>
    </row>
    <row r="3830" spans="1:9" x14ac:dyDescent="0.2">
      <c r="A3830" s="988"/>
      <c r="B3830" s="244" t="s">
        <v>254</v>
      </c>
      <c r="C3830" s="600" t="s">
        <v>341</v>
      </c>
      <c r="D3830" s="383" t="s">
        <v>585</v>
      </c>
      <c r="E3830" s="194">
        <v>1</v>
      </c>
      <c r="F3830" s="220">
        <f>VLOOKUP(B3830,'BASE DE DATOS'!$A$5:$E$997,5,FALSE)</f>
        <v>48000</v>
      </c>
      <c r="G3830" s="216">
        <f>1/10</f>
        <v>0.1</v>
      </c>
      <c r="H3830" s="252">
        <f>IF(G3830&gt;0,(G3830*F3830*E3830),(F3830*E3830))</f>
        <v>4800</v>
      </c>
    </row>
    <row r="3831" spans="1:9" ht="13.5" thickBot="1" x14ac:dyDescent="0.25">
      <c r="A3831" s="1008"/>
      <c r="B3831" s="543" t="s">
        <v>269</v>
      </c>
      <c r="C3831" s="70" t="s">
        <v>284</v>
      </c>
      <c r="D3831" s="49" t="s">
        <v>586</v>
      </c>
      <c r="E3831" s="195">
        <v>0.1</v>
      </c>
      <c r="F3831" s="100">
        <f>H3828</f>
        <v>102867.8</v>
      </c>
      <c r="G3831" s="154">
        <v>0</v>
      </c>
      <c r="H3831" s="255">
        <f t="shared" si="320"/>
        <v>10286.780000000001</v>
      </c>
    </row>
    <row r="3832" spans="1:9" s="42" customFormat="1" ht="75" x14ac:dyDescent="0.2">
      <c r="A3832" s="458" t="s">
        <v>1056</v>
      </c>
      <c r="B3832" s="526"/>
      <c r="C3832" s="399" t="s">
        <v>3518</v>
      </c>
      <c r="D3832" s="326" t="s">
        <v>405</v>
      </c>
      <c r="E3832" s="400"/>
      <c r="F3832" s="401">
        <f>ROUND(SUM(H3832:H3847),0)</f>
        <v>443563</v>
      </c>
      <c r="G3832" s="402"/>
      <c r="H3832" s="330"/>
      <c r="I3832" s="738"/>
    </row>
    <row r="3833" spans="1:9" ht="13.15" customHeight="1" x14ac:dyDescent="0.2">
      <c r="A3833" s="939" t="s">
        <v>295</v>
      </c>
      <c r="B3833" s="241" t="s">
        <v>1280</v>
      </c>
      <c r="C3833" s="44" t="s">
        <v>335</v>
      </c>
      <c r="D3833" s="136" t="s">
        <v>405</v>
      </c>
      <c r="E3833" s="114">
        <v>3</v>
      </c>
      <c r="F3833" s="23">
        <f>VLOOKUP(B3833,'BASE DE DATOS'!$A$5:$E$997,5,FALSE)</f>
        <v>584</v>
      </c>
      <c r="G3833" s="104">
        <v>0</v>
      </c>
      <c r="H3833" s="252">
        <f t="shared" ref="H3833:H3880" si="321">IF(G3833&gt;0,(G3833*F3833*E3833),(F3833*E3833))</f>
        <v>1752</v>
      </c>
    </row>
    <row r="3834" spans="1:9" x14ac:dyDescent="0.2">
      <c r="A3834" s="939"/>
      <c r="B3834" s="241" t="s">
        <v>1281</v>
      </c>
      <c r="C3834" s="3" t="s">
        <v>633</v>
      </c>
      <c r="D3834" s="2" t="s">
        <v>406</v>
      </c>
      <c r="E3834" s="114">
        <v>0.13</v>
      </c>
      <c r="F3834" s="23">
        <f>VLOOKUP(B3834,'BASE DE DATOS'!$A$5:$E$997,5,FALSE)</f>
        <v>11400</v>
      </c>
      <c r="G3834" s="104">
        <v>0</v>
      </c>
      <c r="H3834" s="252">
        <f>IF(G3834&gt;0,(G3834*F3834*E3834),(F3834*E3834))</f>
        <v>1482</v>
      </c>
    </row>
    <row r="3835" spans="1:9" ht="27" x14ac:dyDescent="0.2">
      <c r="A3835" s="939"/>
      <c r="B3835" s="241" t="s">
        <v>1478</v>
      </c>
      <c r="C3835" s="3" t="s">
        <v>3697</v>
      </c>
      <c r="D3835" s="2" t="s">
        <v>288</v>
      </c>
      <c r="E3835" s="114">
        <v>2.1</v>
      </c>
      <c r="F3835" s="23">
        <f>VLOOKUP(B3835,'BASE DE DATOS'!$A$5:$E$997,5,FALSE)</f>
        <v>17717</v>
      </c>
      <c r="G3835" s="104">
        <v>0</v>
      </c>
      <c r="H3835" s="252">
        <f t="shared" si="321"/>
        <v>37205.700000000004</v>
      </c>
    </row>
    <row r="3836" spans="1:9" x14ac:dyDescent="0.2">
      <c r="A3836" s="939"/>
      <c r="B3836" s="241" t="s">
        <v>1788</v>
      </c>
      <c r="C3836" s="3" t="s">
        <v>174</v>
      </c>
      <c r="D3836" s="2" t="s">
        <v>406</v>
      </c>
      <c r="E3836" s="114">
        <v>0.15</v>
      </c>
      <c r="F3836" s="23">
        <f>VLOOKUP(B3836,'BASE DE DATOS'!$A$5:$E$997,5,FALSE)</f>
        <v>15580</v>
      </c>
      <c r="G3836" s="104">
        <v>1.03</v>
      </c>
      <c r="H3836" s="252">
        <f t="shared" si="321"/>
        <v>2407.1099999999997</v>
      </c>
    </row>
    <row r="3837" spans="1:9" x14ac:dyDescent="0.2">
      <c r="A3837" s="939"/>
      <c r="B3837" s="241" t="s">
        <v>1673</v>
      </c>
      <c r="C3837" s="44" t="s">
        <v>2021</v>
      </c>
      <c r="D3837" s="136" t="s">
        <v>411</v>
      </c>
      <c r="E3837" s="114">
        <v>0.6</v>
      </c>
      <c r="F3837" s="23">
        <f>VLOOKUP(B3837,'BASE DE DATOS'!$A$5:$E$997,5,FALSE)</f>
        <v>64270</v>
      </c>
      <c r="G3837" s="104">
        <v>0</v>
      </c>
      <c r="H3837" s="252">
        <f t="shared" si="321"/>
        <v>38562</v>
      </c>
    </row>
    <row r="3838" spans="1:9" ht="14.25" x14ac:dyDescent="0.2">
      <c r="A3838" s="948" t="s">
        <v>3252</v>
      </c>
      <c r="B3838" s="241" t="s">
        <v>799</v>
      </c>
      <c r="C3838" s="3" t="s">
        <v>2089</v>
      </c>
      <c r="D3838" s="2" t="s">
        <v>285</v>
      </c>
      <c r="E3838" s="114">
        <v>1.7999999999999999E-2</v>
      </c>
      <c r="F3838" s="23">
        <f>F34</f>
        <v>482282</v>
      </c>
      <c r="G3838" s="104">
        <v>1.05</v>
      </c>
      <c r="H3838" s="252">
        <f>IF(G3838&gt;0,(G3838*F3838*E3838),(F3838*E3838))</f>
        <v>9115.1298000000006</v>
      </c>
    </row>
    <row r="3839" spans="1:9" ht="14.25" x14ac:dyDescent="0.2">
      <c r="A3839" s="948"/>
      <c r="B3839" s="244" t="s">
        <v>806</v>
      </c>
      <c r="C3839" s="3" t="s">
        <v>2091</v>
      </c>
      <c r="D3839" s="2" t="s">
        <v>285</v>
      </c>
      <c r="E3839" s="114">
        <v>0.06</v>
      </c>
      <c r="F3839" s="23">
        <f>F70</f>
        <v>475537</v>
      </c>
      <c r="G3839" s="104">
        <v>1.05</v>
      </c>
      <c r="H3839" s="252">
        <f>IF(G3839&gt;0,(G3839*F3839*E3839),(F3839*E3839))</f>
        <v>29958.831000000002</v>
      </c>
    </row>
    <row r="3840" spans="1:9" ht="26.25" customHeight="1" x14ac:dyDescent="0.2">
      <c r="A3840" s="948"/>
      <c r="B3840" s="244" t="s">
        <v>855</v>
      </c>
      <c r="C3840" s="11" t="s">
        <v>3550</v>
      </c>
      <c r="D3840" s="2" t="s">
        <v>405</v>
      </c>
      <c r="E3840" s="114">
        <v>1</v>
      </c>
      <c r="F3840" s="23">
        <f>F1040</f>
        <v>120453</v>
      </c>
      <c r="G3840" s="104">
        <v>0</v>
      </c>
      <c r="H3840" s="252">
        <f>IF(G3840&gt;0,(G3840*F3840*E3840),(F3840*E3840))</f>
        <v>120453</v>
      </c>
    </row>
    <row r="3841" spans="1:9" ht="14.25" x14ac:dyDescent="0.2">
      <c r="A3841" s="948"/>
      <c r="B3841" s="244" t="s">
        <v>766</v>
      </c>
      <c r="C3841" s="20" t="s">
        <v>133</v>
      </c>
      <c r="D3841" s="2" t="s">
        <v>285</v>
      </c>
      <c r="E3841" s="114">
        <v>0.06</v>
      </c>
      <c r="F3841" s="23">
        <f>F472</f>
        <v>43205</v>
      </c>
      <c r="G3841" s="104">
        <v>0</v>
      </c>
      <c r="H3841" s="252">
        <f t="shared" si="321"/>
        <v>2592.2999999999997</v>
      </c>
    </row>
    <row r="3842" spans="1:9" ht="14.25" x14ac:dyDescent="0.2">
      <c r="A3842" s="948"/>
      <c r="B3842" s="244" t="s">
        <v>874</v>
      </c>
      <c r="C3842" s="11" t="s">
        <v>502</v>
      </c>
      <c r="D3842" s="2" t="s">
        <v>288</v>
      </c>
      <c r="E3842" s="114">
        <v>0.5</v>
      </c>
      <c r="F3842" s="23">
        <f>F1244</f>
        <v>149364</v>
      </c>
      <c r="G3842" s="104">
        <v>0</v>
      </c>
      <c r="H3842" s="252">
        <f>IF(G3842&gt;0,(G3842*F3842*E3842),(F3842*E3842))</f>
        <v>74682</v>
      </c>
    </row>
    <row r="3843" spans="1:9" ht="14.25" x14ac:dyDescent="0.2">
      <c r="A3843" s="948"/>
      <c r="B3843" s="244" t="s">
        <v>904</v>
      </c>
      <c r="C3843" s="3" t="s">
        <v>38</v>
      </c>
      <c r="D3843" s="2" t="s">
        <v>288</v>
      </c>
      <c r="E3843" s="114">
        <v>1</v>
      </c>
      <c r="F3843" s="23">
        <f>F2050</f>
        <v>25400</v>
      </c>
      <c r="G3843" s="104">
        <v>0</v>
      </c>
      <c r="H3843" s="252">
        <f t="shared" si="321"/>
        <v>25400</v>
      </c>
    </row>
    <row r="3844" spans="1:9" x14ac:dyDescent="0.2">
      <c r="A3844" s="81" t="s">
        <v>2555</v>
      </c>
      <c r="B3844" s="241" t="s">
        <v>587</v>
      </c>
      <c r="C3844" s="3" t="s">
        <v>588</v>
      </c>
      <c r="D3844" s="2" t="s">
        <v>585</v>
      </c>
      <c r="E3844" s="114">
        <v>1</v>
      </c>
      <c r="F3844" s="23">
        <f>VLOOKUP(B3844,'BASE DE DATOS'!$A$5:$E$997,5,FALSE)</f>
        <v>514339</v>
      </c>
      <c r="G3844" s="104">
        <f>1/6</f>
        <v>0.16666666666666666</v>
      </c>
      <c r="H3844" s="252">
        <f t="shared" si="321"/>
        <v>85723.166666666657</v>
      </c>
    </row>
    <row r="3845" spans="1:9" x14ac:dyDescent="0.2">
      <c r="A3845" s="954" t="s">
        <v>293</v>
      </c>
      <c r="B3845" s="241" t="s">
        <v>598</v>
      </c>
      <c r="C3845" s="3" t="s">
        <v>3362</v>
      </c>
      <c r="D3845" s="2" t="s">
        <v>586</v>
      </c>
      <c r="E3845" s="114">
        <v>0.05</v>
      </c>
      <c r="F3845" s="23">
        <f>H3844</f>
        <v>85723.166666666657</v>
      </c>
      <c r="G3845" s="104">
        <v>0</v>
      </c>
      <c r="H3845" s="252">
        <f>IF(G3845&gt;0,(G3845*F3845*E3845),(F3845*E3845))</f>
        <v>4286.1583333333328</v>
      </c>
    </row>
    <row r="3846" spans="1:9" x14ac:dyDescent="0.2">
      <c r="A3846" s="954"/>
      <c r="B3846" s="241" t="s">
        <v>254</v>
      </c>
      <c r="C3846" s="599" t="s">
        <v>341</v>
      </c>
      <c r="D3846" s="288" t="s">
        <v>585</v>
      </c>
      <c r="E3846" s="114">
        <v>1</v>
      </c>
      <c r="F3846" s="220">
        <f>VLOOKUP(B3846,'BASE DE DATOS'!$A$5:$E$997,5,FALSE)</f>
        <v>48000</v>
      </c>
      <c r="G3846" s="187">
        <f>1/35</f>
        <v>2.8571428571428571E-2</v>
      </c>
      <c r="H3846" s="252">
        <f>IF(G3846&gt;0,(G3846*F3846*E3846),(F3846*E3846))</f>
        <v>1371.4285714285713</v>
      </c>
    </row>
    <row r="3847" spans="1:9" ht="13.5" thickBot="1" x14ac:dyDescent="0.25">
      <c r="A3847" s="955"/>
      <c r="B3847" s="528" t="s">
        <v>269</v>
      </c>
      <c r="C3847" s="88" t="s">
        <v>284</v>
      </c>
      <c r="D3847" s="89" t="s">
        <v>586</v>
      </c>
      <c r="E3847" s="193">
        <v>0.1</v>
      </c>
      <c r="F3847" s="90">
        <f>H3844</f>
        <v>85723.166666666657</v>
      </c>
      <c r="G3847" s="153">
        <v>0</v>
      </c>
      <c r="H3847" s="255">
        <f t="shared" si="321"/>
        <v>8572.3166666666657</v>
      </c>
    </row>
    <row r="3848" spans="1:9" s="42" customFormat="1" ht="60" x14ac:dyDescent="0.2">
      <c r="A3848" s="458" t="s">
        <v>1057</v>
      </c>
      <c r="B3848" s="529"/>
      <c r="C3848" s="388" t="s">
        <v>3517</v>
      </c>
      <c r="D3848" s="389" t="s">
        <v>405</v>
      </c>
      <c r="E3848" s="395"/>
      <c r="F3848" s="391">
        <f>ROUND(SUM(H3848:H3863),0)</f>
        <v>406056</v>
      </c>
      <c r="G3848" s="392"/>
      <c r="H3848" s="393"/>
      <c r="I3848" s="738"/>
    </row>
    <row r="3849" spans="1:9" ht="13.15" customHeight="1" x14ac:dyDescent="0.2">
      <c r="A3849" s="939" t="s">
        <v>295</v>
      </c>
      <c r="B3849" s="241" t="s">
        <v>1280</v>
      </c>
      <c r="C3849" s="44" t="s">
        <v>335</v>
      </c>
      <c r="D3849" s="136" t="s">
        <v>405</v>
      </c>
      <c r="E3849" s="114">
        <v>3</v>
      </c>
      <c r="F3849" s="23">
        <f>VLOOKUP(B3849,'BASE DE DATOS'!$A$5:$E$997,5,FALSE)</f>
        <v>584</v>
      </c>
      <c r="G3849" s="104">
        <v>0</v>
      </c>
      <c r="H3849" s="252">
        <f t="shared" si="321"/>
        <v>1752</v>
      </c>
    </row>
    <row r="3850" spans="1:9" x14ac:dyDescent="0.2">
      <c r="A3850" s="939"/>
      <c r="B3850" s="241" t="s">
        <v>1281</v>
      </c>
      <c r="C3850" s="3" t="s">
        <v>633</v>
      </c>
      <c r="D3850" s="2" t="s">
        <v>406</v>
      </c>
      <c r="E3850" s="114">
        <v>0.3</v>
      </c>
      <c r="F3850" s="23">
        <f>VLOOKUP(B3850,'BASE DE DATOS'!$A$5:$E$997,5,FALSE)</f>
        <v>11400</v>
      </c>
      <c r="G3850" s="104">
        <v>0</v>
      </c>
      <c r="H3850" s="252">
        <f>IF(G3850&gt;0,(G3850*F3850*E3850),(F3850*E3850))</f>
        <v>3420</v>
      </c>
    </row>
    <row r="3851" spans="1:9" ht="27" x14ac:dyDescent="0.2">
      <c r="A3851" s="939"/>
      <c r="B3851" s="241" t="s">
        <v>1478</v>
      </c>
      <c r="C3851" s="3" t="s">
        <v>3697</v>
      </c>
      <c r="D3851" s="2" t="s">
        <v>288</v>
      </c>
      <c r="E3851" s="114">
        <v>2.1</v>
      </c>
      <c r="F3851" s="23">
        <f>VLOOKUP(B3851,'BASE DE DATOS'!$A$5:$E$997,5,FALSE)</f>
        <v>17717</v>
      </c>
      <c r="G3851" s="104">
        <v>1.05</v>
      </c>
      <c r="H3851" s="252">
        <f>IF(G3851&gt;0,(G3851*F3851*E3851),(F3851*E3851))</f>
        <v>39065.985000000008</v>
      </c>
    </row>
    <row r="3852" spans="1:9" x14ac:dyDescent="0.2">
      <c r="A3852" s="939"/>
      <c r="B3852" s="241" t="s">
        <v>1551</v>
      </c>
      <c r="C3852" s="3" t="s">
        <v>172</v>
      </c>
      <c r="D3852" s="2" t="s">
        <v>411</v>
      </c>
      <c r="E3852" s="114">
        <v>0.6</v>
      </c>
      <c r="F3852" s="23">
        <f>VLOOKUP(B3852,'BASE DE DATOS'!$A$5:$E$997,5,FALSE)</f>
        <v>59980</v>
      </c>
      <c r="G3852" s="104">
        <v>0</v>
      </c>
      <c r="H3852" s="252">
        <f t="shared" si="321"/>
        <v>35988</v>
      </c>
    </row>
    <row r="3853" spans="1:9" x14ac:dyDescent="0.2">
      <c r="A3853" s="939"/>
      <c r="B3853" s="241" t="s">
        <v>1788</v>
      </c>
      <c r="C3853" s="3" t="s">
        <v>174</v>
      </c>
      <c r="D3853" s="2" t="s">
        <v>406</v>
      </c>
      <c r="E3853" s="114">
        <v>0.15</v>
      </c>
      <c r="F3853" s="23">
        <f>VLOOKUP(B3853,'BASE DE DATOS'!$A$5:$E$997,5,FALSE)</f>
        <v>15580</v>
      </c>
      <c r="G3853" s="104">
        <v>1.03</v>
      </c>
      <c r="H3853" s="252">
        <f t="shared" si="321"/>
        <v>2407.1099999999997</v>
      </c>
    </row>
    <row r="3854" spans="1:9" ht="14.25" x14ac:dyDescent="0.2">
      <c r="A3854" s="948" t="s">
        <v>3252</v>
      </c>
      <c r="B3854" s="241" t="s">
        <v>799</v>
      </c>
      <c r="C3854" s="3" t="s">
        <v>2089</v>
      </c>
      <c r="D3854" s="2" t="s">
        <v>285</v>
      </c>
      <c r="E3854" s="114">
        <v>0.03</v>
      </c>
      <c r="F3854" s="23">
        <f>F34</f>
        <v>482282</v>
      </c>
      <c r="G3854" s="104">
        <v>1.05</v>
      </c>
      <c r="H3854" s="252">
        <f t="shared" ref="H3854:H3859" si="322">IF(G3854&gt;0,(G3854*F3854*E3854),(F3854*E3854))</f>
        <v>15191.883</v>
      </c>
    </row>
    <row r="3855" spans="1:9" ht="14.25" x14ac:dyDescent="0.2">
      <c r="A3855" s="948"/>
      <c r="B3855" s="241" t="s">
        <v>806</v>
      </c>
      <c r="C3855" s="3" t="s">
        <v>2091</v>
      </c>
      <c r="D3855" s="2" t="s">
        <v>285</v>
      </c>
      <c r="E3855" s="114">
        <v>0.06</v>
      </c>
      <c r="F3855" s="23">
        <f>F70</f>
        <v>475537</v>
      </c>
      <c r="G3855" s="104">
        <v>1.05</v>
      </c>
      <c r="H3855" s="252">
        <f t="shared" si="322"/>
        <v>29958.831000000002</v>
      </c>
    </row>
    <row r="3856" spans="1:9" ht="14.25" x14ac:dyDescent="0.2">
      <c r="A3856" s="948"/>
      <c r="B3856" s="241" t="s">
        <v>810</v>
      </c>
      <c r="C3856" s="3" t="s">
        <v>2097</v>
      </c>
      <c r="D3856" s="2" t="s">
        <v>285</v>
      </c>
      <c r="E3856" s="114">
        <v>1.7999999999999999E-2</v>
      </c>
      <c r="F3856" s="23">
        <f>F90</f>
        <v>525897</v>
      </c>
      <c r="G3856" s="104">
        <v>1.05</v>
      </c>
      <c r="H3856" s="252">
        <f t="shared" si="322"/>
        <v>9939.4532999999992</v>
      </c>
    </row>
    <row r="3857" spans="1:9" ht="14.25" x14ac:dyDescent="0.2">
      <c r="A3857" s="948"/>
      <c r="B3857" s="241" t="s">
        <v>766</v>
      </c>
      <c r="C3857" s="3" t="s">
        <v>133</v>
      </c>
      <c r="D3857" s="2" t="s">
        <v>285</v>
      </c>
      <c r="E3857" s="114">
        <v>6.3E-2</v>
      </c>
      <c r="F3857" s="23">
        <f>F472</f>
        <v>43205</v>
      </c>
      <c r="G3857" s="104">
        <v>0</v>
      </c>
      <c r="H3857" s="252">
        <f t="shared" si="322"/>
        <v>2721.915</v>
      </c>
    </row>
    <row r="3858" spans="1:9" ht="14.25" x14ac:dyDescent="0.2">
      <c r="A3858" s="948"/>
      <c r="B3858" s="241" t="s">
        <v>874</v>
      </c>
      <c r="C3858" s="11" t="s">
        <v>79</v>
      </c>
      <c r="D3858" s="2" t="s">
        <v>288</v>
      </c>
      <c r="E3858" s="202">
        <v>0.5</v>
      </c>
      <c r="F3858" s="23">
        <f>F1244</f>
        <v>149364</v>
      </c>
      <c r="G3858" s="104">
        <v>0</v>
      </c>
      <c r="H3858" s="252">
        <f t="shared" si="322"/>
        <v>74682</v>
      </c>
    </row>
    <row r="3859" spans="1:9" x14ac:dyDescent="0.2">
      <c r="A3859" s="948"/>
      <c r="B3859" s="244" t="s">
        <v>894</v>
      </c>
      <c r="C3859" s="3" t="s">
        <v>16</v>
      </c>
      <c r="D3859" s="2" t="s">
        <v>405</v>
      </c>
      <c r="E3859" s="114">
        <v>0.8</v>
      </c>
      <c r="F3859" s="23">
        <f>F1411</f>
        <v>89074</v>
      </c>
      <c r="G3859" s="104">
        <v>0</v>
      </c>
      <c r="H3859" s="252">
        <f t="shared" si="322"/>
        <v>71259.199999999997</v>
      </c>
    </row>
    <row r="3860" spans="1:9" x14ac:dyDescent="0.2">
      <c r="A3860" s="81" t="s">
        <v>2555</v>
      </c>
      <c r="B3860" s="241" t="s">
        <v>587</v>
      </c>
      <c r="C3860" s="3" t="s">
        <v>588</v>
      </c>
      <c r="D3860" s="2" t="s">
        <v>585</v>
      </c>
      <c r="E3860" s="114">
        <v>1</v>
      </c>
      <c r="F3860" s="23">
        <f>VLOOKUP(B3860,'BASE DE DATOS'!$A$5:$E$997,5,FALSE)</f>
        <v>514339</v>
      </c>
      <c r="G3860" s="104">
        <f>1/5</f>
        <v>0.2</v>
      </c>
      <c r="H3860" s="252">
        <f t="shared" si="321"/>
        <v>102867.8</v>
      </c>
    </row>
    <row r="3861" spans="1:9" x14ac:dyDescent="0.2">
      <c r="A3861" s="954" t="s">
        <v>293</v>
      </c>
      <c r="B3861" s="241" t="s">
        <v>598</v>
      </c>
      <c r="C3861" s="3" t="s">
        <v>3362</v>
      </c>
      <c r="D3861" s="2" t="s">
        <v>586</v>
      </c>
      <c r="E3861" s="114">
        <v>0.05</v>
      </c>
      <c r="F3861" s="23">
        <f>H3860</f>
        <v>102867.8</v>
      </c>
      <c r="G3861" s="104">
        <v>0</v>
      </c>
      <c r="H3861" s="252">
        <f>IF(G3861&gt;0,(G3861*F3861*E3861),(F3861*E3861))</f>
        <v>5143.3900000000003</v>
      </c>
    </row>
    <row r="3862" spans="1:9" x14ac:dyDescent="0.2">
      <c r="A3862" s="954"/>
      <c r="B3862" s="241" t="s">
        <v>254</v>
      </c>
      <c r="C3862" s="599" t="s">
        <v>341</v>
      </c>
      <c r="D3862" s="288" t="s">
        <v>585</v>
      </c>
      <c r="E3862" s="114">
        <v>1</v>
      </c>
      <c r="F3862" s="220">
        <f>VLOOKUP(B3862,'BASE DE DATOS'!$A$5:$E$997,5,FALSE)</f>
        <v>48000</v>
      </c>
      <c r="G3862" s="187">
        <f>1/35</f>
        <v>2.8571428571428571E-2</v>
      </c>
      <c r="H3862" s="252">
        <f>IF(G3862&gt;0,(G3862*F3862*E3862),(F3862*E3862))</f>
        <v>1371.4285714285713</v>
      </c>
    </row>
    <row r="3863" spans="1:9" ht="13.5" thickBot="1" x14ac:dyDescent="0.25">
      <c r="A3863" s="955"/>
      <c r="B3863" s="528" t="s">
        <v>269</v>
      </c>
      <c r="C3863" s="88" t="s">
        <v>284</v>
      </c>
      <c r="D3863" s="89" t="s">
        <v>586</v>
      </c>
      <c r="E3863" s="193">
        <v>0.1</v>
      </c>
      <c r="F3863" s="90">
        <f>H3860</f>
        <v>102867.8</v>
      </c>
      <c r="G3863" s="153">
        <v>0</v>
      </c>
      <c r="H3863" s="255">
        <f t="shared" si="321"/>
        <v>10286.780000000001</v>
      </c>
    </row>
    <row r="3864" spans="1:9" s="42" customFormat="1" ht="45" x14ac:dyDescent="0.2">
      <c r="A3864" s="458" t="s">
        <v>1058</v>
      </c>
      <c r="B3864" s="529"/>
      <c r="C3864" s="388" t="s">
        <v>3521</v>
      </c>
      <c r="D3864" s="389" t="s">
        <v>405</v>
      </c>
      <c r="E3864" s="395"/>
      <c r="F3864" s="391">
        <f>ROUND(SUM(H3864:H3871),0)</f>
        <v>90407</v>
      </c>
      <c r="G3864" s="392"/>
      <c r="H3864" s="393"/>
      <c r="I3864" s="738"/>
    </row>
    <row r="3865" spans="1:9" x14ac:dyDescent="0.2">
      <c r="A3865" s="936" t="s">
        <v>382</v>
      </c>
      <c r="B3865" s="241" t="s">
        <v>1280</v>
      </c>
      <c r="C3865" s="44" t="s">
        <v>335</v>
      </c>
      <c r="D3865" s="136" t="s">
        <v>405</v>
      </c>
      <c r="E3865" s="196">
        <v>5</v>
      </c>
      <c r="F3865" s="23">
        <f>VLOOKUP(B3865,'BASE DE DATOS'!$A$5:$E$997,5,FALSE)</f>
        <v>584</v>
      </c>
      <c r="G3865" s="104">
        <v>0</v>
      </c>
      <c r="H3865" s="252">
        <f t="shared" si="321"/>
        <v>2920</v>
      </c>
    </row>
    <row r="3866" spans="1:9" x14ac:dyDescent="0.2">
      <c r="A3866" s="936"/>
      <c r="B3866" s="241" t="s">
        <v>1281</v>
      </c>
      <c r="C3866" s="3" t="s">
        <v>633</v>
      </c>
      <c r="D3866" s="2" t="s">
        <v>406</v>
      </c>
      <c r="E3866" s="114">
        <v>0.1</v>
      </c>
      <c r="F3866" s="23">
        <f>VLOOKUP(B3866,'BASE DE DATOS'!$A$5:$E$997,5,FALSE)</f>
        <v>11400</v>
      </c>
      <c r="G3866" s="104">
        <v>0</v>
      </c>
      <c r="H3866" s="252">
        <f>IF(G3866&gt;0,(G3866*F3866*E3866),(F3866*E3866))</f>
        <v>1140</v>
      </c>
    </row>
    <row r="3867" spans="1:9" x14ac:dyDescent="0.2">
      <c r="A3867" s="936"/>
      <c r="B3867" s="241" t="s">
        <v>1551</v>
      </c>
      <c r="C3867" s="3" t="s">
        <v>172</v>
      </c>
      <c r="D3867" s="2" t="s">
        <v>411</v>
      </c>
      <c r="E3867" s="114">
        <v>0.6</v>
      </c>
      <c r="F3867" s="23">
        <f>VLOOKUP(B3867,'BASE DE DATOS'!$A$5:$E$997,5,FALSE)</f>
        <v>59980</v>
      </c>
      <c r="G3867" s="104">
        <v>0</v>
      </c>
      <c r="H3867" s="252">
        <f t="shared" si="321"/>
        <v>35988</v>
      </c>
    </row>
    <row r="3868" spans="1:9" ht="14.25" x14ac:dyDescent="0.2">
      <c r="A3868" s="953" t="s">
        <v>3252</v>
      </c>
      <c r="B3868" s="241" t="s">
        <v>799</v>
      </c>
      <c r="C3868" s="3" t="s">
        <v>2089</v>
      </c>
      <c r="D3868" s="2" t="s">
        <v>285</v>
      </c>
      <c r="E3868" s="114">
        <v>2.3E-2</v>
      </c>
      <c r="F3868" s="23">
        <f>F34</f>
        <v>482282</v>
      </c>
      <c r="G3868" s="104">
        <v>1.05</v>
      </c>
      <c r="H3868" s="252">
        <f>IF(G3868&gt;0,(G3868*F3868*E3868),(F3868*E3868))</f>
        <v>11647.1103</v>
      </c>
    </row>
    <row r="3869" spans="1:9" ht="14.25" x14ac:dyDescent="0.2">
      <c r="A3869" s="953"/>
      <c r="B3869" s="241" t="s">
        <v>766</v>
      </c>
      <c r="C3869" s="3" t="s">
        <v>133</v>
      </c>
      <c r="D3869" s="2" t="s">
        <v>285</v>
      </c>
      <c r="E3869" s="114">
        <v>2.3E-2</v>
      </c>
      <c r="F3869" s="23">
        <f>F472</f>
        <v>43205</v>
      </c>
      <c r="G3869" s="104">
        <v>0</v>
      </c>
      <c r="H3869" s="252">
        <f t="shared" si="321"/>
        <v>993.71500000000003</v>
      </c>
    </row>
    <row r="3870" spans="1:9" x14ac:dyDescent="0.2">
      <c r="A3870" s="81" t="s">
        <v>2555</v>
      </c>
      <c r="B3870" s="241" t="s">
        <v>587</v>
      </c>
      <c r="C3870" s="3" t="s">
        <v>588</v>
      </c>
      <c r="D3870" s="2" t="s">
        <v>585</v>
      </c>
      <c r="E3870" s="114">
        <v>1</v>
      </c>
      <c r="F3870" s="23">
        <f>VLOOKUP(B3870,'BASE DE DATOS'!$A$5:$E$997,5,FALSE)</f>
        <v>514339</v>
      </c>
      <c r="G3870" s="104">
        <f>1/15</f>
        <v>6.6666666666666666E-2</v>
      </c>
      <c r="H3870" s="252">
        <f t="shared" si="321"/>
        <v>34289.266666666663</v>
      </c>
    </row>
    <row r="3871" spans="1:9" ht="13.5" thickBot="1" x14ac:dyDescent="0.25">
      <c r="A3871" s="85" t="s">
        <v>293</v>
      </c>
      <c r="B3871" s="530" t="s">
        <v>269</v>
      </c>
      <c r="C3871" s="88" t="s">
        <v>284</v>
      </c>
      <c r="D3871" s="89" t="s">
        <v>586</v>
      </c>
      <c r="E3871" s="193">
        <v>0.1</v>
      </c>
      <c r="F3871" s="90">
        <f>H3870</f>
        <v>34289.266666666663</v>
      </c>
      <c r="G3871" s="153">
        <v>0</v>
      </c>
      <c r="H3871" s="479">
        <f t="shared" si="321"/>
        <v>3428.9266666666663</v>
      </c>
    </row>
    <row r="3872" spans="1:9" s="42" customFormat="1" ht="45" x14ac:dyDescent="0.2">
      <c r="A3872" s="458" t="s">
        <v>1059</v>
      </c>
      <c r="B3872" s="529"/>
      <c r="C3872" s="388" t="s">
        <v>2022</v>
      </c>
      <c r="D3872" s="389" t="s">
        <v>405</v>
      </c>
      <c r="E3872" s="395"/>
      <c r="F3872" s="391">
        <f>ROUND(SUM(H3872:H3880),0)</f>
        <v>128875</v>
      </c>
      <c r="G3872" s="392"/>
      <c r="H3872" s="393"/>
      <c r="I3872" s="738"/>
    </row>
    <row r="3873" spans="1:9" x14ac:dyDescent="0.2">
      <c r="A3873" s="939" t="s">
        <v>295</v>
      </c>
      <c r="B3873" s="241" t="s">
        <v>1280</v>
      </c>
      <c r="C3873" s="44" t="s">
        <v>335</v>
      </c>
      <c r="D3873" s="136" t="s">
        <v>405</v>
      </c>
      <c r="E3873" s="114">
        <v>3</v>
      </c>
      <c r="F3873" s="23">
        <f>VLOOKUP(B3873,'BASE DE DATOS'!$A$5:$E$997,5,FALSE)</f>
        <v>584</v>
      </c>
      <c r="G3873" s="104">
        <v>0</v>
      </c>
      <c r="H3873" s="252">
        <f t="shared" si="321"/>
        <v>1752</v>
      </c>
    </row>
    <row r="3874" spans="1:9" x14ac:dyDescent="0.2">
      <c r="A3874" s="939"/>
      <c r="B3874" s="241" t="s">
        <v>1281</v>
      </c>
      <c r="C3874" s="3" t="s">
        <v>633</v>
      </c>
      <c r="D3874" s="2" t="s">
        <v>406</v>
      </c>
      <c r="E3874" s="114">
        <v>0.15</v>
      </c>
      <c r="F3874" s="23">
        <f>VLOOKUP(B3874,'BASE DE DATOS'!$A$5:$E$997,5,FALSE)</f>
        <v>11400</v>
      </c>
      <c r="G3874" s="104">
        <v>0</v>
      </c>
      <c r="H3874" s="252">
        <f>IF(G3874&gt;0,(G3874*F3874*E3874),(F3874*E3874))</f>
        <v>1710</v>
      </c>
    </row>
    <row r="3875" spans="1:9" ht="27" x14ac:dyDescent="0.2">
      <c r="A3875" s="939"/>
      <c r="B3875" s="241" t="s">
        <v>1478</v>
      </c>
      <c r="C3875" s="3" t="s">
        <v>3697</v>
      </c>
      <c r="D3875" s="2" t="s">
        <v>288</v>
      </c>
      <c r="E3875" s="114">
        <v>2.1</v>
      </c>
      <c r="F3875" s="23">
        <f>VLOOKUP(B3875,'BASE DE DATOS'!$A$5:$E$997,5,FALSE)</f>
        <v>17717</v>
      </c>
      <c r="G3875" s="104">
        <v>1.05</v>
      </c>
      <c r="H3875" s="252">
        <f>IF(G3875&gt;0,(G3875*F3875*E3875),(F3875*E3875))</f>
        <v>39065.985000000008</v>
      </c>
    </row>
    <row r="3876" spans="1:9" x14ac:dyDescent="0.2">
      <c r="A3876" s="939"/>
      <c r="B3876" s="241" t="s">
        <v>1551</v>
      </c>
      <c r="C3876" s="3" t="s">
        <v>172</v>
      </c>
      <c r="D3876" s="2" t="s">
        <v>411</v>
      </c>
      <c r="E3876" s="114">
        <v>0.6</v>
      </c>
      <c r="F3876" s="23">
        <f>VLOOKUP(B3876,'BASE DE DATOS'!$A$5:$E$997,5,FALSE)</f>
        <v>59980</v>
      </c>
      <c r="G3876" s="104">
        <v>0</v>
      </c>
      <c r="H3876" s="252">
        <f t="shared" si="321"/>
        <v>35988</v>
      </c>
    </row>
    <row r="3877" spans="1:9" ht="14.25" x14ac:dyDescent="0.2">
      <c r="A3877" s="953" t="s">
        <v>3252</v>
      </c>
      <c r="B3877" s="241" t="s">
        <v>799</v>
      </c>
      <c r="C3877" s="3" t="s">
        <v>2089</v>
      </c>
      <c r="D3877" s="2" t="s">
        <v>285</v>
      </c>
      <c r="E3877" s="114">
        <v>2.3E-2</v>
      </c>
      <c r="F3877" s="23">
        <f>F34</f>
        <v>482282</v>
      </c>
      <c r="G3877" s="104">
        <v>1.05</v>
      </c>
      <c r="H3877" s="252">
        <f t="shared" si="321"/>
        <v>11647.1103</v>
      </c>
    </row>
    <row r="3878" spans="1:9" ht="14.25" x14ac:dyDescent="0.2">
      <c r="A3878" s="953"/>
      <c r="B3878" s="241" t="s">
        <v>766</v>
      </c>
      <c r="C3878" s="3" t="s">
        <v>133</v>
      </c>
      <c r="D3878" s="2" t="s">
        <v>285</v>
      </c>
      <c r="E3878" s="114">
        <v>2.3E-2</v>
      </c>
      <c r="F3878" s="23">
        <f>F472</f>
        <v>43205</v>
      </c>
      <c r="G3878" s="104">
        <v>0</v>
      </c>
      <c r="H3878" s="252">
        <f>IF(G3878&gt;0,(G3878*F3878*E3878),(F3878*E3878))</f>
        <v>993.71500000000003</v>
      </c>
    </row>
    <row r="3879" spans="1:9" x14ac:dyDescent="0.2">
      <c r="A3879" s="81" t="s">
        <v>2555</v>
      </c>
      <c r="B3879" s="244" t="s">
        <v>587</v>
      </c>
      <c r="C3879" s="20" t="s">
        <v>588</v>
      </c>
      <c r="D3879" s="19" t="s">
        <v>585</v>
      </c>
      <c r="E3879" s="194">
        <v>1</v>
      </c>
      <c r="F3879" s="23">
        <f>VLOOKUP(B3879,'BASE DE DATOS'!$A$5:$E$997,5,FALSE)</f>
        <v>514339</v>
      </c>
      <c r="G3879" s="58">
        <f>1/15</f>
        <v>6.6666666666666666E-2</v>
      </c>
      <c r="H3879" s="252">
        <f t="shared" si="321"/>
        <v>34289.266666666663</v>
      </c>
    </row>
    <row r="3880" spans="1:9" ht="13.5" thickBot="1" x14ac:dyDescent="0.25">
      <c r="A3880" s="85" t="s">
        <v>293</v>
      </c>
      <c r="B3880" s="530" t="s">
        <v>269</v>
      </c>
      <c r="C3880" s="88" t="s">
        <v>284</v>
      </c>
      <c r="D3880" s="89" t="s">
        <v>586</v>
      </c>
      <c r="E3880" s="193">
        <v>0.1</v>
      </c>
      <c r="F3880" s="90">
        <f>H3879</f>
        <v>34289.266666666663</v>
      </c>
      <c r="G3880" s="153">
        <v>0</v>
      </c>
      <c r="H3880" s="479">
        <f t="shared" si="321"/>
        <v>3428.9266666666663</v>
      </c>
    </row>
    <row r="3881" spans="1:9" s="42" customFormat="1" ht="90" x14ac:dyDescent="0.2">
      <c r="A3881" s="458" t="s">
        <v>1060</v>
      </c>
      <c r="B3881" s="526"/>
      <c r="C3881" s="399" t="s">
        <v>3522</v>
      </c>
      <c r="D3881" s="326" t="s">
        <v>405</v>
      </c>
      <c r="E3881" s="400"/>
      <c r="F3881" s="401">
        <f>ROUND(SUM(H3881:H3897),0)</f>
        <v>668454</v>
      </c>
      <c r="G3881" s="402"/>
      <c r="H3881" s="330"/>
      <c r="I3881" s="738"/>
    </row>
    <row r="3882" spans="1:9" x14ac:dyDescent="0.2">
      <c r="A3882" s="939" t="s">
        <v>295</v>
      </c>
      <c r="B3882" s="241" t="s">
        <v>1281</v>
      </c>
      <c r="C3882" s="3" t="s">
        <v>633</v>
      </c>
      <c r="D3882" s="2" t="s">
        <v>406</v>
      </c>
      <c r="E3882" s="114">
        <v>0.2</v>
      </c>
      <c r="F3882" s="23">
        <f>VLOOKUP(B3882,'BASE DE DATOS'!$A$5:$E$997,5,FALSE)</f>
        <v>11400</v>
      </c>
      <c r="G3882" s="104">
        <v>1.01</v>
      </c>
      <c r="H3882" s="252">
        <f>IF(G3882&gt;0,(G3882*F3882*E3882),(F3882*E3882))</f>
        <v>2302.8000000000002</v>
      </c>
    </row>
    <row r="3883" spans="1:9" s="1" customFormat="1" ht="28.9" customHeight="1" x14ac:dyDescent="0.2">
      <c r="A3883" s="939"/>
      <c r="B3883" s="241" t="s">
        <v>1478</v>
      </c>
      <c r="C3883" s="26" t="s">
        <v>3697</v>
      </c>
      <c r="D3883" s="2" t="s">
        <v>288</v>
      </c>
      <c r="E3883" s="114">
        <v>2</v>
      </c>
      <c r="F3883" s="23">
        <f>VLOOKUP(B3883,'BASE DE DATOS'!$A$5:$E$997,5,FALSE)</f>
        <v>17717</v>
      </c>
      <c r="G3883" s="104">
        <v>0</v>
      </c>
      <c r="H3883" s="252">
        <f t="shared" ref="H3883:H3915" si="323">IF(G3883&gt;0,(G3883*F3883*E3883),(F3883*E3883))</f>
        <v>35434</v>
      </c>
      <c r="I3883" s="746"/>
    </row>
    <row r="3884" spans="1:9" ht="25.5" x14ac:dyDescent="0.2">
      <c r="A3884" s="939"/>
      <c r="B3884" s="241" t="s">
        <v>1526</v>
      </c>
      <c r="C3884" s="3" t="s">
        <v>3940</v>
      </c>
      <c r="D3884" s="136" t="s">
        <v>406</v>
      </c>
      <c r="E3884" s="114">
        <f>0.3*1.2</f>
        <v>0.36</v>
      </c>
      <c r="F3884" s="23">
        <f>VLOOKUP(B3884,'BASE DE DATOS'!$A$5:$E$997,5,FALSE)</f>
        <v>35994</v>
      </c>
      <c r="G3884" s="104">
        <v>1.03</v>
      </c>
      <c r="H3884" s="252">
        <f>IF(G3884&gt;0,(G3884*F3884*E3884),(F3884*E3884))</f>
        <v>13346.575199999999</v>
      </c>
    </row>
    <row r="3885" spans="1:9" x14ac:dyDescent="0.2">
      <c r="A3885" s="939"/>
      <c r="B3885" s="241" t="s">
        <v>1788</v>
      </c>
      <c r="C3885" s="3" t="s">
        <v>174</v>
      </c>
      <c r="D3885" s="2" t="s">
        <v>406</v>
      </c>
      <c r="E3885" s="114">
        <v>0.08</v>
      </c>
      <c r="F3885" s="23">
        <f>VLOOKUP(B3885,'BASE DE DATOS'!$A$5:$E$997,5,FALSE)</f>
        <v>15580</v>
      </c>
      <c r="G3885" s="104">
        <v>0</v>
      </c>
      <c r="H3885" s="252">
        <f t="shared" si="323"/>
        <v>1246.4000000000001</v>
      </c>
    </row>
    <row r="3886" spans="1:9" x14ac:dyDescent="0.2">
      <c r="A3886" s="939"/>
      <c r="B3886" s="241" t="s">
        <v>2778</v>
      </c>
      <c r="C3886" s="44" t="s">
        <v>3515</v>
      </c>
      <c r="D3886" s="136" t="s">
        <v>411</v>
      </c>
      <c r="E3886" s="114">
        <v>0.5</v>
      </c>
      <c r="F3886" s="23">
        <f>VLOOKUP(B3886,'BASE DE DATOS'!$A$5:$E$997,5,FALSE)</f>
        <v>18000</v>
      </c>
      <c r="G3886" s="104">
        <v>0</v>
      </c>
      <c r="H3886" s="252">
        <f>IF(G3886&gt;0,(G3886*F3886*E3886),(F3886*E3886))</f>
        <v>9000</v>
      </c>
    </row>
    <row r="3887" spans="1:9" ht="25.5" x14ac:dyDescent="0.2">
      <c r="A3887" s="939"/>
      <c r="B3887" s="241" t="s">
        <v>2779</v>
      </c>
      <c r="C3887" s="26" t="s">
        <v>3524</v>
      </c>
      <c r="D3887" s="136" t="s">
        <v>411</v>
      </c>
      <c r="E3887" s="114">
        <f>1.25+0.64</f>
        <v>1.8900000000000001</v>
      </c>
      <c r="F3887" s="23">
        <f>VLOOKUP(B3887,'BASE DE DATOS'!$A$5:$E$997,5,FALSE)</f>
        <v>20150</v>
      </c>
      <c r="G3887" s="104">
        <v>0</v>
      </c>
      <c r="H3887" s="252">
        <f t="shared" ref="H3887" si="324">IF(G3887&gt;0,(G3887*F3887*E3887),(F3887*E3887))</f>
        <v>38083.5</v>
      </c>
    </row>
    <row r="3888" spans="1:9" ht="14.25" x14ac:dyDescent="0.2">
      <c r="A3888" s="948" t="s">
        <v>3252</v>
      </c>
      <c r="B3888" s="241" t="s">
        <v>799</v>
      </c>
      <c r="C3888" s="3" t="s">
        <v>2089</v>
      </c>
      <c r="D3888" s="2" t="s">
        <v>285</v>
      </c>
      <c r="E3888" s="114">
        <v>0.2</v>
      </c>
      <c r="F3888" s="23">
        <f>F34</f>
        <v>482282</v>
      </c>
      <c r="G3888" s="104">
        <v>0</v>
      </c>
      <c r="H3888" s="252">
        <f>IF(G3888&gt;0,(G3888*F3888*E3888),(F3888*E3888))</f>
        <v>96456.400000000009</v>
      </c>
    </row>
    <row r="3889" spans="1:9" ht="26.25" customHeight="1" x14ac:dyDescent="0.2">
      <c r="A3889" s="948"/>
      <c r="B3889" s="244" t="s">
        <v>855</v>
      </c>
      <c r="C3889" s="11" t="s">
        <v>3550</v>
      </c>
      <c r="D3889" s="2" t="s">
        <v>405</v>
      </c>
      <c r="E3889" s="114">
        <v>1</v>
      </c>
      <c r="F3889" s="23">
        <f>F1040</f>
        <v>120453</v>
      </c>
      <c r="G3889" s="104">
        <v>0</v>
      </c>
      <c r="H3889" s="252">
        <f>IF(G3889&gt;0,(G3889*F3889*E3889),(F3889*E3889))</f>
        <v>120453</v>
      </c>
    </row>
    <row r="3890" spans="1:9" ht="25.5" x14ac:dyDescent="0.2">
      <c r="A3890" s="948"/>
      <c r="B3890" s="244" t="s">
        <v>835</v>
      </c>
      <c r="C3890" s="3" t="s">
        <v>2476</v>
      </c>
      <c r="D3890" s="2" t="s">
        <v>405</v>
      </c>
      <c r="E3890" s="114">
        <v>0.6</v>
      </c>
      <c r="F3890" s="23">
        <f>F797</f>
        <v>115907</v>
      </c>
      <c r="G3890" s="104">
        <v>0</v>
      </c>
      <c r="H3890" s="252">
        <f>IF(G3890&gt;0,(G3890*F3890*E3890),(F3890*E3890))</f>
        <v>69544.2</v>
      </c>
    </row>
    <row r="3891" spans="1:9" ht="14.25" x14ac:dyDescent="0.2">
      <c r="A3891" s="948"/>
      <c r="B3891" s="244" t="s">
        <v>766</v>
      </c>
      <c r="C3891" s="20" t="s">
        <v>133</v>
      </c>
      <c r="D3891" s="2" t="s">
        <v>285</v>
      </c>
      <c r="E3891" s="114">
        <v>0.3</v>
      </c>
      <c r="F3891" s="23">
        <f>F472</f>
        <v>43205</v>
      </c>
      <c r="G3891" s="104">
        <v>0</v>
      </c>
      <c r="H3891" s="252">
        <f t="shared" si="323"/>
        <v>12961.5</v>
      </c>
    </row>
    <row r="3892" spans="1:9" ht="14.25" x14ac:dyDescent="0.2">
      <c r="A3892" s="948"/>
      <c r="B3892" s="244" t="s">
        <v>875</v>
      </c>
      <c r="C3892" s="3" t="s">
        <v>2045</v>
      </c>
      <c r="D3892" s="2" t="s">
        <v>288</v>
      </c>
      <c r="E3892" s="114">
        <v>0.6</v>
      </c>
      <c r="F3892" s="23">
        <f>F1251</f>
        <v>122094</v>
      </c>
      <c r="G3892" s="104">
        <v>0</v>
      </c>
      <c r="H3892" s="252">
        <f t="shared" si="323"/>
        <v>73256.399999999994</v>
      </c>
    </row>
    <row r="3893" spans="1:9" ht="25.5" x14ac:dyDescent="0.2">
      <c r="A3893" s="948"/>
      <c r="B3893" s="244" t="s">
        <v>851</v>
      </c>
      <c r="C3893" s="3" t="s">
        <v>75</v>
      </c>
      <c r="D3893" s="2" t="s">
        <v>405</v>
      </c>
      <c r="E3893" s="114">
        <v>1</v>
      </c>
      <c r="F3893" s="23">
        <f>F988</f>
        <v>125642</v>
      </c>
      <c r="G3893" s="104">
        <v>0</v>
      </c>
      <c r="H3893" s="252">
        <f>IF(G3893&gt;0,(G3893*F3893*E3893),(F3893*E3893))</f>
        <v>125642</v>
      </c>
    </row>
    <row r="3894" spans="1:9" x14ac:dyDescent="0.2">
      <c r="A3894" s="500" t="s">
        <v>2555</v>
      </c>
      <c r="B3894" s="241" t="s">
        <v>644</v>
      </c>
      <c r="C3894" s="3" t="s">
        <v>3514</v>
      </c>
      <c r="D3894" s="2" t="s">
        <v>585</v>
      </c>
      <c r="E3894" s="114">
        <v>1</v>
      </c>
      <c r="F3894" s="23">
        <f>VLOOKUP(B3894,'BASE DE DATOS'!$A$5:$E$997,5,FALSE)</f>
        <v>248302</v>
      </c>
      <c r="G3894" s="104">
        <f>1/4.4</f>
        <v>0.22727272727272727</v>
      </c>
      <c r="H3894" s="252">
        <f t="shared" si="323"/>
        <v>56432.272727272728</v>
      </c>
    </row>
    <row r="3895" spans="1:9" x14ac:dyDescent="0.2">
      <c r="A3895" s="954" t="s">
        <v>293</v>
      </c>
      <c r="B3895" s="241" t="s">
        <v>598</v>
      </c>
      <c r="C3895" s="3" t="s">
        <v>3362</v>
      </c>
      <c r="D3895" s="2" t="s">
        <v>586</v>
      </c>
      <c r="E3895" s="114">
        <v>0.03</v>
      </c>
      <c r="F3895" s="23">
        <f>H3894</f>
        <v>56432.272727272728</v>
      </c>
      <c r="G3895" s="104">
        <v>0</v>
      </c>
      <c r="H3895" s="252">
        <f>IF(G3895&gt;0,(G3895*F3895*E3895),(F3895*E3895))</f>
        <v>1692.9681818181818</v>
      </c>
      <c r="I3895" s="736"/>
    </row>
    <row r="3896" spans="1:9" x14ac:dyDescent="0.2">
      <c r="A3896" s="954"/>
      <c r="B3896" s="241" t="s">
        <v>254</v>
      </c>
      <c r="C3896" s="599" t="s">
        <v>341</v>
      </c>
      <c r="D3896" s="288" t="s">
        <v>585</v>
      </c>
      <c r="E3896" s="114">
        <v>1</v>
      </c>
      <c r="F3896" s="220">
        <f>VLOOKUP(B3896,'BASE DE DATOS'!$A$5:$E$997,5,FALSE)</f>
        <v>48000</v>
      </c>
      <c r="G3896" s="187">
        <f>1/4.4</f>
        <v>0.22727272727272727</v>
      </c>
      <c r="H3896" s="252">
        <f>IF(G3896&gt;0,(G3896*F3896*E3896),(F3896*E3896))</f>
        <v>10909.090909090908</v>
      </c>
    </row>
    <row r="3897" spans="1:9" ht="13.5" thickBot="1" x14ac:dyDescent="0.25">
      <c r="A3897" s="955"/>
      <c r="B3897" s="528" t="s">
        <v>269</v>
      </c>
      <c r="C3897" s="88" t="s">
        <v>284</v>
      </c>
      <c r="D3897" s="89" t="s">
        <v>586</v>
      </c>
      <c r="E3897" s="193">
        <v>0.03</v>
      </c>
      <c r="F3897" s="90">
        <f>H3894</f>
        <v>56432.272727272728</v>
      </c>
      <c r="G3897" s="153">
        <v>0</v>
      </c>
      <c r="H3897" s="255">
        <f t="shared" si="323"/>
        <v>1692.9681818181818</v>
      </c>
    </row>
    <row r="3898" spans="1:9" s="42" customFormat="1" ht="45" x14ac:dyDescent="0.2">
      <c r="A3898" s="67" t="s">
        <v>1061</v>
      </c>
      <c r="B3898" s="529"/>
      <c r="C3898" s="359" t="s">
        <v>2462</v>
      </c>
      <c r="D3898" s="389" t="s">
        <v>411</v>
      </c>
      <c r="E3898" s="395"/>
      <c r="F3898" s="391">
        <f>ROUND(SUM(H3898:H3904),0)</f>
        <v>12222434</v>
      </c>
      <c r="G3898" s="392"/>
      <c r="H3898" s="393"/>
      <c r="I3898" s="738"/>
    </row>
    <row r="3899" spans="1:9" ht="76.5" x14ac:dyDescent="0.2">
      <c r="A3899" s="939" t="s">
        <v>295</v>
      </c>
      <c r="B3899" s="241" t="s">
        <v>1899</v>
      </c>
      <c r="C3899" s="3" t="s">
        <v>3134</v>
      </c>
      <c r="D3899" s="2" t="s">
        <v>411</v>
      </c>
      <c r="E3899" s="114">
        <v>2</v>
      </c>
      <c r="F3899" s="23">
        <f>VLOOKUP(B3899,'BASE DE DATOS'!$A$5:$E$997,5,FALSE)</f>
        <v>5908887</v>
      </c>
      <c r="G3899" s="104">
        <v>0</v>
      </c>
      <c r="H3899" s="252">
        <f t="shared" si="323"/>
        <v>11817774</v>
      </c>
    </row>
    <row r="3900" spans="1:9" x14ac:dyDescent="0.2">
      <c r="A3900" s="939"/>
      <c r="B3900" s="241" t="s">
        <v>1523</v>
      </c>
      <c r="C3900" s="3" t="s">
        <v>643</v>
      </c>
      <c r="D3900" s="2" t="s">
        <v>642</v>
      </c>
      <c r="E3900" s="114">
        <v>0.8</v>
      </c>
      <c r="F3900" s="23">
        <f>VLOOKUP(B3900,'BASE DE DATOS'!$A$5:$E$997,5,FALSE)</f>
        <v>108900</v>
      </c>
      <c r="G3900" s="104">
        <v>1.03</v>
      </c>
      <c r="H3900" s="252">
        <f t="shared" si="323"/>
        <v>89733.6</v>
      </c>
    </row>
    <row r="3901" spans="1:9" ht="14.25" x14ac:dyDescent="0.2">
      <c r="A3901" s="64" t="s">
        <v>3252</v>
      </c>
      <c r="B3901" s="241" t="s">
        <v>798</v>
      </c>
      <c r="C3901" s="3" t="s">
        <v>2095</v>
      </c>
      <c r="D3901" s="2" t="s">
        <v>285</v>
      </c>
      <c r="E3901" s="114">
        <v>0.04</v>
      </c>
      <c r="F3901" s="23">
        <f>F26</f>
        <v>456694</v>
      </c>
      <c r="G3901" s="104">
        <v>1.05</v>
      </c>
      <c r="H3901" s="252">
        <f t="shared" si="323"/>
        <v>19181.148000000001</v>
      </c>
    </row>
    <row r="3902" spans="1:9" ht="13.5" thickBot="1" x14ac:dyDescent="0.25">
      <c r="A3902" s="122" t="s">
        <v>2555</v>
      </c>
      <c r="B3902" s="241" t="s">
        <v>587</v>
      </c>
      <c r="C3902" s="3" t="s">
        <v>588</v>
      </c>
      <c r="D3902" s="2" t="s">
        <v>585</v>
      </c>
      <c r="E3902" s="196">
        <v>1</v>
      </c>
      <c r="F3902" s="23">
        <f>VLOOKUP(B3902,'BASE DE DATOS'!$A$5:$E$997,5,FALSE)</f>
        <v>514339</v>
      </c>
      <c r="G3902" s="104">
        <f>1/2</f>
        <v>0.5</v>
      </c>
      <c r="H3902" s="252">
        <f t="shared" si="323"/>
        <v>257169.5</v>
      </c>
    </row>
    <row r="3903" spans="1:9" x14ac:dyDescent="0.2">
      <c r="A3903" s="1006" t="s">
        <v>293</v>
      </c>
      <c r="B3903" s="241" t="s">
        <v>598</v>
      </c>
      <c r="C3903" s="218" t="s">
        <v>3362</v>
      </c>
      <c r="D3903" s="219" t="s">
        <v>586</v>
      </c>
      <c r="E3903" s="114">
        <v>0.05</v>
      </c>
      <c r="F3903" s="220">
        <f>H3902</f>
        <v>257169.5</v>
      </c>
      <c r="G3903" s="187">
        <v>0</v>
      </c>
      <c r="H3903" s="252">
        <f>IF(G3903&gt;0,(G3903*F3903*E3903),(F3903*E3903))</f>
        <v>12858.475</v>
      </c>
    </row>
    <row r="3904" spans="1:9" ht="13.5" thickBot="1" x14ac:dyDescent="0.25">
      <c r="A3904" s="938"/>
      <c r="B3904" s="528" t="s">
        <v>269</v>
      </c>
      <c r="C3904" s="88" t="s">
        <v>284</v>
      </c>
      <c r="D3904" s="89" t="s">
        <v>586</v>
      </c>
      <c r="E3904" s="193">
        <v>0.1</v>
      </c>
      <c r="F3904" s="90">
        <f>H3902</f>
        <v>257169.5</v>
      </c>
      <c r="G3904" s="153">
        <v>0</v>
      </c>
      <c r="H3904" s="255">
        <f t="shared" si="323"/>
        <v>25716.95</v>
      </c>
    </row>
    <row r="3905" spans="1:9" s="42" customFormat="1" ht="30" x14ac:dyDescent="0.2">
      <c r="A3905" s="67" t="s">
        <v>1062</v>
      </c>
      <c r="B3905" s="529"/>
      <c r="C3905" s="388" t="s">
        <v>2006</v>
      </c>
      <c r="D3905" s="389" t="s">
        <v>411</v>
      </c>
      <c r="E3905" s="395"/>
      <c r="F3905" s="391">
        <f>ROUND(SUM(H3905:H3910),0)</f>
        <v>1017025</v>
      </c>
      <c r="G3905" s="392"/>
      <c r="H3905" s="393"/>
      <c r="I3905" s="738"/>
    </row>
    <row r="3906" spans="1:9" x14ac:dyDescent="0.2">
      <c r="A3906" s="936" t="s">
        <v>382</v>
      </c>
      <c r="B3906" s="241" t="s">
        <v>1523</v>
      </c>
      <c r="C3906" s="3" t="s">
        <v>643</v>
      </c>
      <c r="D3906" s="2" t="s">
        <v>642</v>
      </c>
      <c r="E3906" s="114">
        <v>0.1</v>
      </c>
      <c r="F3906" s="23">
        <f>VLOOKUP(B3906,'BASE DE DATOS'!$A$5:$E$997,5,FALSE)</f>
        <v>108900</v>
      </c>
      <c r="G3906" s="104">
        <v>1.03</v>
      </c>
      <c r="H3906" s="252">
        <f>IF(G3906&gt;0,(G3906*F3906*E3906),(F3906*E3906))</f>
        <v>11216.7</v>
      </c>
    </row>
    <row r="3907" spans="1:9" ht="26.25" thickBot="1" x14ac:dyDescent="0.25">
      <c r="A3907" s="1007"/>
      <c r="B3907" s="241" t="s">
        <v>1808</v>
      </c>
      <c r="C3907" s="3" t="s">
        <v>3871</v>
      </c>
      <c r="D3907" s="2" t="s">
        <v>411</v>
      </c>
      <c r="E3907" s="114">
        <v>1</v>
      </c>
      <c r="F3907" s="23">
        <f>VLOOKUP(B3907,'BASE DE DATOS'!$A$5:$E$997,5,FALSE)</f>
        <v>803620</v>
      </c>
      <c r="G3907" s="104">
        <v>0</v>
      </c>
      <c r="H3907" s="252">
        <f t="shared" si="323"/>
        <v>803620</v>
      </c>
    </row>
    <row r="3908" spans="1:9" ht="13.5" thickBot="1" x14ac:dyDescent="0.25">
      <c r="A3908" s="123" t="s">
        <v>2555</v>
      </c>
      <c r="B3908" s="241" t="s">
        <v>607</v>
      </c>
      <c r="C3908" s="3" t="s">
        <v>608</v>
      </c>
      <c r="D3908" s="2" t="s">
        <v>585</v>
      </c>
      <c r="E3908" s="114">
        <v>1</v>
      </c>
      <c r="F3908" s="23">
        <f>VLOOKUP(B3908,'BASE DE DATOS'!$A$5:$E$997,5,FALSE)</f>
        <v>336981</v>
      </c>
      <c r="G3908" s="104">
        <f>1/2</f>
        <v>0.5</v>
      </c>
      <c r="H3908" s="252">
        <f t="shared" si="323"/>
        <v>168490.5</v>
      </c>
    </row>
    <row r="3909" spans="1:9" x14ac:dyDescent="0.2">
      <c r="A3909" s="1006" t="s">
        <v>293</v>
      </c>
      <c r="B3909" s="241" t="s">
        <v>598</v>
      </c>
      <c r="C3909" s="218" t="s">
        <v>3362</v>
      </c>
      <c r="D3909" s="2" t="s">
        <v>586</v>
      </c>
      <c r="E3909" s="114">
        <v>0.1</v>
      </c>
      <c r="F3909" s="23">
        <f>H3908</f>
        <v>168490.5</v>
      </c>
      <c r="G3909" s="104">
        <v>0</v>
      </c>
      <c r="H3909" s="252">
        <f t="shared" si="323"/>
        <v>16849.05</v>
      </c>
    </row>
    <row r="3910" spans="1:9" ht="13.5" thickBot="1" x14ac:dyDescent="0.25">
      <c r="A3910" s="938"/>
      <c r="B3910" s="528" t="s">
        <v>269</v>
      </c>
      <c r="C3910" s="88" t="s">
        <v>284</v>
      </c>
      <c r="D3910" s="109" t="s">
        <v>586</v>
      </c>
      <c r="E3910" s="200">
        <v>0.1</v>
      </c>
      <c r="F3910" s="110">
        <f>H3908</f>
        <v>168490.5</v>
      </c>
      <c r="G3910" s="156">
        <v>0</v>
      </c>
      <c r="H3910" s="479">
        <f t="shared" si="323"/>
        <v>16849.05</v>
      </c>
    </row>
    <row r="3911" spans="1:9" s="42" customFormat="1" ht="15" x14ac:dyDescent="0.2">
      <c r="A3911" s="67" t="s">
        <v>1063</v>
      </c>
      <c r="B3911" s="529"/>
      <c r="C3911" s="388" t="s">
        <v>3124</v>
      </c>
      <c r="D3911" s="389" t="s">
        <v>405</v>
      </c>
      <c r="E3911" s="390"/>
      <c r="F3911" s="391">
        <f>ROUND(SUM(H3911:H3915),0)</f>
        <v>20616</v>
      </c>
      <c r="G3911" s="392"/>
      <c r="H3911" s="393"/>
      <c r="I3911" s="738">
        <v>17</v>
      </c>
    </row>
    <row r="3912" spans="1:9" x14ac:dyDescent="0.2">
      <c r="A3912" s="82" t="s">
        <v>382</v>
      </c>
      <c r="B3912" s="241" t="s">
        <v>1731</v>
      </c>
      <c r="C3912" s="3" t="s">
        <v>3586</v>
      </c>
      <c r="D3912" s="2" t="s">
        <v>405</v>
      </c>
      <c r="E3912" s="196">
        <v>1</v>
      </c>
      <c r="F3912" s="23">
        <f>VLOOKUP(B3912,'BASE DE DATOS'!$A$5:$E$997,5,FALSE)</f>
        <v>11750</v>
      </c>
      <c r="G3912" s="104">
        <v>1.03</v>
      </c>
      <c r="H3912" s="252">
        <f t="shared" si="323"/>
        <v>12102.5</v>
      </c>
    </row>
    <row r="3913" spans="1:9" ht="13.5" thickBot="1" x14ac:dyDescent="0.25">
      <c r="A3913" s="122" t="s">
        <v>2555</v>
      </c>
      <c r="B3913" s="241" t="s">
        <v>644</v>
      </c>
      <c r="C3913" s="3" t="s">
        <v>645</v>
      </c>
      <c r="D3913" s="2" t="s">
        <v>585</v>
      </c>
      <c r="E3913" s="196">
        <v>1</v>
      </c>
      <c r="F3913" s="23">
        <f>VLOOKUP(B3913,'BASE DE DATOS'!$A$5:$E$997,5,FALSE)</f>
        <v>248302</v>
      </c>
      <c r="G3913" s="104">
        <f>1/35</f>
        <v>2.8571428571428571E-2</v>
      </c>
      <c r="H3913" s="252">
        <f t="shared" si="323"/>
        <v>7094.3428571428567</v>
      </c>
    </row>
    <row r="3914" spans="1:9" x14ac:dyDescent="0.2">
      <c r="A3914" s="1006" t="s">
        <v>293</v>
      </c>
      <c r="B3914" s="241" t="s">
        <v>598</v>
      </c>
      <c r="C3914" s="3" t="s">
        <v>3362</v>
      </c>
      <c r="D3914" s="2" t="s">
        <v>586</v>
      </c>
      <c r="E3914" s="196">
        <v>0.1</v>
      </c>
      <c r="F3914" s="23">
        <f>H3913</f>
        <v>7094.3428571428567</v>
      </c>
      <c r="G3914" s="104">
        <v>0</v>
      </c>
      <c r="H3914" s="252">
        <f t="shared" si="323"/>
        <v>709.43428571428569</v>
      </c>
    </row>
    <row r="3915" spans="1:9" ht="13.5" thickBot="1" x14ac:dyDescent="0.25">
      <c r="A3915" s="938"/>
      <c r="B3915" s="528" t="s">
        <v>269</v>
      </c>
      <c r="C3915" s="108" t="s">
        <v>284</v>
      </c>
      <c r="D3915" s="109" t="s">
        <v>586</v>
      </c>
      <c r="E3915" s="203">
        <v>0.1</v>
      </c>
      <c r="F3915" s="110">
        <f>H3913</f>
        <v>7094.3428571428567</v>
      </c>
      <c r="G3915" s="156">
        <v>0</v>
      </c>
      <c r="H3915" s="252">
        <f t="shared" si="323"/>
        <v>709.43428571428569</v>
      </c>
    </row>
    <row r="3916" spans="1:9" ht="15.75" thickBot="1" x14ac:dyDescent="0.25">
      <c r="A3916" s="998" t="s">
        <v>3526</v>
      </c>
      <c r="B3916" s="999"/>
      <c r="C3916" s="999"/>
      <c r="D3916" s="999"/>
      <c r="E3916" s="999"/>
      <c r="F3916" s="1000"/>
      <c r="G3916" s="999"/>
      <c r="H3916" s="1001"/>
    </row>
    <row r="3917" spans="1:9" ht="45.75" thickBot="1" x14ac:dyDescent="0.25">
      <c r="A3917" s="126" t="s">
        <v>2044</v>
      </c>
      <c r="B3917" s="126" t="s">
        <v>265</v>
      </c>
      <c r="C3917" s="126" t="s">
        <v>402</v>
      </c>
      <c r="D3917" s="354" t="s">
        <v>346</v>
      </c>
      <c r="E3917" s="192" t="s">
        <v>2173</v>
      </c>
      <c r="F3917" s="162" t="s">
        <v>3165</v>
      </c>
      <c r="G3917" s="290" t="s">
        <v>281</v>
      </c>
      <c r="H3917" s="74" t="s">
        <v>3164</v>
      </c>
    </row>
    <row r="3918" spans="1:9" s="42" customFormat="1" ht="15" x14ac:dyDescent="0.2">
      <c r="A3918" s="68" t="s">
        <v>1065</v>
      </c>
      <c r="B3918" s="542"/>
      <c r="C3918" s="399" t="s">
        <v>548</v>
      </c>
      <c r="D3918" s="326" t="s">
        <v>405</v>
      </c>
      <c r="E3918" s="414"/>
      <c r="F3918" s="401">
        <f>ROUND(SUM(H3918:H3924),0)</f>
        <v>123472</v>
      </c>
      <c r="G3918" s="402"/>
      <c r="H3918" s="330"/>
      <c r="I3918" s="738"/>
    </row>
    <row r="3919" spans="1:9" x14ac:dyDescent="0.2">
      <c r="A3919" s="936" t="s">
        <v>382</v>
      </c>
      <c r="B3919" s="241" t="s">
        <v>1281</v>
      </c>
      <c r="C3919" s="20" t="s">
        <v>633</v>
      </c>
      <c r="D3919" s="2" t="s">
        <v>406</v>
      </c>
      <c r="E3919" s="114">
        <v>0.5</v>
      </c>
      <c r="F3919" s="23">
        <f>VLOOKUP(B3919,'BASE DE DATOS'!$A$5:$E$997,5,FALSE)</f>
        <v>11400</v>
      </c>
      <c r="G3919" s="104">
        <v>0</v>
      </c>
      <c r="H3919" s="252">
        <f>IF(G3919&gt;0,(G3919*F3919*E3919),(F3919*E3919))</f>
        <v>5700</v>
      </c>
    </row>
    <row r="3920" spans="1:9" x14ac:dyDescent="0.2">
      <c r="A3920" s="936"/>
      <c r="B3920" s="241" t="s">
        <v>1418</v>
      </c>
      <c r="C3920" s="3" t="s">
        <v>591</v>
      </c>
      <c r="D3920" s="2" t="s">
        <v>411</v>
      </c>
      <c r="E3920" s="114">
        <v>1</v>
      </c>
      <c r="F3920" s="23">
        <f>VLOOKUP(B3920,'BASE DE DATOS'!$A$5:$E$997,5,FALSE)</f>
        <v>5250</v>
      </c>
      <c r="G3920" s="104">
        <v>1.03</v>
      </c>
      <c r="H3920" s="252">
        <f t="shared" ref="H3920:H3987" si="325">IF(G3920&gt;0,(G3920*F3920*E3920),(F3920*E3920))</f>
        <v>5407.5</v>
      </c>
    </row>
    <row r="3921" spans="1:9" x14ac:dyDescent="0.2">
      <c r="A3921" s="936"/>
      <c r="B3921" s="241" t="s">
        <v>1419</v>
      </c>
      <c r="C3921" s="3" t="s">
        <v>13</v>
      </c>
      <c r="D3921" s="2" t="s">
        <v>411</v>
      </c>
      <c r="E3921" s="114">
        <v>2.5</v>
      </c>
      <c r="F3921" s="23">
        <f>VLOOKUP(B3921,'BASE DE DATOS'!$A$5:$E$997,5,FALSE)</f>
        <v>11333.333333333334</v>
      </c>
      <c r="G3921" s="104">
        <v>1.03</v>
      </c>
      <c r="H3921" s="252">
        <f t="shared" si="325"/>
        <v>29183.333333333336</v>
      </c>
    </row>
    <row r="3922" spans="1:9" x14ac:dyDescent="0.2">
      <c r="A3922" s="81" t="s">
        <v>2555</v>
      </c>
      <c r="B3922" s="241" t="s">
        <v>644</v>
      </c>
      <c r="C3922" s="3" t="s">
        <v>645</v>
      </c>
      <c r="D3922" s="2" t="s">
        <v>585</v>
      </c>
      <c r="E3922" s="114">
        <v>1</v>
      </c>
      <c r="F3922" s="23">
        <f>VLOOKUP(B3922,'BASE DE DATOS'!$A$5:$E$997,5,FALSE)</f>
        <v>248302</v>
      </c>
      <c r="G3922" s="104">
        <f>1/4</f>
        <v>0.25</v>
      </c>
      <c r="H3922" s="252">
        <f t="shared" si="325"/>
        <v>62075.5</v>
      </c>
    </row>
    <row r="3923" spans="1:9" x14ac:dyDescent="0.2">
      <c r="A3923" s="937" t="s">
        <v>293</v>
      </c>
      <c r="B3923" s="241" t="s">
        <v>274</v>
      </c>
      <c r="C3923" s="218" t="s">
        <v>287</v>
      </c>
      <c r="D3923" s="219" t="s">
        <v>586</v>
      </c>
      <c r="E3923" s="114">
        <v>0.24</v>
      </c>
      <c r="F3923" s="220">
        <f>H3922</f>
        <v>62075.5</v>
      </c>
      <c r="G3923" s="187">
        <v>0</v>
      </c>
      <c r="H3923" s="252">
        <f>IF(G3923&gt;0,(G3923*F3923*E3923),(F3923*E3923))</f>
        <v>14898.119999999999</v>
      </c>
    </row>
    <row r="3924" spans="1:9" ht="13.5" thickBot="1" x14ac:dyDescent="0.25">
      <c r="A3924" s="938"/>
      <c r="B3924" s="528" t="s">
        <v>269</v>
      </c>
      <c r="C3924" s="88" t="s">
        <v>284</v>
      </c>
      <c r="D3924" s="89" t="s">
        <v>586</v>
      </c>
      <c r="E3924" s="193">
        <v>0.1</v>
      </c>
      <c r="F3924" s="90">
        <f>H3922</f>
        <v>62075.5</v>
      </c>
      <c r="G3924" s="153">
        <v>0</v>
      </c>
      <c r="H3924" s="255">
        <f t="shared" si="325"/>
        <v>6207.55</v>
      </c>
    </row>
    <row r="3925" spans="1:9" s="42" customFormat="1" ht="15" x14ac:dyDescent="0.2">
      <c r="A3925" s="67" t="s">
        <v>1066</v>
      </c>
      <c r="B3925" s="529"/>
      <c r="C3925" s="388" t="s">
        <v>545</v>
      </c>
      <c r="D3925" s="389" t="s">
        <v>405</v>
      </c>
      <c r="E3925" s="390"/>
      <c r="F3925" s="391">
        <f>ROUND(SUM(H3925:H3931),0)</f>
        <v>191490</v>
      </c>
      <c r="G3925" s="392"/>
      <c r="H3925" s="393"/>
      <c r="I3925" s="738"/>
    </row>
    <row r="3926" spans="1:9" x14ac:dyDescent="0.2">
      <c r="A3926" s="936" t="s">
        <v>382</v>
      </c>
      <c r="B3926" s="241" t="s">
        <v>1281</v>
      </c>
      <c r="C3926" s="3" t="s">
        <v>633</v>
      </c>
      <c r="D3926" s="2" t="s">
        <v>406</v>
      </c>
      <c r="E3926" s="114">
        <v>1</v>
      </c>
      <c r="F3926" s="23">
        <f>VLOOKUP(B3926,'BASE DE DATOS'!$A$5:$E$997,5,FALSE)</f>
        <v>11400</v>
      </c>
      <c r="G3926" s="104">
        <v>0</v>
      </c>
      <c r="H3926" s="252">
        <f>IF(G3926&gt;0,(G3926*F3926*E3926),(F3926*E3926))</f>
        <v>11400</v>
      </c>
    </row>
    <row r="3927" spans="1:9" x14ac:dyDescent="0.2">
      <c r="A3927" s="936"/>
      <c r="B3927" s="241" t="s">
        <v>1418</v>
      </c>
      <c r="C3927" s="3" t="s">
        <v>591</v>
      </c>
      <c r="D3927" s="2" t="s">
        <v>411</v>
      </c>
      <c r="E3927" s="114">
        <v>2</v>
      </c>
      <c r="F3927" s="23">
        <f>VLOOKUP(B3927,'BASE DE DATOS'!$A$5:$E$997,5,FALSE)</f>
        <v>5250</v>
      </c>
      <c r="G3927" s="104">
        <v>1.03</v>
      </c>
      <c r="H3927" s="252">
        <f t="shared" si="325"/>
        <v>10815</v>
      </c>
    </row>
    <row r="3928" spans="1:9" x14ac:dyDescent="0.2">
      <c r="A3928" s="936"/>
      <c r="B3928" s="241" t="s">
        <v>1419</v>
      </c>
      <c r="C3928" s="3" t="s">
        <v>13</v>
      </c>
      <c r="D3928" s="2" t="s">
        <v>411</v>
      </c>
      <c r="E3928" s="114">
        <v>5</v>
      </c>
      <c r="F3928" s="23">
        <f>VLOOKUP(B3928,'BASE DE DATOS'!$A$5:$E$997,5,FALSE)</f>
        <v>11333.333333333334</v>
      </c>
      <c r="G3928" s="104">
        <v>1.03</v>
      </c>
      <c r="H3928" s="252">
        <f t="shared" si="325"/>
        <v>58366.666666666672</v>
      </c>
    </row>
    <row r="3929" spans="1:9" x14ac:dyDescent="0.2">
      <c r="A3929" s="81" t="s">
        <v>2555</v>
      </c>
      <c r="B3929" s="241" t="s">
        <v>644</v>
      </c>
      <c r="C3929" s="3" t="s">
        <v>645</v>
      </c>
      <c r="D3929" s="2" t="s">
        <v>585</v>
      </c>
      <c r="E3929" s="114">
        <v>1</v>
      </c>
      <c r="F3929" s="23">
        <f>VLOOKUP(B3929,'BASE DE DATOS'!$A$5:$E$997,5,FALSE)</f>
        <v>248302</v>
      </c>
      <c r="G3929" s="104">
        <f>1/3</f>
        <v>0.33333333333333331</v>
      </c>
      <c r="H3929" s="252">
        <f t="shared" si="325"/>
        <v>82767.333333333328</v>
      </c>
    </row>
    <row r="3930" spans="1:9" x14ac:dyDescent="0.2">
      <c r="A3930" s="937" t="s">
        <v>293</v>
      </c>
      <c r="B3930" s="241" t="s">
        <v>274</v>
      </c>
      <c r="C3930" s="218" t="s">
        <v>287</v>
      </c>
      <c r="D3930" s="2" t="s">
        <v>586</v>
      </c>
      <c r="E3930" s="114">
        <v>0.24</v>
      </c>
      <c r="F3930" s="23">
        <f>H3929</f>
        <v>82767.333333333328</v>
      </c>
      <c r="G3930" s="104">
        <v>0</v>
      </c>
      <c r="H3930" s="252">
        <f t="shared" si="325"/>
        <v>19864.16</v>
      </c>
    </row>
    <row r="3931" spans="1:9" ht="13.5" thickBot="1" x14ac:dyDescent="0.25">
      <c r="A3931" s="938"/>
      <c r="B3931" s="528" t="s">
        <v>269</v>
      </c>
      <c r="C3931" s="88" t="s">
        <v>284</v>
      </c>
      <c r="D3931" s="109" t="s">
        <v>586</v>
      </c>
      <c r="E3931" s="200">
        <v>0.1</v>
      </c>
      <c r="F3931" s="110">
        <f>H3929</f>
        <v>82767.333333333328</v>
      </c>
      <c r="G3931" s="156">
        <v>0</v>
      </c>
      <c r="H3931" s="479">
        <f t="shared" si="325"/>
        <v>8276.7333333333336</v>
      </c>
    </row>
    <row r="3932" spans="1:9" s="42" customFormat="1" ht="15" x14ac:dyDescent="0.2">
      <c r="A3932" s="67" t="s">
        <v>1067</v>
      </c>
      <c r="B3932" s="529"/>
      <c r="C3932" s="388" t="s">
        <v>547</v>
      </c>
      <c r="D3932" s="389" t="s">
        <v>405</v>
      </c>
      <c r="E3932" s="390"/>
      <c r="F3932" s="391">
        <f>ROUND(SUM(H3932:H3938),0)</f>
        <v>55287</v>
      </c>
      <c r="G3932" s="392"/>
      <c r="H3932" s="393"/>
      <c r="I3932" s="738"/>
    </row>
    <row r="3933" spans="1:9" x14ac:dyDescent="0.2">
      <c r="A3933" s="936" t="s">
        <v>382</v>
      </c>
      <c r="B3933" s="241" t="s">
        <v>1281</v>
      </c>
      <c r="C3933" s="3" t="s">
        <v>633</v>
      </c>
      <c r="D3933" s="2" t="s">
        <v>406</v>
      </c>
      <c r="E3933" s="114">
        <v>0.5</v>
      </c>
      <c r="F3933" s="23">
        <f>VLOOKUP(B3933,'BASE DE DATOS'!$A$5:$E$997,5,FALSE)</f>
        <v>11400</v>
      </c>
      <c r="G3933" s="104">
        <v>0</v>
      </c>
      <c r="H3933" s="252">
        <f>IF(G3933&gt;0,(G3933*F3933*E3933),(F3933*E3933))</f>
        <v>5700</v>
      </c>
    </row>
    <row r="3934" spans="1:9" x14ac:dyDescent="0.2">
      <c r="A3934" s="936"/>
      <c r="B3934" s="241" t="s">
        <v>1383</v>
      </c>
      <c r="C3934" s="3" t="s">
        <v>602</v>
      </c>
      <c r="D3934" s="2" t="s">
        <v>411</v>
      </c>
      <c r="E3934" s="114">
        <v>1</v>
      </c>
      <c r="F3934" s="23">
        <f>VLOOKUP(B3934,'BASE DE DATOS'!$A$5:$E$997,5,FALSE)</f>
        <v>7000</v>
      </c>
      <c r="G3934" s="104">
        <v>1.03</v>
      </c>
      <c r="H3934" s="252">
        <f>IF(G3934&gt;0,(G3934*F3934*E3934),(F3934*E3934))</f>
        <v>7210</v>
      </c>
    </row>
    <row r="3935" spans="1:9" x14ac:dyDescent="0.2">
      <c r="A3935" s="936"/>
      <c r="B3935" s="241" t="s">
        <v>1418</v>
      </c>
      <c r="C3935" s="3" t="s">
        <v>591</v>
      </c>
      <c r="D3935" s="2" t="s">
        <v>411</v>
      </c>
      <c r="E3935" s="114">
        <v>1</v>
      </c>
      <c r="F3935" s="23">
        <f>VLOOKUP(B3935,'BASE DE DATOS'!$A$5:$E$997,5,FALSE)</f>
        <v>5250</v>
      </c>
      <c r="G3935" s="104">
        <v>1.03</v>
      </c>
      <c r="H3935" s="252">
        <f t="shared" si="325"/>
        <v>5407.5</v>
      </c>
    </row>
    <row r="3936" spans="1:9" x14ac:dyDescent="0.2">
      <c r="A3936" s="81" t="s">
        <v>2555</v>
      </c>
      <c r="B3936" s="241" t="s">
        <v>644</v>
      </c>
      <c r="C3936" s="3" t="s">
        <v>645</v>
      </c>
      <c r="D3936" s="2" t="s">
        <v>585</v>
      </c>
      <c r="E3936" s="114">
        <v>1</v>
      </c>
      <c r="F3936" s="23">
        <f>VLOOKUP(B3936,'BASE DE DATOS'!$A$5:$E$997,5,FALSE)</f>
        <v>248302</v>
      </c>
      <c r="G3936" s="104">
        <f>1/9</f>
        <v>0.1111111111111111</v>
      </c>
      <c r="H3936" s="252">
        <f t="shared" si="325"/>
        <v>27589.111111111109</v>
      </c>
    </row>
    <row r="3937" spans="1:9" x14ac:dyDescent="0.2">
      <c r="A3937" s="937" t="s">
        <v>293</v>
      </c>
      <c r="B3937" s="241" t="s">
        <v>274</v>
      </c>
      <c r="C3937" s="218" t="s">
        <v>287</v>
      </c>
      <c r="D3937" s="2" t="s">
        <v>586</v>
      </c>
      <c r="E3937" s="114">
        <v>0.24</v>
      </c>
      <c r="F3937" s="23">
        <f>H3936</f>
        <v>27589.111111111109</v>
      </c>
      <c r="G3937" s="104">
        <v>0</v>
      </c>
      <c r="H3937" s="252">
        <f t="shared" si="325"/>
        <v>6621.3866666666663</v>
      </c>
    </row>
    <row r="3938" spans="1:9" ht="13.5" thickBot="1" x14ac:dyDescent="0.25">
      <c r="A3938" s="938"/>
      <c r="B3938" s="528" t="s">
        <v>269</v>
      </c>
      <c r="C3938" s="88" t="s">
        <v>284</v>
      </c>
      <c r="D3938" s="109" t="s">
        <v>586</v>
      </c>
      <c r="E3938" s="200">
        <v>0.1</v>
      </c>
      <c r="F3938" s="110">
        <f>H3936</f>
        <v>27589.111111111109</v>
      </c>
      <c r="G3938" s="156">
        <v>0</v>
      </c>
      <c r="H3938" s="479">
        <f t="shared" si="325"/>
        <v>2758.911111111111</v>
      </c>
    </row>
    <row r="3939" spans="1:9" s="42" customFormat="1" ht="15" x14ac:dyDescent="0.2">
      <c r="A3939" s="67" t="s">
        <v>1068</v>
      </c>
      <c r="B3939" s="529"/>
      <c r="C3939" s="388" t="s">
        <v>546</v>
      </c>
      <c r="D3939" s="389" t="s">
        <v>405</v>
      </c>
      <c r="E3939" s="390"/>
      <c r="F3939" s="391">
        <f>ROUND(SUM(H3939:H3944),0)</f>
        <v>113367</v>
      </c>
      <c r="G3939" s="392"/>
      <c r="H3939" s="393"/>
      <c r="I3939" s="738"/>
    </row>
    <row r="3940" spans="1:9" x14ac:dyDescent="0.2">
      <c r="A3940" s="936" t="s">
        <v>382</v>
      </c>
      <c r="B3940" s="241" t="s">
        <v>1281</v>
      </c>
      <c r="C3940" s="3" t="s">
        <v>633</v>
      </c>
      <c r="D3940" s="2" t="s">
        <v>406</v>
      </c>
      <c r="E3940" s="114">
        <v>0.33300000000000002</v>
      </c>
      <c r="F3940" s="23">
        <f>VLOOKUP(B3940,'BASE DE DATOS'!$A$5:$E$997,5,FALSE)</f>
        <v>11400</v>
      </c>
      <c r="G3940" s="104">
        <v>0</v>
      </c>
      <c r="H3940" s="252">
        <f>IF(G3940&gt;0,(G3940*F3940*E3940),(F3940*E3940))</f>
        <v>3796.2000000000003</v>
      </c>
    </row>
    <row r="3941" spans="1:9" x14ac:dyDescent="0.2">
      <c r="A3941" s="936"/>
      <c r="B3941" s="241" t="s">
        <v>1314</v>
      </c>
      <c r="C3941" s="3" t="s">
        <v>3800</v>
      </c>
      <c r="D3941" s="2" t="s">
        <v>411</v>
      </c>
      <c r="E3941" s="114">
        <v>10</v>
      </c>
      <c r="F3941" s="23">
        <f>VLOOKUP(B3941,'BASE DE DATOS'!$A$5:$E$997,5,FALSE)</f>
        <v>6600</v>
      </c>
      <c r="G3941" s="104">
        <v>1.03</v>
      </c>
      <c r="H3941" s="252">
        <f t="shared" si="325"/>
        <v>67980</v>
      </c>
    </row>
    <row r="3942" spans="1:9" x14ac:dyDescent="0.2">
      <c r="A3942" s="81" t="s">
        <v>2555</v>
      </c>
      <c r="B3942" s="241" t="s">
        <v>644</v>
      </c>
      <c r="C3942" s="3" t="s">
        <v>645</v>
      </c>
      <c r="D3942" s="2" t="s">
        <v>585</v>
      </c>
      <c r="E3942" s="114">
        <v>1</v>
      </c>
      <c r="F3942" s="23">
        <f>VLOOKUP(B3942,'BASE DE DATOS'!$A$5:$E$997,5,FALSE)</f>
        <v>248302</v>
      </c>
      <c r="G3942" s="104">
        <f>1/8</f>
        <v>0.125</v>
      </c>
      <c r="H3942" s="252">
        <f t="shared" si="325"/>
        <v>31037.75</v>
      </c>
    </row>
    <row r="3943" spans="1:9" x14ac:dyDescent="0.2">
      <c r="A3943" s="937" t="s">
        <v>293</v>
      </c>
      <c r="B3943" s="241" t="s">
        <v>274</v>
      </c>
      <c r="C3943" s="218" t="s">
        <v>287</v>
      </c>
      <c r="D3943" s="2" t="s">
        <v>586</v>
      </c>
      <c r="E3943" s="114">
        <v>0.24</v>
      </c>
      <c r="F3943" s="23">
        <f>H3942</f>
        <v>31037.75</v>
      </c>
      <c r="G3943" s="104">
        <v>0</v>
      </c>
      <c r="H3943" s="252">
        <f t="shared" si="325"/>
        <v>7449.0599999999995</v>
      </c>
    </row>
    <row r="3944" spans="1:9" ht="13.5" thickBot="1" x14ac:dyDescent="0.25">
      <c r="A3944" s="938"/>
      <c r="B3944" s="528" t="s">
        <v>269</v>
      </c>
      <c r="C3944" s="88" t="s">
        <v>284</v>
      </c>
      <c r="D3944" s="109" t="s">
        <v>586</v>
      </c>
      <c r="E3944" s="200">
        <v>0.1</v>
      </c>
      <c r="F3944" s="110">
        <f>H3942</f>
        <v>31037.75</v>
      </c>
      <c r="G3944" s="156">
        <v>0</v>
      </c>
      <c r="H3944" s="479">
        <f t="shared" si="325"/>
        <v>3103.7750000000001</v>
      </c>
    </row>
    <row r="3945" spans="1:9" s="42" customFormat="1" ht="30" x14ac:dyDescent="0.2">
      <c r="A3945" s="67" t="s">
        <v>1069</v>
      </c>
      <c r="B3945" s="529"/>
      <c r="C3945" s="388" t="s">
        <v>3368</v>
      </c>
      <c r="D3945" s="389" t="s">
        <v>405</v>
      </c>
      <c r="E3945" s="390"/>
      <c r="F3945" s="391">
        <f>ROUND(SUM(H3945:H3951),0)</f>
        <v>70397</v>
      </c>
      <c r="G3945" s="392"/>
      <c r="H3945" s="393"/>
      <c r="I3945" s="738"/>
    </row>
    <row r="3946" spans="1:9" x14ac:dyDescent="0.2">
      <c r="A3946" s="936" t="s">
        <v>382</v>
      </c>
      <c r="B3946" s="241" t="s">
        <v>1280</v>
      </c>
      <c r="C3946" s="3" t="s">
        <v>335</v>
      </c>
      <c r="D3946" s="2" t="s">
        <v>405</v>
      </c>
      <c r="E3946" s="114">
        <v>4</v>
      </c>
      <c r="F3946" s="23">
        <f>VLOOKUP(B3946,'BASE DE DATOS'!$A$5:$E$997,5,FALSE)</f>
        <v>584</v>
      </c>
      <c r="G3946" s="104">
        <v>0</v>
      </c>
      <c r="H3946" s="252">
        <f t="shared" si="325"/>
        <v>2336</v>
      </c>
    </row>
    <row r="3947" spans="1:9" x14ac:dyDescent="0.2">
      <c r="A3947" s="936"/>
      <c r="B3947" s="241" t="s">
        <v>1281</v>
      </c>
      <c r="C3947" s="3" t="s">
        <v>633</v>
      </c>
      <c r="D3947" s="2" t="s">
        <v>406</v>
      </c>
      <c r="E3947" s="114">
        <v>1</v>
      </c>
      <c r="F3947" s="23">
        <f>VLOOKUP(B3947,'BASE DE DATOS'!$A$5:$E$997,5,FALSE)</f>
        <v>11400</v>
      </c>
      <c r="G3947" s="104">
        <v>0</v>
      </c>
      <c r="H3947" s="252">
        <f>IF(G3947&gt;0,(G3947*F3947*E3947),(F3947*E3947))</f>
        <v>11400</v>
      </c>
    </row>
    <row r="3948" spans="1:9" x14ac:dyDescent="0.2">
      <c r="A3948" s="936"/>
      <c r="B3948" s="241" t="s">
        <v>1748</v>
      </c>
      <c r="C3948" s="3" t="s">
        <v>2673</v>
      </c>
      <c r="D3948" s="2" t="s">
        <v>406</v>
      </c>
      <c r="E3948" s="114">
        <v>3.0000000000000001E-3</v>
      </c>
      <c r="F3948" s="23">
        <f>VLOOKUP(B3948,'BASE DE DATOS'!$A$5:$E$997,5,FALSE)</f>
        <v>10900</v>
      </c>
      <c r="G3948" s="104">
        <v>0</v>
      </c>
      <c r="H3948" s="252">
        <f t="shared" si="325"/>
        <v>32.700000000000003</v>
      </c>
    </row>
    <row r="3949" spans="1:9" x14ac:dyDescent="0.2">
      <c r="A3949" s="936"/>
      <c r="B3949" s="241" t="s">
        <v>1547</v>
      </c>
      <c r="C3949" s="3" t="s">
        <v>3889</v>
      </c>
      <c r="D3949" s="2" t="s">
        <v>411</v>
      </c>
      <c r="E3949" s="114">
        <v>0.4</v>
      </c>
      <c r="F3949" s="23">
        <f>VLOOKUP(B3949,'BASE DE DATOS'!$A$5:$E$997,5,FALSE)</f>
        <v>48900</v>
      </c>
      <c r="G3949" s="104">
        <v>0</v>
      </c>
      <c r="H3949" s="252">
        <f t="shared" si="325"/>
        <v>19560</v>
      </c>
    </row>
    <row r="3950" spans="1:9" x14ac:dyDescent="0.2">
      <c r="A3950" s="81" t="s">
        <v>2555</v>
      </c>
      <c r="B3950" s="241" t="s">
        <v>607</v>
      </c>
      <c r="C3950" s="3" t="s">
        <v>608</v>
      </c>
      <c r="D3950" s="2" t="s">
        <v>585</v>
      </c>
      <c r="E3950" s="114">
        <v>1</v>
      </c>
      <c r="F3950" s="23">
        <f>VLOOKUP(B3950,'BASE DE DATOS'!$A$5:$E$997,5,FALSE)</f>
        <v>336981</v>
      </c>
      <c r="G3950" s="104">
        <f>1/10</f>
        <v>0.1</v>
      </c>
      <c r="H3950" s="252">
        <f t="shared" si="325"/>
        <v>33698.1</v>
      </c>
    </row>
    <row r="3951" spans="1:9" ht="13.5" thickBot="1" x14ac:dyDescent="0.25">
      <c r="A3951" s="84" t="s">
        <v>293</v>
      </c>
      <c r="B3951" s="528" t="s">
        <v>269</v>
      </c>
      <c r="C3951" s="108" t="s">
        <v>284</v>
      </c>
      <c r="D3951" s="109" t="s">
        <v>586</v>
      </c>
      <c r="E3951" s="200">
        <v>0.1</v>
      </c>
      <c r="F3951" s="110">
        <f>H3950</f>
        <v>33698.1</v>
      </c>
      <c r="G3951" s="156">
        <v>0</v>
      </c>
      <c r="H3951" s="479">
        <f t="shared" si="325"/>
        <v>3369.81</v>
      </c>
    </row>
    <row r="3952" spans="1:9" s="42" customFormat="1" ht="33.75" customHeight="1" x14ac:dyDescent="0.2">
      <c r="A3952" s="458" t="s">
        <v>1070</v>
      </c>
      <c r="B3952" s="529"/>
      <c r="C3952" s="388" t="s">
        <v>424</v>
      </c>
      <c r="D3952" s="389" t="s">
        <v>405</v>
      </c>
      <c r="E3952" s="395"/>
      <c r="F3952" s="391">
        <f>ROUND(SUM(H3952:H3957),0)</f>
        <v>58331</v>
      </c>
      <c r="G3952" s="392"/>
      <c r="H3952" s="393"/>
      <c r="I3952" s="738"/>
    </row>
    <row r="3953" spans="1:9" x14ac:dyDescent="0.2">
      <c r="A3953" s="936" t="s">
        <v>382</v>
      </c>
      <c r="B3953" s="241" t="s">
        <v>1280</v>
      </c>
      <c r="C3953" s="3" t="s">
        <v>335</v>
      </c>
      <c r="D3953" s="2" t="s">
        <v>405</v>
      </c>
      <c r="E3953" s="114">
        <v>3</v>
      </c>
      <c r="F3953" s="23">
        <f>VLOOKUP(B3953,'BASE DE DATOS'!$A$5:$E$997,5,FALSE)</f>
        <v>584</v>
      </c>
      <c r="G3953" s="104">
        <v>0</v>
      </c>
      <c r="H3953" s="252">
        <f t="shared" si="325"/>
        <v>1752</v>
      </c>
    </row>
    <row r="3954" spans="1:9" x14ac:dyDescent="0.2">
      <c r="A3954" s="936"/>
      <c r="B3954" s="241" t="s">
        <v>1748</v>
      </c>
      <c r="C3954" s="3" t="s">
        <v>2673</v>
      </c>
      <c r="D3954" s="2" t="s">
        <v>406</v>
      </c>
      <c r="E3954" s="196">
        <v>3.0000000000000001E-3</v>
      </c>
      <c r="F3954" s="23">
        <f>VLOOKUP(B3954,'BASE DE DATOS'!$A$5:$E$997,5,FALSE)</f>
        <v>10900</v>
      </c>
      <c r="G3954" s="104">
        <v>0</v>
      </c>
      <c r="H3954" s="252">
        <f t="shared" si="325"/>
        <v>32.700000000000003</v>
      </c>
    </row>
    <row r="3955" spans="1:9" s="33" customFormat="1" x14ac:dyDescent="0.2">
      <c r="A3955" s="936"/>
      <c r="B3955" s="241" t="s">
        <v>1548</v>
      </c>
      <c r="C3955" s="3" t="s">
        <v>3891</v>
      </c>
      <c r="D3955" s="2" t="s">
        <v>411</v>
      </c>
      <c r="E3955" s="196">
        <v>0.62</v>
      </c>
      <c r="F3955" s="23">
        <f>VLOOKUP(B3955,'BASE DE DATOS'!$A$5:$E$997,5,FALSE)</f>
        <v>48900</v>
      </c>
      <c r="G3955" s="104">
        <v>1.05</v>
      </c>
      <c r="H3955" s="252">
        <f t="shared" si="325"/>
        <v>31833.9</v>
      </c>
    </row>
    <row r="3956" spans="1:9" x14ac:dyDescent="0.2">
      <c r="A3956" s="81" t="s">
        <v>2555</v>
      </c>
      <c r="B3956" s="241" t="s">
        <v>607</v>
      </c>
      <c r="C3956" s="3" t="s">
        <v>608</v>
      </c>
      <c r="D3956" s="2" t="s">
        <v>585</v>
      </c>
      <c r="E3956" s="196">
        <v>1</v>
      </c>
      <c r="F3956" s="23">
        <f>VLOOKUP(B3956,'BASE DE DATOS'!$A$5:$E$997,5,FALSE)</f>
        <v>336981</v>
      </c>
      <c r="G3956" s="104">
        <f>1/15</f>
        <v>6.6666666666666666E-2</v>
      </c>
      <c r="H3956" s="252">
        <f t="shared" si="325"/>
        <v>22465.4</v>
      </c>
    </row>
    <row r="3957" spans="1:9" s="33" customFormat="1" ht="13.5" thickBot="1" x14ac:dyDescent="0.25">
      <c r="A3957" s="85" t="s">
        <v>293</v>
      </c>
      <c r="B3957" s="530" t="s">
        <v>269</v>
      </c>
      <c r="C3957" s="88" t="s">
        <v>284</v>
      </c>
      <c r="D3957" s="89" t="s">
        <v>586</v>
      </c>
      <c r="E3957" s="197">
        <v>0.1</v>
      </c>
      <c r="F3957" s="90">
        <f>H3956</f>
        <v>22465.4</v>
      </c>
      <c r="G3957" s="153">
        <v>0</v>
      </c>
      <c r="H3957" s="479">
        <f t="shared" si="325"/>
        <v>2246.5400000000004</v>
      </c>
    </row>
    <row r="3958" spans="1:9" s="42" customFormat="1" ht="15" x14ac:dyDescent="0.2">
      <c r="A3958" s="458" t="s">
        <v>1071</v>
      </c>
      <c r="B3958" s="529"/>
      <c r="C3958" s="388" t="s">
        <v>422</v>
      </c>
      <c r="D3958" s="389" t="s">
        <v>405</v>
      </c>
      <c r="E3958" s="390"/>
      <c r="F3958" s="391">
        <f>ROUND(SUM(H3958:H3965),0)</f>
        <v>52375</v>
      </c>
      <c r="G3958" s="392"/>
      <c r="H3958" s="393"/>
      <c r="I3958" s="738"/>
    </row>
    <row r="3959" spans="1:9" s="33" customFormat="1" x14ac:dyDescent="0.2">
      <c r="A3959" s="939" t="s">
        <v>295</v>
      </c>
      <c r="B3959" s="241" t="s">
        <v>1383</v>
      </c>
      <c r="C3959" s="3" t="s">
        <v>602</v>
      </c>
      <c r="D3959" s="2" t="s">
        <v>411</v>
      </c>
      <c r="E3959" s="114">
        <f>1/(3*0.25)</f>
        <v>1.3333333333333333</v>
      </c>
      <c r="F3959" s="23">
        <f>VLOOKUP(B3959,'BASE DE DATOS'!$A$5:$E$997,5,FALSE)</f>
        <v>7000</v>
      </c>
      <c r="G3959" s="104">
        <v>1.03</v>
      </c>
      <c r="H3959" s="252">
        <f t="shared" si="325"/>
        <v>9613.3333333333321</v>
      </c>
    </row>
    <row r="3960" spans="1:9" x14ac:dyDescent="0.2">
      <c r="A3960" s="939"/>
      <c r="B3960" s="241" t="s">
        <v>1748</v>
      </c>
      <c r="C3960" s="3" t="s">
        <v>2673</v>
      </c>
      <c r="D3960" s="2" t="s">
        <v>406</v>
      </c>
      <c r="E3960" s="114">
        <v>3.0000000000000001E-3</v>
      </c>
      <c r="F3960" s="23">
        <f>VLOOKUP(B3960,'BASE DE DATOS'!$A$5:$E$997,5,FALSE)</f>
        <v>10900</v>
      </c>
      <c r="G3960" s="104">
        <v>0</v>
      </c>
      <c r="H3960" s="252">
        <f t="shared" si="325"/>
        <v>32.700000000000003</v>
      </c>
    </row>
    <row r="3961" spans="1:9" x14ac:dyDescent="0.2">
      <c r="A3961" s="939"/>
      <c r="B3961" s="241" t="s">
        <v>1418</v>
      </c>
      <c r="C3961" s="3" t="s">
        <v>591</v>
      </c>
      <c r="D3961" s="2" t="s">
        <v>411</v>
      </c>
      <c r="E3961" s="114">
        <v>0.33</v>
      </c>
      <c r="F3961" s="23">
        <f>VLOOKUP(B3961,'BASE DE DATOS'!$A$5:$E$997,5,FALSE)</f>
        <v>5250</v>
      </c>
      <c r="G3961" s="104">
        <v>1.03</v>
      </c>
      <c r="H3961" s="252">
        <f t="shared" si="325"/>
        <v>1784.4750000000001</v>
      </c>
    </row>
    <row r="3962" spans="1:9" x14ac:dyDescent="0.2">
      <c r="A3962" s="939"/>
      <c r="B3962" s="241" t="s">
        <v>1463</v>
      </c>
      <c r="C3962" s="3" t="s">
        <v>593</v>
      </c>
      <c r="D3962" s="2" t="s">
        <v>405</v>
      </c>
      <c r="E3962" s="114">
        <v>4.5</v>
      </c>
      <c r="F3962" s="23">
        <f>VLOOKUP(B3962,'BASE DE DATOS'!$A$5:$E$997,5,FALSE)</f>
        <v>4704</v>
      </c>
      <c r="G3962" s="104">
        <v>1.03</v>
      </c>
      <c r="H3962" s="252">
        <f t="shared" si="325"/>
        <v>21803.040000000001</v>
      </c>
    </row>
    <row r="3963" spans="1:9" s="33" customFormat="1" x14ac:dyDescent="0.2">
      <c r="A3963" s="939"/>
      <c r="B3963" s="241" t="s">
        <v>1558</v>
      </c>
      <c r="C3963" s="3" t="s">
        <v>603</v>
      </c>
      <c r="D3963" s="2" t="s">
        <v>590</v>
      </c>
      <c r="E3963" s="114">
        <v>0.05</v>
      </c>
      <c r="F3963" s="23">
        <f>VLOOKUP(B3963,'BASE DE DATOS'!$A$5:$E$997,5,FALSE)</f>
        <v>5650</v>
      </c>
      <c r="G3963" s="104">
        <v>0</v>
      </c>
      <c r="H3963" s="252">
        <f t="shared" si="325"/>
        <v>282.5</v>
      </c>
    </row>
    <row r="3964" spans="1:9" x14ac:dyDescent="0.2">
      <c r="A3964" s="81" t="s">
        <v>2555</v>
      </c>
      <c r="B3964" s="241" t="s">
        <v>587</v>
      </c>
      <c r="C3964" s="3" t="s">
        <v>588</v>
      </c>
      <c r="D3964" s="2" t="s">
        <v>585</v>
      </c>
      <c r="E3964" s="114">
        <v>1</v>
      </c>
      <c r="F3964" s="23">
        <f>VLOOKUP(B3964,'BASE DE DATOS'!$A$5:$E$997,5,FALSE)</f>
        <v>514339</v>
      </c>
      <c r="G3964" s="104">
        <f>1/30</f>
        <v>3.3333333333333333E-2</v>
      </c>
      <c r="H3964" s="252">
        <f t="shared" si="325"/>
        <v>17144.633333333331</v>
      </c>
    </row>
    <row r="3965" spans="1:9" ht="13.5" thickBot="1" x14ac:dyDescent="0.25">
      <c r="A3965" s="85" t="s">
        <v>293</v>
      </c>
      <c r="B3965" s="530" t="s">
        <v>269</v>
      </c>
      <c r="C3965" s="88" t="s">
        <v>284</v>
      </c>
      <c r="D3965" s="89" t="s">
        <v>586</v>
      </c>
      <c r="E3965" s="193">
        <v>0.1</v>
      </c>
      <c r="F3965" s="90">
        <f>H3964</f>
        <v>17144.633333333331</v>
      </c>
      <c r="G3965" s="153">
        <v>0</v>
      </c>
      <c r="H3965" s="479">
        <f t="shared" si="325"/>
        <v>1714.4633333333331</v>
      </c>
    </row>
    <row r="3966" spans="1:9" s="42" customFormat="1" ht="30" x14ac:dyDescent="0.2">
      <c r="A3966" s="67" t="s">
        <v>1072</v>
      </c>
      <c r="B3966" s="529"/>
      <c r="C3966" s="388" t="s">
        <v>420</v>
      </c>
      <c r="D3966" s="389" t="s">
        <v>405</v>
      </c>
      <c r="E3966" s="395"/>
      <c r="F3966" s="391">
        <f>ROUND(SUM(H3966:H3973),0)</f>
        <v>12437</v>
      </c>
      <c r="G3966" s="392"/>
      <c r="H3966" s="393"/>
      <c r="I3966" s="738"/>
    </row>
    <row r="3967" spans="1:9" x14ac:dyDescent="0.2">
      <c r="A3967" s="939" t="s">
        <v>295</v>
      </c>
      <c r="B3967" s="241" t="s">
        <v>1733</v>
      </c>
      <c r="C3967" s="3" t="s">
        <v>1959</v>
      </c>
      <c r="D3967" s="2" t="s">
        <v>406</v>
      </c>
      <c r="E3967" s="196">
        <v>1E-3</v>
      </c>
      <c r="F3967" s="23">
        <f>VLOOKUP(B3967,'BASE DE DATOS'!$A$5:$E$997,5,FALSE)</f>
        <v>20000</v>
      </c>
      <c r="G3967" s="104">
        <v>1.03</v>
      </c>
      <c r="H3967" s="252">
        <f>IF(G3967&gt;0,(G3967*F3967*E3967),(F3967*E3967))</f>
        <v>20.6</v>
      </c>
    </row>
    <row r="3968" spans="1:9" x14ac:dyDescent="0.2">
      <c r="A3968" s="939"/>
      <c r="B3968" s="241" t="s">
        <v>1573</v>
      </c>
      <c r="C3968" s="3" t="s">
        <v>2703</v>
      </c>
      <c r="D3968" s="2" t="s">
        <v>406</v>
      </c>
      <c r="E3968" s="196">
        <v>0.01</v>
      </c>
      <c r="F3968" s="23">
        <f>VLOOKUP(B3968,'BASE DE DATOS'!$A$5:$E$997,5,FALSE)</f>
        <v>924</v>
      </c>
      <c r="G3968" s="104">
        <v>1.03</v>
      </c>
      <c r="H3968" s="252">
        <f>IF(G3968&gt;0,(G3968*F3968*E3968),(F3968*E3968))</f>
        <v>9.5172000000000008</v>
      </c>
    </row>
    <row r="3969" spans="1:9" x14ac:dyDescent="0.2">
      <c r="A3969" s="939"/>
      <c r="B3969" s="241" t="s">
        <v>1390</v>
      </c>
      <c r="C3969" s="3" t="s">
        <v>40</v>
      </c>
      <c r="D3969" s="2" t="s">
        <v>406</v>
      </c>
      <c r="E3969" s="196">
        <v>0.01</v>
      </c>
      <c r="F3969" s="23">
        <f>VLOOKUP(B3969,'BASE DE DATOS'!$A$5:$E$997,5,FALSE)</f>
        <v>3494</v>
      </c>
      <c r="G3969" s="104">
        <v>1.03</v>
      </c>
      <c r="H3969" s="252">
        <f>IF(G3969&gt;0,(G3969*F3969*E3969),(F3969*E3969))</f>
        <v>35.988199999999999</v>
      </c>
    </row>
    <row r="3970" spans="1:9" x14ac:dyDescent="0.2">
      <c r="A3970" s="939"/>
      <c r="B3970" s="241" t="s">
        <v>1433</v>
      </c>
      <c r="C3970" s="3" t="s">
        <v>2675</v>
      </c>
      <c r="D3970" s="2" t="s">
        <v>406</v>
      </c>
      <c r="E3970" s="196">
        <v>2E-3</v>
      </c>
      <c r="F3970" s="23">
        <f>VLOOKUP(B3970,'BASE DE DATOS'!$A$5:$E$997,5,FALSE)</f>
        <v>75400</v>
      </c>
      <c r="G3970" s="104">
        <v>1.03</v>
      </c>
      <c r="H3970" s="252">
        <f>IF(G3970&gt;0,(G3970*F3970*E3970),(F3970*E3970))</f>
        <v>155.32400000000001</v>
      </c>
    </row>
    <row r="3971" spans="1:9" ht="26.45" customHeight="1" x14ac:dyDescent="0.2">
      <c r="A3971" s="939"/>
      <c r="B3971" s="241" t="s">
        <v>1537</v>
      </c>
      <c r="C3971" s="3" t="s">
        <v>260</v>
      </c>
      <c r="D3971" s="2" t="s">
        <v>411</v>
      </c>
      <c r="E3971" s="196">
        <v>0.4</v>
      </c>
      <c r="F3971" s="23">
        <f>VLOOKUP(B3971,'BASE DE DATOS'!$A$5:$E$997,5,FALSE)</f>
        <v>18900</v>
      </c>
      <c r="G3971" s="104">
        <v>0</v>
      </c>
      <c r="H3971" s="252">
        <f t="shared" si="325"/>
        <v>7560</v>
      </c>
    </row>
    <row r="3972" spans="1:9" x14ac:dyDescent="0.2">
      <c r="A3972" s="81" t="s">
        <v>2555</v>
      </c>
      <c r="B3972" s="241" t="s">
        <v>583</v>
      </c>
      <c r="C3972" s="3" t="s">
        <v>584</v>
      </c>
      <c r="D3972" s="2" t="s">
        <v>585</v>
      </c>
      <c r="E3972" s="196">
        <v>1</v>
      </c>
      <c r="F3972" s="23">
        <f>VLOOKUP(B3972,'BASE DE DATOS'!$A$5:$E$997,5,FALSE)</f>
        <v>88679</v>
      </c>
      <c r="G3972" s="104">
        <f>1/20</f>
        <v>0.05</v>
      </c>
      <c r="H3972" s="252">
        <f t="shared" si="325"/>
        <v>4433.95</v>
      </c>
    </row>
    <row r="3973" spans="1:9" ht="13.5" thickBot="1" x14ac:dyDescent="0.25">
      <c r="A3973" s="504" t="s">
        <v>293</v>
      </c>
      <c r="B3973" s="530" t="s">
        <v>269</v>
      </c>
      <c r="C3973" s="88" t="s">
        <v>284</v>
      </c>
      <c r="D3973" s="89" t="s">
        <v>586</v>
      </c>
      <c r="E3973" s="197">
        <v>0.05</v>
      </c>
      <c r="F3973" s="90">
        <f>H3972</f>
        <v>4433.95</v>
      </c>
      <c r="G3973" s="153">
        <v>0</v>
      </c>
      <c r="H3973" s="479">
        <f t="shared" si="325"/>
        <v>221.69749999999999</v>
      </c>
    </row>
    <row r="3974" spans="1:9" s="42" customFormat="1" ht="15" x14ac:dyDescent="0.2">
      <c r="A3974" s="67" t="s">
        <v>1072</v>
      </c>
      <c r="B3974" s="529"/>
      <c r="C3974" s="388" t="s">
        <v>60</v>
      </c>
      <c r="D3974" s="389" t="s">
        <v>405</v>
      </c>
      <c r="E3974" s="395"/>
      <c r="F3974" s="391">
        <f>ROUND(SUM(H3974:H3981),0)</f>
        <v>9607</v>
      </c>
      <c r="G3974" s="392"/>
      <c r="H3974" s="393"/>
      <c r="I3974" s="738"/>
    </row>
    <row r="3975" spans="1:9" ht="13.15" customHeight="1" x14ac:dyDescent="0.2">
      <c r="A3975" s="939" t="s">
        <v>295</v>
      </c>
      <c r="B3975" s="241" t="s">
        <v>1733</v>
      </c>
      <c r="C3975" s="3" t="s">
        <v>1959</v>
      </c>
      <c r="D3975" s="2" t="s">
        <v>406</v>
      </c>
      <c r="E3975" s="196">
        <v>1E-3</v>
      </c>
      <c r="F3975" s="23">
        <f>VLOOKUP(B3975,'BASE DE DATOS'!$A$5:$E$997,5,FALSE)</f>
        <v>20000</v>
      </c>
      <c r="G3975" s="104">
        <v>1.03</v>
      </c>
      <c r="H3975" s="252">
        <f>IF(G3975&gt;0,(G3975*F3975*E3975),(F3975*E3975))</f>
        <v>20.6</v>
      </c>
    </row>
    <row r="3976" spans="1:9" x14ac:dyDescent="0.2">
      <c r="A3976" s="939"/>
      <c r="B3976" s="241" t="s">
        <v>1573</v>
      </c>
      <c r="C3976" s="3" t="s">
        <v>2703</v>
      </c>
      <c r="D3976" s="2" t="s">
        <v>406</v>
      </c>
      <c r="E3976" s="196">
        <v>8.0000000000000002E-3</v>
      </c>
      <c r="F3976" s="23">
        <f>VLOOKUP(B3976,'BASE DE DATOS'!$A$5:$E$997,5,FALSE)</f>
        <v>924</v>
      </c>
      <c r="G3976" s="104">
        <v>1.03</v>
      </c>
      <c r="H3976" s="252">
        <f>IF(G3976&gt;0,(G3976*F3976*E3976),(F3976*E3976))</f>
        <v>7.6137600000000001</v>
      </c>
    </row>
    <row r="3977" spans="1:9" x14ac:dyDescent="0.2">
      <c r="A3977" s="939"/>
      <c r="B3977" s="241" t="s">
        <v>1390</v>
      </c>
      <c r="C3977" s="3" t="s">
        <v>41</v>
      </c>
      <c r="D3977" s="2" t="s">
        <v>406</v>
      </c>
      <c r="E3977" s="196">
        <v>8.0000000000000002E-3</v>
      </c>
      <c r="F3977" s="23">
        <f>VLOOKUP(B3977,'BASE DE DATOS'!$A$5:$E$997,5,FALSE)</f>
        <v>3494</v>
      </c>
      <c r="G3977" s="104">
        <v>1.03</v>
      </c>
      <c r="H3977" s="252">
        <f>IF(G3977&gt;0,(G3977*F3977*E3977),(F3977*E3977))</f>
        <v>28.790560000000003</v>
      </c>
    </row>
    <row r="3978" spans="1:9" x14ac:dyDescent="0.2">
      <c r="A3978" s="939"/>
      <c r="B3978" s="241" t="s">
        <v>1433</v>
      </c>
      <c r="C3978" s="3" t="s">
        <v>2675</v>
      </c>
      <c r="D3978" s="2" t="s">
        <v>406</v>
      </c>
      <c r="E3978" s="196">
        <v>2E-3</v>
      </c>
      <c r="F3978" s="23">
        <f>VLOOKUP(B3978,'BASE DE DATOS'!$A$5:$E$997,5,FALSE)</f>
        <v>75400</v>
      </c>
      <c r="G3978" s="104">
        <v>1.03</v>
      </c>
      <c r="H3978" s="252">
        <f>IF(G3978&gt;0,(G3978*F3978*E3978),(F3978*E3978))</f>
        <v>155.32400000000001</v>
      </c>
    </row>
    <row r="3979" spans="1:9" ht="27" customHeight="1" x14ac:dyDescent="0.2">
      <c r="A3979" s="939"/>
      <c r="B3979" s="241" t="s">
        <v>1539</v>
      </c>
      <c r="C3979" s="3" t="s">
        <v>351</v>
      </c>
      <c r="D3979" s="136" t="s">
        <v>411</v>
      </c>
      <c r="E3979" s="196">
        <v>0.3</v>
      </c>
      <c r="F3979" s="23">
        <f>VLOOKUP(B3979,'BASE DE DATOS'!$A$5:$E$997,5,FALSE)</f>
        <v>18900</v>
      </c>
      <c r="G3979" s="104">
        <v>0</v>
      </c>
      <c r="H3979" s="252">
        <f t="shared" si="325"/>
        <v>5670</v>
      </c>
    </row>
    <row r="3980" spans="1:9" x14ac:dyDescent="0.2">
      <c r="A3980" s="81" t="s">
        <v>2555</v>
      </c>
      <c r="B3980" s="241" t="s">
        <v>583</v>
      </c>
      <c r="C3980" s="3" t="s">
        <v>584</v>
      </c>
      <c r="D3980" s="2" t="s">
        <v>585</v>
      </c>
      <c r="E3980" s="196">
        <v>1</v>
      </c>
      <c r="F3980" s="23">
        <f>VLOOKUP(B3980,'BASE DE DATOS'!$A$5:$E$997,5,FALSE)</f>
        <v>88679</v>
      </c>
      <c r="G3980" s="104">
        <f>1/25</f>
        <v>0.04</v>
      </c>
      <c r="H3980" s="252">
        <f t="shared" si="325"/>
        <v>3547.16</v>
      </c>
    </row>
    <row r="3981" spans="1:9" ht="13.5" thickBot="1" x14ac:dyDescent="0.25">
      <c r="A3981" s="504" t="s">
        <v>293</v>
      </c>
      <c r="B3981" s="530" t="s">
        <v>269</v>
      </c>
      <c r="C3981" s="88" t="s">
        <v>284</v>
      </c>
      <c r="D3981" s="89" t="s">
        <v>586</v>
      </c>
      <c r="E3981" s="197">
        <v>0.05</v>
      </c>
      <c r="F3981" s="90">
        <f>H3980</f>
        <v>3547.16</v>
      </c>
      <c r="G3981" s="153">
        <v>0</v>
      </c>
      <c r="H3981" s="479">
        <f t="shared" si="325"/>
        <v>177.358</v>
      </c>
    </row>
    <row r="3982" spans="1:9" s="42" customFormat="1" ht="15" x14ac:dyDescent="0.2">
      <c r="A3982" s="67" t="s">
        <v>1073</v>
      </c>
      <c r="B3982" s="529"/>
      <c r="C3982" s="388" t="s">
        <v>61</v>
      </c>
      <c r="D3982" s="389" t="s">
        <v>405</v>
      </c>
      <c r="E3982" s="395"/>
      <c r="F3982" s="391">
        <f>ROUND(SUM(H3982:H3989),0)</f>
        <v>8648</v>
      </c>
      <c r="G3982" s="392"/>
      <c r="H3982" s="393"/>
      <c r="I3982" s="738"/>
    </row>
    <row r="3983" spans="1:9" ht="13.15" customHeight="1" x14ac:dyDescent="0.2">
      <c r="A3983" s="939" t="s">
        <v>295</v>
      </c>
      <c r="B3983" s="241" t="s">
        <v>1733</v>
      </c>
      <c r="C3983" s="3" t="s">
        <v>1959</v>
      </c>
      <c r="D3983" s="2" t="s">
        <v>406</v>
      </c>
      <c r="E3983" s="196">
        <v>1E-3</v>
      </c>
      <c r="F3983" s="23">
        <f>VLOOKUP(B3983,'BASE DE DATOS'!$A$5:$E$997,5,FALSE)</f>
        <v>20000</v>
      </c>
      <c r="G3983" s="104">
        <v>1.03</v>
      </c>
      <c r="H3983" s="252">
        <f>IF(G3983&gt;0,(G3983*F3983*E3983),(F3983*E3983))</f>
        <v>20.6</v>
      </c>
    </row>
    <row r="3984" spans="1:9" x14ac:dyDescent="0.2">
      <c r="A3984" s="939"/>
      <c r="B3984" s="241" t="s">
        <v>1573</v>
      </c>
      <c r="C3984" s="3" t="s">
        <v>2703</v>
      </c>
      <c r="D3984" s="2" t="s">
        <v>406</v>
      </c>
      <c r="E3984" s="196">
        <v>5.0000000000000001E-3</v>
      </c>
      <c r="F3984" s="23">
        <f>VLOOKUP(B3984,'BASE DE DATOS'!$A$5:$E$997,5,FALSE)</f>
        <v>924</v>
      </c>
      <c r="G3984" s="104">
        <v>1.03</v>
      </c>
      <c r="H3984" s="252">
        <f>IF(G3984&gt;0,(G3984*F3984*E3984),(F3984*E3984))</f>
        <v>4.7586000000000004</v>
      </c>
    </row>
    <row r="3985" spans="1:9" x14ac:dyDescent="0.2">
      <c r="A3985" s="939"/>
      <c r="B3985" s="241" t="s">
        <v>1390</v>
      </c>
      <c r="C3985" s="3" t="s">
        <v>40</v>
      </c>
      <c r="D3985" s="2" t="s">
        <v>406</v>
      </c>
      <c r="E3985" s="196">
        <v>5.0000000000000001E-3</v>
      </c>
      <c r="F3985" s="23">
        <f>VLOOKUP(B3985,'BASE DE DATOS'!$A$5:$E$997,5,FALSE)</f>
        <v>3494</v>
      </c>
      <c r="G3985" s="104">
        <v>1.03</v>
      </c>
      <c r="H3985" s="252">
        <f>IF(G3985&gt;0,(G3985*F3985*E3985),(F3985*E3985))</f>
        <v>17.9941</v>
      </c>
    </row>
    <row r="3986" spans="1:9" x14ac:dyDescent="0.2">
      <c r="A3986" s="939"/>
      <c r="B3986" s="241" t="s">
        <v>1433</v>
      </c>
      <c r="C3986" s="3" t="s">
        <v>2675</v>
      </c>
      <c r="D3986" s="2" t="s">
        <v>406</v>
      </c>
      <c r="E3986" s="196">
        <v>2E-3</v>
      </c>
      <c r="F3986" s="23">
        <f>VLOOKUP(B3986,'BASE DE DATOS'!$A$5:$E$997,5,FALSE)</f>
        <v>75400</v>
      </c>
      <c r="G3986" s="104">
        <v>1.03</v>
      </c>
      <c r="H3986" s="252">
        <f>IF(G3986&gt;0,(G3986*F3986*E3986),(F3986*E3986))</f>
        <v>155.32400000000001</v>
      </c>
    </row>
    <row r="3987" spans="1:9" ht="25.5" x14ac:dyDescent="0.2">
      <c r="A3987" s="939"/>
      <c r="B3987" s="241" t="s">
        <v>1539</v>
      </c>
      <c r="C3987" s="3" t="s">
        <v>351</v>
      </c>
      <c r="D3987" s="136" t="s">
        <v>411</v>
      </c>
      <c r="E3987" s="196">
        <v>0.25</v>
      </c>
      <c r="F3987" s="23">
        <f>VLOOKUP(B3987,'BASE DE DATOS'!$A$5:$E$997,5,FALSE)</f>
        <v>18900</v>
      </c>
      <c r="G3987" s="104">
        <v>0</v>
      </c>
      <c r="H3987" s="252">
        <f t="shared" si="325"/>
        <v>4725</v>
      </c>
    </row>
    <row r="3988" spans="1:9" x14ac:dyDescent="0.2">
      <c r="A3988" s="81" t="s">
        <v>2555</v>
      </c>
      <c r="B3988" s="241" t="s">
        <v>583</v>
      </c>
      <c r="C3988" s="3" t="s">
        <v>584</v>
      </c>
      <c r="D3988" s="2" t="s">
        <v>585</v>
      </c>
      <c r="E3988" s="196">
        <v>1</v>
      </c>
      <c r="F3988" s="23">
        <f>VLOOKUP(B3988,'BASE DE DATOS'!$A$5:$E$997,5,FALSE)</f>
        <v>88679</v>
      </c>
      <c r="G3988" s="104">
        <f>1/25</f>
        <v>0.04</v>
      </c>
      <c r="H3988" s="252">
        <f t="shared" ref="H3988:H4037" si="326">IF(G3988&gt;0,(G3988*F3988*E3988),(F3988*E3988))</f>
        <v>3547.16</v>
      </c>
    </row>
    <row r="3989" spans="1:9" ht="13.5" thickBot="1" x14ac:dyDescent="0.25">
      <c r="A3989" s="504" t="s">
        <v>293</v>
      </c>
      <c r="B3989" s="530" t="s">
        <v>269</v>
      </c>
      <c r="C3989" s="88" t="s">
        <v>284</v>
      </c>
      <c r="D3989" s="89" t="s">
        <v>586</v>
      </c>
      <c r="E3989" s="197">
        <v>0.05</v>
      </c>
      <c r="F3989" s="90">
        <f>H3988</f>
        <v>3547.16</v>
      </c>
      <c r="G3989" s="153">
        <v>0</v>
      </c>
      <c r="H3989" s="479">
        <f t="shared" si="326"/>
        <v>177.358</v>
      </c>
    </row>
    <row r="3990" spans="1:9" s="42" customFormat="1" ht="15" x14ac:dyDescent="0.2">
      <c r="A3990" s="67" t="s">
        <v>1074</v>
      </c>
      <c r="B3990" s="529"/>
      <c r="C3990" s="388" t="s">
        <v>62</v>
      </c>
      <c r="D3990" s="389" t="s">
        <v>405</v>
      </c>
      <c r="E3990" s="395"/>
      <c r="F3990" s="391">
        <f>ROUND(SUM(H3990:H3997),0)</f>
        <v>7527</v>
      </c>
      <c r="G3990" s="392"/>
      <c r="H3990" s="393"/>
      <c r="I3990" s="738"/>
    </row>
    <row r="3991" spans="1:9" x14ac:dyDescent="0.2">
      <c r="A3991" s="939" t="s">
        <v>295</v>
      </c>
      <c r="B3991" s="241" t="s">
        <v>1733</v>
      </c>
      <c r="C3991" s="3" t="s">
        <v>1959</v>
      </c>
      <c r="D3991" s="2" t="s">
        <v>406</v>
      </c>
      <c r="E3991" s="196">
        <v>1E-4</v>
      </c>
      <c r="F3991" s="23">
        <f>VLOOKUP(B3991,'BASE DE DATOS'!$A$5:$E$997,5,FALSE)</f>
        <v>20000</v>
      </c>
      <c r="G3991" s="104">
        <v>1.03</v>
      </c>
      <c r="H3991" s="252">
        <f>IF(G3991&gt;0,(G3991*F3991*E3991),(F3991*E3991))</f>
        <v>2.06</v>
      </c>
    </row>
    <row r="3992" spans="1:9" x14ac:dyDescent="0.2">
      <c r="A3992" s="939"/>
      <c r="B3992" s="241" t="s">
        <v>1573</v>
      </c>
      <c r="C3992" s="3" t="s">
        <v>2703</v>
      </c>
      <c r="D3992" s="2" t="s">
        <v>406</v>
      </c>
      <c r="E3992" s="196">
        <v>1E-3</v>
      </c>
      <c r="F3992" s="23">
        <f>VLOOKUP(B3992,'BASE DE DATOS'!$A$5:$E$997,5,FALSE)</f>
        <v>924</v>
      </c>
      <c r="G3992" s="104">
        <v>1.03</v>
      </c>
      <c r="H3992" s="252">
        <f>IF(G3992&gt;0,(G3992*F3992*E3992),(F3992*E3992))</f>
        <v>0.95172000000000001</v>
      </c>
    </row>
    <row r="3993" spans="1:9" x14ac:dyDescent="0.2">
      <c r="A3993" s="939"/>
      <c r="B3993" s="241" t="s">
        <v>1390</v>
      </c>
      <c r="C3993" s="3" t="s">
        <v>41</v>
      </c>
      <c r="D3993" s="2" t="s">
        <v>406</v>
      </c>
      <c r="E3993" s="196">
        <v>1E-3</v>
      </c>
      <c r="F3993" s="23">
        <f>VLOOKUP(B3993,'BASE DE DATOS'!$A$5:$E$997,5,FALSE)</f>
        <v>3494</v>
      </c>
      <c r="G3993" s="104">
        <v>1.03</v>
      </c>
      <c r="H3993" s="252">
        <f>IF(G3993&gt;0,(G3993*F3993*E3993),(F3993*E3993))</f>
        <v>3.5988200000000004</v>
      </c>
    </row>
    <row r="3994" spans="1:9" x14ac:dyDescent="0.2">
      <c r="A3994" s="939"/>
      <c r="B3994" s="241" t="s">
        <v>1433</v>
      </c>
      <c r="C3994" s="3" t="s">
        <v>2675</v>
      </c>
      <c r="D3994" s="2" t="s">
        <v>406</v>
      </c>
      <c r="E3994" s="196">
        <v>2.0000000000000001E-4</v>
      </c>
      <c r="F3994" s="23">
        <f>VLOOKUP(B3994,'BASE DE DATOS'!$A$5:$E$997,5,FALSE)</f>
        <v>75400</v>
      </c>
      <c r="G3994" s="104">
        <v>1.03</v>
      </c>
      <c r="H3994" s="252">
        <f>IF(G3994&gt;0,(G3994*F3994*E3994),(F3994*E3994))</f>
        <v>15.532400000000001</v>
      </c>
    </row>
    <row r="3995" spans="1:9" ht="25.5" x14ac:dyDescent="0.2">
      <c r="A3995" s="939"/>
      <c r="B3995" s="241" t="s">
        <v>1539</v>
      </c>
      <c r="C3995" s="3" t="s">
        <v>351</v>
      </c>
      <c r="D3995" s="136" t="s">
        <v>411</v>
      </c>
      <c r="E3995" s="196">
        <v>0.2</v>
      </c>
      <c r="F3995" s="23">
        <f>VLOOKUP(B3995,'BASE DE DATOS'!$A$5:$E$997,5,FALSE)</f>
        <v>18900</v>
      </c>
      <c r="G3995" s="104">
        <v>0</v>
      </c>
      <c r="H3995" s="252">
        <f t="shared" si="326"/>
        <v>3780</v>
      </c>
    </row>
    <row r="3996" spans="1:9" x14ac:dyDescent="0.2">
      <c r="A3996" s="81" t="s">
        <v>2555</v>
      </c>
      <c r="B3996" s="241" t="s">
        <v>583</v>
      </c>
      <c r="C3996" s="3" t="s">
        <v>584</v>
      </c>
      <c r="D3996" s="2" t="s">
        <v>585</v>
      </c>
      <c r="E3996" s="196">
        <v>1</v>
      </c>
      <c r="F3996" s="23">
        <f>VLOOKUP(B3996,'BASE DE DATOS'!$A$5:$E$997,5,FALSE)</f>
        <v>88679</v>
      </c>
      <c r="G3996" s="104">
        <f>1/25</f>
        <v>0.04</v>
      </c>
      <c r="H3996" s="252">
        <f t="shared" si="326"/>
        <v>3547.16</v>
      </c>
    </row>
    <row r="3997" spans="1:9" ht="13.5" thickBot="1" x14ac:dyDescent="0.25">
      <c r="A3997" s="504" t="s">
        <v>293</v>
      </c>
      <c r="B3997" s="530" t="s">
        <v>269</v>
      </c>
      <c r="C3997" s="88" t="s">
        <v>284</v>
      </c>
      <c r="D3997" s="89" t="s">
        <v>586</v>
      </c>
      <c r="E3997" s="197">
        <v>0.05</v>
      </c>
      <c r="F3997" s="90">
        <f>H3996</f>
        <v>3547.16</v>
      </c>
      <c r="G3997" s="153">
        <v>0</v>
      </c>
      <c r="H3997" s="479">
        <f t="shared" si="326"/>
        <v>177.358</v>
      </c>
    </row>
    <row r="3998" spans="1:9" s="42" customFormat="1" ht="30" x14ac:dyDescent="0.2">
      <c r="A3998" s="67" t="s">
        <v>1075</v>
      </c>
      <c r="B3998" s="529"/>
      <c r="C3998" s="388" t="s">
        <v>421</v>
      </c>
      <c r="D3998" s="389" t="s">
        <v>405</v>
      </c>
      <c r="E3998" s="395"/>
      <c r="F3998" s="391">
        <f>ROUND(SUM(H3998:H4005),0)</f>
        <v>7527</v>
      </c>
      <c r="G3998" s="392"/>
      <c r="H3998" s="393"/>
      <c r="I3998" s="738"/>
    </row>
    <row r="3999" spans="1:9" x14ac:dyDescent="0.2">
      <c r="A3999" s="939" t="s">
        <v>295</v>
      </c>
      <c r="B3999" s="241" t="s">
        <v>1733</v>
      </c>
      <c r="C3999" s="3" t="s">
        <v>1959</v>
      </c>
      <c r="D3999" s="2" t="s">
        <v>406</v>
      </c>
      <c r="E3999" s="196">
        <v>1E-4</v>
      </c>
      <c r="F3999" s="23">
        <f>VLOOKUP(B3999,'BASE DE DATOS'!$A$5:$E$997,5,FALSE)</f>
        <v>20000</v>
      </c>
      <c r="G3999" s="104">
        <v>1.03</v>
      </c>
      <c r="H3999" s="252">
        <f>IF(G3999&gt;0,(G3999*F3999*E3999),(F3999*E3999))</f>
        <v>2.06</v>
      </c>
    </row>
    <row r="4000" spans="1:9" x14ac:dyDescent="0.2">
      <c r="A4000" s="939"/>
      <c r="B4000" s="241" t="s">
        <v>1573</v>
      </c>
      <c r="C4000" s="3" t="s">
        <v>2703</v>
      </c>
      <c r="D4000" s="2" t="s">
        <v>406</v>
      </c>
      <c r="E4000" s="196">
        <v>1E-3</v>
      </c>
      <c r="F4000" s="23">
        <f>VLOOKUP(B4000,'BASE DE DATOS'!$A$5:$E$997,5,FALSE)</f>
        <v>924</v>
      </c>
      <c r="G4000" s="104">
        <v>1.03</v>
      </c>
      <c r="H4000" s="252">
        <f>IF(G4000&gt;0,(G4000*F4000*E4000),(F4000*E4000))</f>
        <v>0.95172000000000001</v>
      </c>
    </row>
    <row r="4001" spans="1:9" x14ac:dyDescent="0.2">
      <c r="A4001" s="939"/>
      <c r="B4001" s="241" t="s">
        <v>1390</v>
      </c>
      <c r="C4001" s="3" t="s">
        <v>41</v>
      </c>
      <c r="D4001" s="2" t="s">
        <v>406</v>
      </c>
      <c r="E4001" s="196">
        <v>1E-3</v>
      </c>
      <c r="F4001" s="23">
        <f>VLOOKUP(B4001,'BASE DE DATOS'!$A$5:$E$997,5,FALSE)</f>
        <v>3494</v>
      </c>
      <c r="G4001" s="104">
        <v>1.03</v>
      </c>
      <c r="H4001" s="252">
        <f>IF(G4001&gt;0,(G4001*F4001*E4001),(F4001*E4001))</f>
        <v>3.5988200000000004</v>
      </c>
    </row>
    <row r="4002" spans="1:9" x14ac:dyDescent="0.2">
      <c r="A4002" s="939"/>
      <c r="B4002" s="241" t="s">
        <v>1433</v>
      </c>
      <c r="C4002" s="3" t="s">
        <v>2675</v>
      </c>
      <c r="D4002" s="2" t="s">
        <v>406</v>
      </c>
      <c r="E4002" s="196">
        <v>2.0000000000000001E-4</v>
      </c>
      <c r="F4002" s="23">
        <f>VLOOKUP(B4002,'BASE DE DATOS'!$A$5:$E$997,5,FALSE)</f>
        <v>75400</v>
      </c>
      <c r="G4002" s="104">
        <v>1.03</v>
      </c>
      <c r="H4002" s="252">
        <f>IF(G4002&gt;0,(G4002*F4002*E4002),(F4002*E4002))</f>
        <v>15.532400000000001</v>
      </c>
    </row>
    <row r="4003" spans="1:9" ht="39.6" customHeight="1" x14ac:dyDescent="0.2">
      <c r="A4003" s="939"/>
      <c r="B4003" s="241" t="s">
        <v>2554</v>
      </c>
      <c r="C4003" s="3" t="s">
        <v>675</v>
      </c>
      <c r="D4003" s="2" t="s">
        <v>411</v>
      </c>
      <c r="E4003" s="196">
        <v>0.2</v>
      </c>
      <c r="F4003" s="23">
        <f>VLOOKUP(B4003,'BASE DE DATOS'!$A$5:$E$997,5,FALSE)</f>
        <v>18900</v>
      </c>
      <c r="G4003" s="104">
        <v>0</v>
      </c>
      <c r="H4003" s="252">
        <f t="shared" si="326"/>
        <v>3780</v>
      </c>
    </row>
    <row r="4004" spans="1:9" x14ac:dyDescent="0.2">
      <c r="A4004" s="81" t="s">
        <v>2555</v>
      </c>
      <c r="B4004" s="241" t="s">
        <v>583</v>
      </c>
      <c r="C4004" s="3" t="s">
        <v>584</v>
      </c>
      <c r="D4004" s="2" t="s">
        <v>585</v>
      </c>
      <c r="E4004" s="196">
        <v>1</v>
      </c>
      <c r="F4004" s="23">
        <f>VLOOKUP(B4004,'BASE DE DATOS'!$A$5:$E$997,5,FALSE)</f>
        <v>88679</v>
      </c>
      <c r="G4004" s="104">
        <f>1/25</f>
        <v>0.04</v>
      </c>
      <c r="H4004" s="252">
        <f t="shared" si="326"/>
        <v>3547.16</v>
      </c>
    </row>
    <row r="4005" spans="1:9" ht="13.5" thickBot="1" x14ac:dyDescent="0.25">
      <c r="A4005" s="504" t="s">
        <v>293</v>
      </c>
      <c r="B4005" s="530" t="s">
        <v>269</v>
      </c>
      <c r="C4005" s="88" t="s">
        <v>284</v>
      </c>
      <c r="D4005" s="89" t="s">
        <v>586</v>
      </c>
      <c r="E4005" s="197">
        <v>0.05</v>
      </c>
      <c r="F4005" s="90">
        <f>H4004</f>
        <v>3547.16</v>
      </c>
      <c r="G4005" s="153">
        <v>0</v>
      </c>
      <c r="H4005" s="479">
        <f t="shared" si="326"/>
        <v>177.358</v>
      </c>
    </row>
    <row r="4006" spans="1:9" s="42" customFormat="1" ht="15" x14ac:dyDescent="0.2">
      <c r="A4006" s="67" t="s">
        <v>1076</v>
      </c>
      <c r="B4006" s="529"/>
      <c r="C4006" s="388" t="s">
        <v>413</v>
      </c>
      <c r="D4006" s="389" t="s">
        <v>405</v>
      </c>
      <c r="E4006" s="390"/>
      <c r="F4006" s="391">
        <f>ROUND(SUM(H4006:H4013),0)</f>
        <v>103706</v>
      </c>
      <c r="G4006" s="392"/>
      <c r="H4006" s="393"/>
      <c r="I4006" s="738"/>
    </row>
    <row r="4007" spans="1:9" x14ac:dyDescent="0.2">
      <c r="A4007" s="939" t="s">
        <v>295</v>
      </c>
      <c r="B4007" s="241" t="s">
        <v>1733</v>
      </c>
      <c r="C4007" s="3" t="s">
        <v>1959</v>
      </c>
      <c r="D4007" s="2" t="s">
        <v>406</v>
      </c>
      <c r="E4007" s="196">
        <v>0.02</v>
      </c>
      <c r="F4007" s="23">
        <f>VLOOKUP(B4007,'BASE DE DATOS'!$A$5:$E$997,5,FALSE)</f>
        <v>20000</v>
      </c>
      <c r="G4007" s="104">
        <v>1.03</v>
      </c>
      <c r="H4007" s="252">
        <f>IF(G4007&gt;0,(G4007*F4007*E4007),(F4007*E4007))</f>
        <v>412</v>
      </c>
    </row>
    <row r="4008" spans="1:9" x14ac:dyDescent="0.2">
      <c r="A4008" s="939"/>
      <c r="B4008" s="241" t="s">
        <v>1573</v>
      </c>
      <c r="C4008" s="3" t="s">
        <v>2703</v>
      </c>
      <c r="D4008" s="2" t="s">
        <v>406</v>
      </c>
      <c r="E4008" s="196">
        <v>0.06</v>
      </c>
      <c r="F4008" s="23">
        <f>VLOOKUP(B4008,'BASE DE DATOS'!$A$5:$E$997,5,FALSE)</f>
        <v>924</v>
      </c>
      <c r="G4008" s="104">
        <v>1.03</v>
      </c>
      <c r="H4008" s="252">
        <f>IF(G4008&gt;0,(G4008*F4008*E4008),(F4008*E4008))</f>
        <v>57.103200000000001</v>
      </c>
    </row>
    <row r="4009" spans="1:9" x14ac:dyDescent="0.2">
      <c r="A4009" s="939"/>
      <c r="B4009" s="241" t="s">
        <v>1390</v>
      </c>
      <c r="C4009" s="3" t="s">
        <v>40</v>
      </c>
      <c r="D4009" s="2" t="s">
        <v>406</v>
      </c>
      <c r="E4009" s="196">
        <v>0.06</v>
      </c>
      <c r="F4009" s="23">
        <f>VLOOKUP(B4009,'BASE DE DATOS'!$A$5:$E$997,5,FALSE)</f>
        <v>3494</v>
      </c>
      <c r="G4009" s="104">
        <v>1.03</v>
      </c>
      <c r="H4009" s="252">
        <f>IF(G4009&gt;0,(G4009*F4009*E4009),(F4009*E4009))</f>
        <v>215.92920000000001</v>
      </c>
    </row>
    <row r="4010" spans="1:9" x14ac:dyDescent="0.2">
      <c r="A4010" s="939"/>
      <c r="B4010" s="241" t="s">
        <v>1433</v>
      </c>
      <c r="C4010" s="3" t="s">
        <v>2675</v>
      </c>
      <c r="D4010" s="2" t="s">
        <v>406</v>
      </c>
      <c r="E4010" s="196">
        <v>0.02</v>
      </c>
      <c r="F4010" s="23">
        <f>VLOOKUP(B4010,'BASE DE DATOS'!$A$5:$E$997,5,FALSE)</f>
        <v>75400</v>
      </c>
      <c r="G4010" s="104">
        <v>1.03</v>
      </c>
      <c r="H4010" s="252">
        <f>IF(G4010&gt;0,(G4010*F4010*E4010),(F4010*E4010))</f>
        <v>1553.24</v>
      </c>
    </row>
    <row r="4011" spans="1:9" ht="26.45" customHeight="1" x14ac:dyDescent="0.2">
      <c r="A4011" s="939"/>
      <c r="B4011" s="241" t="s">
        <v>1537</v>
      </c>
      <c r="C4011" s="3" t="s">
        <v>260</v>
      </c>
      <c r="D4011" s="2" t="s">
        <v>411</v>
      </c>
      <c r="E4011" s="196">
        <v>5</v>
      </c>
      <c r="F4011" s="23">
        <f>VLOOKUP(B4011,'BASE DE DATOS'!$A$5:$E$997,5,FALSE)</f>
        <v>18900</v>
      </c>
      <c r="G4011" s="104">
        <v>0</v>
      </c>
      <c r="H4011" s="252">
        <f t="shared" si="326"/>
        <v>94500</v>
      </c>
    </row>
    <row r="4012" spans="1:9" x14ac:dyDescent="0.2">
      <c r="A4012" s="81" t="s">
        <v>2555</v>
      </c>
      <c r="B4012" s="241" t="s">
        <v>583</v>
      </c>
      <c r="C4012" s="3" t="s">
        <v>584</v>
      </c>
      <c r="D4012" s="2" t="s">
        <v>585</v>
      </c>
      <c r="E4012" s="196">
        <v>1</v>
      </c>
      <c r="F4012" s="23">
        <f>VLOOKUP(B4012,'BASE DE DATOS'!$A$5:$E$997,5,FALSE)</f>
        <v>88679</v>
      </c>
      <c r="G4012" s="104">
        <f>1/14</f>
        <v>7.1428571428571425E-2</v>
      </c>
      <c r="H4012" s="252">
        <f t="shared" si="326"/>
        <v>6334.2142857142853</v>
      </c>
    </row>
    <row r="4013" spans="1:9" ht="13.5" thickBot="1" x14ac:dyDescent="0.25">
      <c r="A4013" s="94" t="s">
        <v>293</v>
      </c>
      <c r="B4013" s="528" t="s">
        <v>269</v>
      </c>
      <c r="C4013" s="108" t="s">
        <v>284</v>
      </c>
      <c r="D4013" s="109" t="s">
        <v>586</v>
      </c>
      <c r="E4013" s="203">
        <v>0.1</v>
      </c>
      <c r="F4013" s="110">
        <f>H4012</f>
        <v>6334.2142857142853</v>
      </c>
      <c r="G4013" s="156">
        <v>0</v>
      </c>
      <c r="H4013" s="479">
        <f t="shared" si="326"/>
        <v>633.42142857142858</v>
      </c>
    </row>
    <row r="4014" spans="1:9" s="42" customFormat="1" ht="15" x14ac:dyDescent="0.2">
      <c r="A4014" s="67" t="s">
        <v>1077</v>
      </c>
      <c r="B4014" s="529"/>
      <c r="C4014" s="388" t="s">
        <v>414</v>
      </c>
      <c r="D4014" s="389" t="s">
        <v>405</v>
      </c>
      <c r="E4014" s="395"/>
      <c r="F4014" s="391">
        <f>ROUND(SUM(H4014:H4021),0)</f>
        <v>195734</v>
      </c>
      <c r="G4014" s="392"/>
      <c r="H4014" s="393"/>
      <c r="I4014" s="738"/>
    </row>
    <row r="4015" spans="1:9" ht="13.15" customHeight="1" x14ac:dyDescent="0.2">
      <c r="A4015" s="939" t="s">
        <v>295</v>
      </c>
      <c r="B4015" s="241" t="s">
        <v>1733</v>
      </c>
      <c r="C4015" s="3" t="s">
        <v>1959</v>
      </c>
      <c r="D4015" s="2" t="s">
        <v>406</v>
      </c>
      <c r="E4015" s="196">
        <v>1E-3</v>
      </c>
      <c r="F4015" s="23">
        <f>VLOOKUP(B4015,'BASE DE DATOS'!$A$5:$E$997,5,FALSE)</f>
        <v>20000</v>
      </c>
      <c r="G4015" s="104">
        <v>1.03</v>
      </c>
      <c r="H4015" s="252">
        <f>IF(G4015&gt;0,(G4015*F4015*E4015),(F4015*E4015))</f>
        <v>20.6</v>
      </c>
    </row>
    <row r="4016" spans="1:9" x14ac:dyDescent="0.2">
      <c r="A4016" s="939"/>
      <c r="B4016" s="241" t="s">
        <v>1573</v>
      </c>
      <c r="C4016" s="3" t="s">
        <v>2703</v>
      </c>
      <c r="D4016" s="2" t="s">
        <v>406</v>
      </c>
      <c r="E4016" s="196">
        <v>1.2E-2</v>
      </c>
      <c r="F4016" s="23">
        <f>VLOOKUP(B4016,'BASE DE DATOS'!$A$5:$E$997,5,FALSE)</f>
        <v>924</v>
      </c>
      <c r="G4016" s="104">
        <v>1.03</v>
      </c>
      <c r="H4016" s="252">
        <f>IF(G4016&gt;0,(G4016*F4016*E4016),(F4016*E4016))</f>
        <v>11.420640000000001</v>
      </c>
    </row>
    <row r="4017" spans="1:9" x14ac:dyDescent="0.2">
      <c r="A4017" s="939"/>
      <c r="B4017" s="241" t="s">
        <v>1390</v>
      </c>
      <c r="C4017" s="3" t="s">
        <v>40</v>
      </c>
      <c r="D4017" s="2" t="s">
        <v>406</v>
      </c>
      <c r="E4017" s="196">
        <v>1.2E-2</v>
      </c>
      <c r="F4017" s="23">
        <f>VLOOKUP(B4017,'BASE DE DATOS'!$A$5:$E$997,5,FALSE)</f>
        <v>3494</v>
      </c>
      <c r="G4017" s="104">
        <v>1.03</v>
      </c>
      <c r="H4017" s="252">
        <f>IF(G4017&gt;0,(G4017*F4017*E4017),(F4017*E4017))</f>
        <v>43.185840000000006</v>
      </c>
    </row>
    <row r="4018" spans="1:9" x14ac:dyDescent="0.2">
      <c r="A4018" s="939"/>
      <c r="B4018" s="241" t="s">
        <v>1433</v>
      </c>
      <c r="C4018" s="3" t="s">
        <v>2675</v>
      </c>
      <c r="D4018" s="2" t="s">
        <v>406</v>
      </c>
      <c r="E4018" s="196">
        <v>2E-3</v>
      </c>
      <c r="F4018" s="23">
        <f>VLOOKUP(B4018,'BASE DE DATOS'!$A$5:$E$997,5,FALSE)</f>
        <v>75400</v>
      </c>
      <c r="G4018" s="104">
        <v>1.03</v>
      </c>
      <c r="H4018" s="252">
        <f>IF(G4018&gt;0,(G4018*F4018*E4018),(F4018*E4018))</f>
        <v>155.32400000000001</v>
      </c>
    </row>
    <row r="4019" spans="1:9" x14ac:dyDescent="0.2">
      <c r="A4019" s="939"/>
      <c r="B4019" s="241" t="s">
        <v>1538</v>
      </c>
      <c r="C4019" s="3" t="s">
        <v>262</v>
      </c>
      <c r="D4019" s="2" t="s">
        <v>411</v>
      </c>
      <c r="E4019" s="196">
        <v>10</v>
      </c>
      <c r="F4019" s="23">
        <f>VLOOKUP(B4019,'BASE DE DATOS'!$A$5:$E$997,5,FALSE)</f>
        <v>18900</v>
      </c>
      <c r="G4019" s="104">
        <v>0</v>
      </c>
      <c r="H4019" s="252">
        <f t="shared" si="326"/>
        <v>189000</v>
      </c>
    </row>
    <row r="4020" spans="1:9" x14ac:dyDescent="0.2">
      <c r="A4020" s="81" t="s">
        <v>2555</v>
      </c>
      <c r="B4020" s="241" t="s">
        <v>583</v>
      </c>
      <c r="C4020" s="3" t="s">
        <v>584</v>
      </c>
      <c r="D4020" s="2" t="s">
        <v>585</v>
      </c>
      <c r="E4020" s="196">
        <v>1</v>
      </c>
      <c r="F4020" s="23">
        <f>VLOOKUP(B4020,'BASE DE DATOS'!$A$5:$E$997,5,FALSE)</f>
        <v>88679</v>
      </c>
      <c r="G4020" s="104">
        <f>1/15</f>
        <v>6.6666666666666666E-2</v>
      </c>
      <c r="H4020" s="252">
        <f t="shared" si="326"/>
        <v>5911.9333333333334</v>
      </c>
    </row>
    <row r="4021" spans="1:9" ht="13.5" thickBot="1" x14ac:dyDescent="0.25">
      <c r="A4021" s="94" t="s">
        <v>293</v>
      </c>
      <c r="B4021" s="528" t="s">
        <v>269</v>
      </c>
      <c r="C4021" s="108" t="s">
        <v>284</v>
      </c>
      <c r="D4021" s="109" t="s">
        <v>586</v>
      </c>
      <c r="E4021" s="203">
        <v>0.1</v>
      </c>
      <c r="F4021" s="110">
        <f>H4020</f>
        <v>5911.9333333333334</v>
      </c>
      <c r="G4021" s="156">
        <v>0</v>
      </c>
      <c r="H4021" s="479">
        <f t="shared" si="326"/>
        <v>591.19333333333338</v>
      </c>
    </row>
    <row r="4022" spans="1:9" s="42" customFormat="1" ht="15" x14ac:dyDescent="0.2">
      <c r="A4022" s="67" t="s">
        <v>1078</v>
      </c>
      <c r="B4022" s="529"/>
      <c r="C4022" s="388" t="s">
        <v>415</v>
      </c>
      <c r="D4022" s="389" t="s">
        <v>405</v>
      </c>
      <c r="E4022" s="395"/>
      <c r="F4022" s="391">
        <f>ROUND(SUM(H4022:H4029),0)</f>
        <v>290234</v>
      </c>
      <c r="G4022" s="392"/>
      <c r="H4022" s="393"/>
      <c r="I4022" s="738"/>
    </row>
    <row r="4023" spans="1:9" x14ac:dyDescent="0.2">
      <c r="A4023" s="939" t="s">
        <v>295</v>
      </c>
      <c r="B4023" s="241" t="s">
        <v>1733</v>
      </c>
      <c r="C4023" s="3" t="s">
        <v>1959</v>
      </c>
      <c r="D4023" s="2" t="s">
        <v>406</v>
      </c>
      <c r="E4023" s="196">
        <v>1E-3</v>
      </c>
      <c r="F4023" s="23">
        <f>VLOOKUP(B4023,'BASE DE DATOS'!$A$5:$E$997,5,FALSE)</f>
        <v>20000</v>
      </c>
      <c r="G4023" s="104">
        <v>1.03</v>
      </c>
      <c r="H4023" s="252">
        <f>IF(G4023&gt;0,(G4023*F4023*E4023),(F4023*E4023))</f>
        <v>20.6</v>
      </c>
    </row>
    <row r="4024" spans="1:9" x14ac:dyDescent="0.2">
      <c r="A4024" s="939"/>
      <c r="B4024" s="241" t="s">
        <v>1573</v>
      </c>
      <c r="C4024" s="3" t="s">
        <v>2703</v>
      </c>
      <c r="D4024" s="2" t="s">
        <v>406</v>
      </c>
      <c r="E4024" s="196">
        <v>1.2E-2</v>
      </c>
      <c r="F4024" s="23">
        <f>VLOOKUP(B4024,'BASE DE DATOS'!$A$5:$E$997,5,FALSE)</f>
        <v>924</v>
      </c>
      <c r="G4024" s="104">
        <v>1.03</v>
      </c>
      <c r="H4024" s="252">
        <f>IF(G4024&gt;0,(G4024*F4024*E4024),(F4024*E4024))</f>
        <v>11.420640000000001</v>
      </c>
    </row>
    <row r="4025" spans="1:9" x14ac:dyDescent="0.2">
      <c r="A4025" s="939"/>
      <c r="B4025" s="241" t="s">
        <v>1390</v>
      </c>
      <c r="C4025" s="3" t="s">
        <v>40</v>
      </c>
      <c r="D4025" s="2" t="s">
        <v>406</v>
      </c>
      <c r="E4025" s="196">
        <v>1.2E-2</v>
      </c>
      <c r="F4025" s="23">
        <f>VLOOKUP(B4025,'BASE DE DATOS'!$A$5:$E$997,5,FALSE)</f>
        <v>3494</v>
      </c>
      <c r="G4025" s="104">
        <v>1.03</v>
      </c>
      <c r="H4025" s="252">
        <f>IF(G4025&gt;0,(G4025*F4025*E4025),(F4025*E4025))</f>
        <v>43.185840000000006</v>
      </c>
    </row>
    <row r="4026" spans="1:9" x14ac:dyDescent="0.2">
      <c r="A4026" s="939"/>
      <c r="B4026" s="241" t="s">
        <v>1433</v>
      </c>
      <c r="C4026" s="3" t="s">
        <v>2675</v>
      </c>
      <c r="D4026" s="2" t="s">
        <v>406</v>
      </c>
      <c r="E4026" s="196">
        <v>2E-3</v>
      </c>
      <c r="F4026" s="23">
        <f>VLOOKUP(B4026,'BASE DE DATOS'!$A$5:$E$997,5,FALSE)</f>
        <v>75400</v>
      </c>
      <c r="G4026" s="104">
        <v>1.03</v>
      </c>
      <c r="H4026" s="252">
        <f>IF(G4026&gt;0,(G4026*F4026*E4026),(F4026*E4026))</f>
        <v>155.32400000000001</v>
      </c>
    </row>
    <row r="4027" spans="1:9" x14ac:dyDescent="0.2">
      <c r="A4027" s="939"/>
      <c r="B4027" s="241" t="s">
        <v>1538</v>
      </c>
      <c r="C4027" s="3" t="s">
        <v>262</v>
      </c>
      <c r="D4027" s="2" t="s">
        <v>411</v>
      </c>
      <c r="E4027" s="196">
        <v>15</v>
      </c>
      <c r="F4027" s="23">
        <f>VLOOKUP(B4027,'BASE DE DATOS'!$A$5:$E$997,5,FALSE)</f>
        <v>18900</v>
      </c>
      <c r="G4027" s="104">
        <v>0</v>
      </c>
      <c r="H4027" s="252">
        <f t="shared" si="326"/>
        <v>283500</v>
      </c>
    </row>
    <row r="4028" spans="1:9" x14ac:dyDescent="0.2">
      <c r="A4028" s="81" t="s">
        <v>2555</v>
      </c>
      <c r="B4028" s="241" t="s">
        <v>583</v>
      </c>
      <c r="C4028" s="3" t="s">
        <v>584</v>
      </c>
      <c r="D4028" s="2" t="s">
        <v>585</v>
      </c>
      <c r="E4028" s="196">
        <v>1</v>
      </c>
      <c r="F4028" s="23">
        <f>VLOOKUP(B4028,'BASE DE DATOS'!$A$5:$E$997,5,FALSE)</f>
        <v>88679</v>
      </c>
      <c r="G4028" s="104">
        <f>1/15</f>
        <v>6.6666666666666666E-2</v>
      </c>
      <c r="H4028" s="252">
        <f t="shared" si="326"/>
        <v>5911.9333333333334</v>
      </c>
    </row>
    <row r="4029" spans="1:9" ht="13.5" thickBot="1" x14ac:dyDescent="0.25">
      <c r="A4029" s="94" t="s">
        <v>293</v>
      </c>
      <c r="B4029" s="528" t="s">
        <v>269</v>
      </c>
      <c r="C4029" s="108" t="s">
        <v>284</v>
      </c>
      <c r="D4029" s="109" t="s">
        <v>586</v>
      </c>
      <c r="E4029" s="203">
        <v>0.1</v>
      </c>
      <c r="F4029" s="110">
        <f>H4028</f>
        <v>5911.9333333333334</v>
      </c>
      <c r="G4029" s="156">
        <v>0</v>
      </c>
      <c r="H4029" s="479">
        <f t="shared" si="326"/>
        <v>591.19333333333338</v>
      </c>
    </row>
    <row r="4030" spans="1:9" s="42" customFormat="1" ht="17.25" x14ac:dyDescent="0.2">
      <c r="A4030" s="67" t="s">
        <v>1079</v>
      </c>
      <c r="B4030" s="529"/>
      <c r="C4030" s="388" t="s">
        <v>496</v>
      </c>
      <c r="D4030" s="389" t="s">
        <v>3251</v>
      </c>
      <c r="E4030" s="395"/>
      <c r="F4030" s="391">
        <f>ROUND(SUM(H4030:H4037),0)</f>
        <v>11957</v>
      </c>
      <c r="G4030" s="392"/>
      <c r="H4030" s="393"/>
      <c r="I4030" s="738"/>
    </row>
    <row r="4031" spans="1:9" x14ac:dyDescent="0.2">
      <c r="A4031" s="936" t="s">
        <v>382</v>
      </c>
      <c r="B4031" s="241" t="s">
        <v>1733</v>
      </c>
      <c r="C4031" s="3" t="s">
        <v>1959</v>
      </c>
      <c r="D4031" s="2" t="s">
        <v>406</v>
      </c>
      <c r="E4031" s="196">
        <v>1E-3</v>
      </c>
      <c r="F4031" s="23">
        <f>VLOOKUP(B4031,'BASE DE DATOS'!$A$5:$E$997,5,FALSE)</f>
        <v>20000</v>
      </c>
      <c r="G4031" s="104">
        <v>1.05</v>
      </c>
      <c r="H4031" s="252">
        <f>IF(G4031&gt;0,(G4031*F4031*E4031),(F4031*E4031))</f>
        <v>21</v>
      </c>
    </row>
    <row r="4032" spans="1:9" x14ac:dyDescent="0.2">
      <c r="A4032" s="936"/>
      <c r="B4032" s="241" t="s">
        <v>1573</v>
      </c>
      <c r="C4032" s="3" t="s">
        <v>2703</v>
      </c>
      <c r="D4032" s="2" t="s">
        <v>406</v>
      </c>
      <c r="E4032" s="196">
        <v>0.03</v>
      </c>
      <c r="F4032" s="23">
        <f>VLOOKUP(B4032,'BASE DE DATOS'!$A$5:$E$997,5,FALSE)</f>
        <v>924</v>
      </c>
      <c r="G4032" s="104">
        <v>1.05</v>
      </c>
      <c r="H4032" s="252">
        <f>IF(G4032&gt;0,(G4032*F4032*E4032),(F4032*E4032))</f>
        <v>29.106000000000002</v>
      </c>
    </row>
    <row r="4033" spans="1:9" x14ac:dyDescent="0.2">
      <c r="A4033" s="936"/>
      <c r="B4033" s="241" t="s">
        <v>1320</v>
      </c>
      <c r="C4033" s="3" t="s">
        <v>263</v>
      </c>
      <c r="D4033" s="2" t="s">
        <v>590</v>
      </c>
      <c r="E4033" s="196">
        <v>1</v>
      </c>
      <c r="F4033" s="23">
        <f>VLOOKUP(B4033,'BASE DE DATOS'!$A$5:$E$997,5,FALSE)</f>
        <v>34900</v>
      </c>
      <c r="G4033" s="104">
        <f>1/11</f>
        <v>9.0909090909090912E-2</v>
      </c>
      <c r="H4033" s="252">
        <f t="shared" si="326"/>
        <v>3172.727272727273</v>
      </c>
    </row>
    <row r="4034" spans="1:9" x14ac:dyDescent="0.2">
      <c r="A4034" s="936"/>
      <c r="B4034" s="241" t="s">
        <v>1390</v>
      </c>
      <c r="C4034" s="3" t="s">
        <v>40</v>
      </c>
      <c r="D4034" s="2" t="s">
        <v>406</v>
      </c>
      <c r="E4034" s="196">
        <v>0.03</v>
      </c>
      <c r="F4034" s="23">
        <f>VLOOKUP(B4034,'BASE DE DATOS'!$A$5:$E$997,5,FALSE)</f>
        <v>3494</v>
      </c>
      <c r="G4034" s="104">
        <v>1.05</v>
      </c>
      <c r="H4034" s="252">
        <f t="shared" si="326"/>
        <v>110.06100000000001</v>
      </c>
    </row>
    <row r="4035" spans="1:9" x14ac:dyDescent="0.2">
      <c r="A4035" s="936"/>
      <c r="B4035" s="241" t="s">
        <v>1433</v>
      </c>
      <c r="C4035" s="3" t="s">
        <v>2675</v>
      </c>
      <c r="D4035" s="2" t="s">
        <v>406</v>
      </c>
      <c r="E4035" s="196">
        <v>1E-3</v>
      </c>
      <c r="F4035" s="23">
        <f>VLOOKUP(B4035,'BASE DE DATOS'!$A$5:$E$997,5,FALSE)</f>
        <v>75400</v>
      </c>
      <c r="G4035" s="104">
        <v>1.05</v>
      </c>
      <c r="H4035" s="252">
        <f t="shared" si="326"/>
        <v>79.17</v>
      </c>
    </row>
    <row r="4036" spans="1:9" x14ac:dyDescent="0.2">
      <c r="A4036" s="81" t="s">
        <v>2555</v>
      </c>
      <c r="B4036" s="241" t="s">
        <v>583</v>
      </c>
      <c r="C4036" s="3" t="s">
        <v>584</v>
      </c>
      <c r="D4036" s="2" t="s">
        <v>585</v>
      </c>
      <c r="E4036" s="196">
        <v>1</v>
      </c>
      <c r="F4036" s="23">
        <f>VLOOKUP(B4036,'BASE DE DATOS'!$A$5:$E$997,5,FALSE)</f>
        <v>88679</v>
      </c>
      <c r="G4036" s="104">
        <f>1/11</f>
        <v>9.0909090909090912E-2</v>
      </c>
      <c r="H4036" s="252">
        <f t="shared" si="326"/>
        <v>8061.727272727273</v>
      </c>
    </row>
    <row r="4037" spans="1:9" ht="13.5" thickBot="1" x14ac:dyDescent="0.25">
      <c r="A4037" s="621" t="s">
        <v>293</v>
      </c>
      <c r="B4037" s="530" t="s">
        <v>269</v>
      </c>
      <c r="C4037" s="88" t="s">
        <v>284</v>
      </c>
      <c r="D4037" s="89" t="s">
        <v>586</v>
      </c>
      <c r="E4037" s="197">
        <v>0.06</v>
      </c>
      <c r="F4037" s="90">
        <f>H4036</f>
        <v>8061.727272727273</v>
      </c>
      <c r="G4037" s="153">
        <v>0</v>
      </c>
      <c r="H4037" s="255">
        <f t="shared" si="326"/>
        <v>483.70363636363635</v>
      </c>
    </row>
    <row r="4038" spans="1:9" s="42" customFormat="1" ht="45" x14ac:dyDescent="0.2">
      <c r="A4038" s="67" t="s">
        <v>3657</v>
      </c>
      <c r="B4038" s="529"/>
      <c r="C4038" s="388" t="s">
        <v>3932</v>
      </c>
      <c r="D4038" s="389" t="s">
        <v>3251</v>
      </c>
      <c r="E4038" s="395"/>
      <c r="F4038" s="391">
        <f>ROUND(SUM(H4038:H4044),0)</f>
        <v>17385</v>
      </c>
      <c r="G4038" s="392"/>
      <c r="H4038" s="393"/>
      <c r="I4038" s="738">
        <v>16</v>
      </c>
    </row>
    <row r="4039" spans="1:9" x14ac:dyDescent="0.2">
      <c r="A4039" s="936" t="s">
        <v>382</v>
      </c>
      <c r="B4039" s="241" t="s">
        <v>1279</v>
      </c>
      <c r="C4039" s="3" t="s">
        <v>358</v>
      </c>
      <c r="D4039" s="2" t="s">
        <v>617</v>
      </c>
      <c r="E4039" s="196">
        <v>83</v>
      </c>
      <c r="F4039" s="23">
        <f>VLOOKUP(B4039,'BASE DE DATOS'!$A$5:$E$997,5,FALSE)</f>
        <v>19</v>
      </c>
      <c r="G4039" s="104">
        <v>0</v>
      </c>
      <c r="H4039" s="252">
        <f>IF(G4039&gt;0,(G4039*F4039*E4039),(F4039*E4039))</f>
        <v>1577</v>
      </c>
    </row>
    <row r="4040" spans="1:9" x14ac:dyDescent="0.2">
      <c r="A4040" s="936"/>
      <c r="B4040" s="241" t="s">
        <v>2785</v>
      </c>
      <c r="C4040" s="3" t="s">
        <v>3653</v>
      </c>
      <c r="D4040" s="2" t="s">
        <v>406</v>
      </c>
      <c r="E4040" s="196">
        <v>0.4</v>
      </c>
      <c r="F4040" s="23">
        <f>VLOOKUP(B4040,'BASE DE DATOS'!$A$5:$E$997,5,FALSE)</f>
        <v>14300</v>
      </c>
      <c r="G4040" s="104">
        <v>0</v>
      </c>
      <c r="H4040" s="252">
        <f>IF(G4040&gt;0,(G4040*F4040*E4040),(F4040*E4040))</f>
        <v>5720</v>
      </c>
    </row>
    <row r="4041" spans="1:9" x14ac:dyDescent="0.2">
      <c r="A4041" s="936"/>
      <c r="B4041" s="241" t="s">
        <v>2786</v>
      </c>
      <c r="C4041" s="3" t="s">
        <v>3654</v>
      </c>
      <c r="D4041" s="2" t="s">
        <v>406</v>
      </c>
      <c r="E4041" s="196">
        <v>0.05</v>
      </c>
      <c r="F4041" s="23">
        <f>VLOOKUP(B4041,'BASE DE DATOS'!$A$5:$E$997,5,FALSE)</f>
        <v>59300</v>
      </c>
      <c r="G4041" s="104">
        <v>0</v>
      </c>
      <c r="H4041" s="252">
        <f t="shared" ref="H4041:H4042" si="327">IF(G4041&gt;0,(G4041*F4041*E4041),(F4041*E4041))</f>
        <v>2965</v>
      </c>
    </row>
    <row r="4042" spans="1:9" x14ac:dyDescent="0.2">
      <c r="A4042" s="622" t="s">
        <v>2555</v>
      </c>
      <c r="B4042" s="241" t="s">
        <v>607</v>
      </c>
      <c r="C4042" s="3" t="s">
        <v>608</v>
      </c>
      <c r="D4042" s="2" t="s">
        <v>585</v>
      </c>
      <c r="E4042" s="196">
        <v>1</v>
      </c>
      <c r="F4042" s="23">
        <f>VLOOKUP(B4042,'BASE DE DATOS'!$A$5:$E$997,5,FALSE)</f>
        <v>336981</v>
      </c>
      <c r="G4042" s="104">
        <f>1/160</f>
        <v>6.2500000000000003E-3</v>
      </c>
      <c r="H4042" s="252">
        <f t="shared" si="327"/>
        <v>2106.1312499999999</v>
      </c>
    </row>
    <row r="4043" spans="1:9" ht="25.5" x14ac:dyDescent="0.2">
      <c r="A4043" s="937" t="s">
        <v>293</v>
      </c>
      <c r="B4043" s="241" t="s">
        <v>649</v>
      </c>
      <c r="C4043" s="26" t="s">
        <v>3634</v>
      </c>
      <c r="D4043" s="2" t="s">
        <v>585</v>
      </c>
      <c r="E4043" s="196">
        <v>1</v>
      </c>
      <c r="F4043" s="23">
        <f>VLOOKUP(B4043,'BASE DE DATOS'!$A$5:$E$997,5,FALSE)</f>
        <v>378333.33333333331</v>
      </c>
      <c r="G4043" s="104">
        <f>1/133.4</f>
        <v>7.4962518740629685E-3</v>
      </c>
      <c r="H4043" s="252">
        <f>IF(G4043&gt;0,(G4043*F4043*E4043),(F4043*E4043))</f>
        <v>2836.0819590204896</v>
      </c>
    </row>
    <row r="4044" spans="1:9" ht="13.5" thickBot="1" x14ac:dyDescent="0.25">
      <c r="A4044" s="938"/>
      <c r="B4044" s="241" t="s">
        <v>63</v>
      </c>
      <c r="C4044" s="3" t="s">
        <v>3656</v>
      </c>
      <c r="D4044" s="2" t="s">
        <v>614</v>
      </c>
      <c r="E4044" s="196">
        <v>0.05</v>
      </c>
      <c r="F4044" s="23">
        <f>VLOOKUP(B4044,'BASE DE DATOS'!$A$5:$E$997,5,FALSE)</f>
        <v>43612</v>
      </c>
      <c r="G4044" s="104">
        <v>0</v>
      </c>
      <c r="H4044" s="252">
        <f>IF(G4044&gt;0,(G4044*F4044*E4044),(F4044*E4044))</f>
        <v>2180.6</v>
      </c>
    </row>
    <row r="4045" spans="1:9" ht="15.75" thickBot="1" x14ac:dyDescent="0.25">
      <c r="A4045" s="1002" t="s">
        <v>3269</v>
      </c>
      <c r="B4045" s="1003"/>
      <c r="C4045" s="1003"/>
      <c r="D4045" s="1003"/>
      <c r="E4045" s="1003"/>
      <c r="F4045" s="1004"/>
      <c r="G4045" s="1003"/>
      <c r="H4045" s="1005"/>
    </row>
    <row r="4046" spans="1:9" ht="45.75" thickBot="1" x14ac:dyDescent="0.25">
      <c r="A4046" s="72" t="s">
        <v>2044</v>
      </c>
      <c r="B4046" s="72" t="s">
        <v>265</v>
      </c>
      <c r="C4046" s="72" t="s">
        <v>402</v>
      </c>
      <c r="D4046" s="354" t="s">
        <v>346</v>
      </c>
      <c r="E4046" s="192" t="s">
        <v>2173</v>
      </c>
      <c r="F4046" s="162" t="s">
        <v>3165</v>
      </c>
      <c r="G4046" s="290" t="s">
        <v>281</v>
      </c>
      <c r="H4046" s="74" t="s">
        <v>3164</v>
      </c>
    </row>
    <row r="4047" spans="1:9" s="42" customFormat="1" ht="18" thickBot="1" x14ac:dyDescent="0.25">
      <c r="A4047" s="67" t="s">
        <v>1080</v>
      </c>
      <c r="B4047" s="582"/>
      <c r="C4047" s="388" t="s">
        <v>513</v>
      </c>
      <c r="D4047" s="389" t="s">
        <v>3251</v>
      </c>
      <c r="E4047" s="390"/>
      <c r="F4047" s="391">
        <f>ROUND(SUM(H4047:H4050),0)</f>
        <v>2281</v>
      </c>
      <c r="G4047" s="392"/>
      <c r="H4047" s="393"/>
      <c r="I4047" s="738"/>
    </row>
    <row r="4048" spans="1:9" ht="14.25" x14ac:dyDescent="0.2">
      <c r="A4048" s="120" t="s">
        <v>382</v>
      </c>
      <c r="B4048" s="241" t="s">
        <v>1732</v>
      </c>
      <c r="C4048" s="3" t="s">
        <v>513</v>
      </c>
      <c r="D4048" s="148" t="s">
        <v>2466</v>
      </c>
      <c r="E4048" s="196">
        <v>1</v>
      </c>
      <c r="F4048" s="23">
        <f>VLOOKUP(B4048,'BASE DE DATOS'!$A$5:$E$997,5,FALSE)</f>
        <v>1009</v>
      </c>
      <c r="G4048" s="104">
        <v>1.03</v>
      </c>
      <c r="H4048" s="252">
        <f t="shared" ref="H4048:H4054" si="328">IF(G4048&gt;0,(G4048*F4048*E4048),(F4048*E4048))</f>
        <v>1039.27</v>
      </c>
    </row>
    <row r="4049" spans="1:9" x14ac:dyDescent="0.2">
      <c r="A4049" s="81" t="s">
        <v>2555</v>
      </c>
      <c r="B4049" s="241" t="s">
        <v>596</v>
      </c>
      <c r="C4049" s="3" t="s">
        <v>597</v>
      </c>
      <c r="D4049" s="2" t="s">
        <v>585</v>
      </c>
      <c r="E4049" s="196">
        <v>1</v>
      </c>
      <c r="F4049" s="23">
        <f>VLOOKUP(B4049,'BASE DE DATOS'!$A$5:$E$997,5,FALSE)</f>
        <v>354716</v>
      </c>
      <c r="G4049" s="104">
        <f>1/300</f>
        <v>3.3333333333333335E-3</v>
      </c>
      <c r="H4049" s="252">
        <f t="shared" si="328"/>
        <v>1182.3866666666668</v>
      </c>
    </row>
    <row r="4050" spans="1:9" ht="13.5" thickBot="1" x14ac:dyDescent="0.25">
      <c r="A4050" s="94" t="s">
        <v>293</v>
      </c>
      <c r="B4050" s="528" t="s">
        <v>269</v>
      </c>
      <c r="C4050" s="108" t="s">
        <v>284</v>
      </c>
      <c r="D4050" s="109" t="s">
        <v>586</v>
      </c>
      <c r="E4050" s="203">
        <v>0.05</v>
      </c>
      <c r="F4050" s="110">
        <f>H4049</f>
        <v>1182.3866666666668</v>
      </c>
      <c r="G4050" s="156">
        <v>0</v>
      </c>
      <c r="H4050" s="479">
        <f t="shared" si="328"/>
        <v>59.119333333333344</v>
      </c>
    </row>
    <row r="4051" spans="1:9" s="42" customFormat="1" ht="15.75" thickBot="1" x14ac:dyDescent="0.25">
      <c r="A4051" s="387" t="s">
        <v>1081</v>
      </c>
      <c r="B4051" s="529"/>
      <c r="C4051" s="388" t="s">
        <v>3599</v>
      </c>
      <c r="D4051" s="389" t="s">
        <v>411</v>
      </c>
      <c r="E4051" s="395"/>
      <c r="F4051" s="391">
        <f>ROUND(SUM(H4051:H4052),0)</f>
        <v>52561544</v>
      </c>
      <c r="G4051" s="392"/>
      <c r="H4051" s="393"/>
      <c r="I4051" s="738"/>
    </row>
    <row r="4052" spans="1:9" ht="13.5" thickBot="1" x14ac:dyDescent="0.25">
      <c r="A4052" s="81" t="s">
        <v>2555</v>
      </c>
      <c r="B4052" s="528" t="s">
        <v>270</v>
      </c>
      <c r="C4052" s="108" t="s">
        <v>289</v>
      </c>
      <c r="D4052" s="109" t="s">
        <v>585</v>
      </c>
      <c r="E4052" s="200">
        <v>1</v>
      </c>
      <c r="F4052" s="110">
        <f>VLOOKUP(B4052,'BASE DE DATOS'!$A$5:$E$997,5,FALSE)</f>
        <v>6570193</v>
      </c>
      <c r="G4052" s="156">
        <v>8</v>
      </c>
      <c r="H4052" s="479">
        <f t="shared" si="328"/>
        <v>52561544</v>
      </c>
    </row>
    <row r="4053" spans="1:9" s="42" customFormat="1" ht="15.75" thickBot="1" x14ac:dyDescent="0.25">
      <c r="A4053" s="434" t="s">
        <v>1082</v>
      </c>
      <c r="B4053" s="526"/>
      <c r="C4053" s="399" t="s">
        <v>167</v>
      </c>
      <c r="D4053" s="326" t="s">
        <v>168</v>
      </c>
      <c r="E4053" s="400"/>
      <c r="F4053" s="401">
        <f>ROUND(SUM(H4053:H4054),0)</f>
        <v>6570193</v>
      </c>
      <c r="G4053" s="402"/>
      <c r="H4053" s="330"/>
      <c r="I4053" s="738">
        <v>3</v>
      </c>
    </row>
    <row r="4054" spans="1:9" ht="13.5" thickBot="1" x14ac:dyDescent="0.25">
      <c r="A4054" s="81" t="s">
        <v>2555</v>
      </c>
      <c r="B4054" s="543" t="s">
        <v>270</v>
      </c>
      <c r="C4054" s="111" t="s">
        <v>289</v>
      </c>
      <c r="D4054" s="112" t="s">
        <v>168</v>
      </c>
      <c r="E4054" s="201">
        <v>1</v>
      </c>
      <c r="F4054" s="110">
        <f>VLOOKUP(B4054,'BASE DE DATOS'!$A$5:$E$997,5,FALSE)</f>
        <v>6570193</v>
      </c>
      <c r="G4054" s="157">
        <v>0</v>
      </c>
      <c r="H4054" s="479">
        <f t="shared" si="328"/>
        <v>6570193</v>
      </c>
    </row>
    <row r="4055" spans="1:9" x14ac:dyDescent="0.2">
      <c r="I4055" s="738">
        <f>SUM(I10:I4054)</f>
        <v>595</v>
      </c>
    </row>
  </sheetData>
  <sortState ref="B4043:H4044">
    <sortCondition ref="C4043:C4044"/>
  </sortState>
  <mergeCells count="753">
    <mergeCell ref="A2664:A2665"/>
    <mergeCell ref="A2950:A2951"/>
    <mergeCell ref="A2915:A2919"/>
    <mergeCell ref="A2678:A2679"/>
    <mergeCell ref="A2754:A2756"/>
    <mergeCell ref="A3050:A3054"/>
    <mergeCell ref="A2740:A2743"/>
    <mergeCell ref="A2747:A2750"/>
    <mergeCell ref="A4043:A4044"/>
    <mergeCell ref="A3899:A3900"/>
    <mergeCell ref="A3813:A3814"/>
    <mergeCell ref="A3708:H3708"/>
    <mergeCell ref="A2943:H2943"/>
    <mergeCell ref="A3687:H3687"/>
    <mergeCell ref="A3400:A3401"/>
    <mergeCell ref="A3403:A3407"/>
    <mergeCell ref="A3409:A3410"/>
    <mergeCell ref="A3412:A3416"/>
    <mergeCell ref="A3362:A3365"/>
    <mergeCell ref="A3385:A3386"/>
    <mergeCell ref="A3388:A3392"/>
    <mergeCell ref="A3689:A3692"/>
    <mergeCell ref="A3696:A3699"/>
    <mergeCell ref="A3703:A3705"/>
    <mergeCell ref="A3072:A3075"/>
    <mergeCell ref="A3346:H3346"/>
    <mergeCell ref="A3428:A3431"/>
    <mergeCell ref="A2965:A2966"/>
    <mergeCell ref="A2960:A2961"/>
    <mergeCell ref="A3034:A3038"/>
    <mergeCell ref="A2955:A2956"/>
    <mergeCell ref="A3182:A3186"/>
    <mergeCell ref="A2343:A2344"/>
    <mergeCell ref="A2346:A2347"/>
    <mergeCell ref="A2405:A2412"/>
    <mergeCell ref="A2684:A2685"/>
    <mergeCell ref="A2646:A2647"/>
    <mergeCell ref="A2624:A2625"/>
    <mergeCell ref="A2630:A2631"/>
    <mergeCell ref="A2621:A2622"/>
    <mergeCell ref="A2627:A2628"/>
    <mergeCell ref="A2519:A2524"/>
    <mergeCell ref="A2543:A2544"/>
    <mergeCell ref="A2552:A2553"/>
    <mergeCell ref="A2582:A2583"/>
    <mergeCell ref="A2570:A2571"/>
    <mergeCell ref="A2501:A2502"/>
    <mergeCell ref="A2381:A2388"/>
    <mergeCell ref="A2367:H2367"/>
    <mergeCell ref="A2449:A2450"/>
    <mergeCell ref="A2481:A2484"/>
    <mergeCell ref="A2531:A2532"/>
    <mergeCell ref="A2536:A2539"/>
    <mergeCell ref="A2541:A2542"/>
    <mergeCell ref="A2546:A2551"/>
    <mergeCell ref="A2651:A2659"/>
    <mergeCell ref="A4039:A4041"/>
    <mergeCell ref="A3397:A3398"/>
    <mergeCell ref="A3242:A3246"/>
    <mergeCell ref="A3367:A3368"/>
    <mergeCell ref="A3457:A3460"/>
    <mergeCell ref="A3472:A3475"/>
    <mergeCell ref="A3487:A3490"/>
    <mergeCell ref="A3282:A3287"/>
    <mergeCell ref="A3291:A3296"/>
    <mergeCell ref="A3464:A3467"/>
    <mergeCell ref="A3479:A3482"/>
    <mergeCell ref="A3300:A3305"/>
    <mergeCell ref="A3309:A3314"/>
    <mergeCell ref="A3318:A3323"/>
    <mergeCell ref="A3882:A3887"/>
    <mergeCell ref="A3435:A3438"/>
    <mergeCell ref="A3442:A3445"/>
    <mergeCell ref="A3449:A3452"/>
    <mergeCell ref="A3348:A3351"/>
    <mergeCell ref="A3418:A3419"/>
    <mergeCell ref="A3421:A3424"/>
    <mergeCell ref="A3983:A3987"/>
    <mergeCell ref="A3339:A3343"/>
    <mergeCell ref="A3508:A3509"/>
    <mergeCell ref="A111:H111"/>
    <mergeCell ref="A128:H128"/>
    <mergeCell ref="A2222:A2224"/>
    <mergeCell ref="A2226:A2227"/>
    <mergeCell ref="A3331:A3335"/>
    <mergeCell ref="A3250:A3254"/>
    <mergeCell ref="A3258:A3262"/>
    <mergeCell ref="A3274:A3278"/>
    <mergeCell ref="A3266:A3270"/>
    <mergeCell ref="A2417:A2424"/>
    <mergeCell ref="A2429:A2436"/>
    <mergeCell ref="A2509:A2510"/>
    <mergeCell ref="A2526:A2529"/>
    <mergeCell ref="A2473:A2476"/>
    <mergeCell ref="A2564:A2565"/>
    <mergeCell ref="A2257:A2258"/>
    <mergeCell ref="A2250:A2255"/>
    <mergeCell ref="A3208:A3212"/>
    <mergeCell ref="A3225:A3229"/>
    <mergeCell ref="A3058:A3061"/>
    <mergeCell ref="A3107:A3110"/>
    <mergeCell ref="A3086:A3089"/>
    <mergeCell ref="A3093:A3096"/>
    <mergeCell ref="A2898:A2899"/>
    <mergeCell ref="A2131:A2132"/>
    <mergeCell ref="A2766:A2768"/>
    <mergeCell ref="A2772:A2774"/>
    <mergeCell ref="A2941:H2941"/>
    <mergeCell ref="A2876:A2877"/>
    <mergeCell ref="A2881:A2882"/>
    <mergeCell ref="A2890:A2891"/>
    <mergeCell ref="A2783:A2785"/>
    <mergeCell ref="A2945:A2946"/>
    <mergeCell ref="A2185:A2186"/>
    <mergeCell ref="A2274:A2275"/>
    <mergeCell ref="A2188:A2191"/>
    <mergeCell ref="A2219:A2220"/>
    <mergeCell ref="A2229:A2232"/>
    <mergeCell ref="A2237:A2239"/>
    <mergeCell ref="A2244:A2245"/>
    <mergeCell ref="A2033:A2034"/>
    <mergeCell ref="A2036:A2037"/>
    <mergeCell ref="A2011:A2012"/>
    <mergeCell ref="A3513:A3514"/>
    <mergeCell ref="A3216:A3220"/>
    <mergeCell ref="A3233:A3237"/>
    <mergeCell ref="A3191:A3195"/>
    <mergeCell ref="A3114:A3118"/>
    <mergeCell ref="A3157:A3161"/>
    <mergeCell ref="A3174:A3178"/>
    <mergeCell ref="A2760:A2762"/>
    <mergeCell ref="A2778:A2779"/>
    <mergeCell ref="A2789:A2791"/>
    <mergeCell ref="A2795:A2797"/>
    <mergeCell ref="A3065:A3068"/>
    <mergeCell ref="A2923:A2926"/>
    <mergeCell ref="A2927:A2931"/>
    <mergeCell ref="A2895:A2897"/>
    <mergeCell ref="A2313:A2318"/>
    <mergeCell ref="A2320:A2321"/>
    <mergeCell ref="A2340:A2341"/>
    <mergeCell ref="A2441:A2445"/>
    <mergeCell ref="A2365:A2366"/>
    <mergeCell ref="A2039:A2040"/>
    <mergeCell ref="A3:H3"/>
    <mergeCell ref="A85:A87"/>
    <mergeCell ref="A91:A93"/>
    <mergeCell ref="A24:A25"/>
    <mergeCell ref="A27:A30"/>
    <mergeCell ref="A32:A33"/>
    <mergeCell ref="A35:A38"/>
    <mergeCell ref="A40:A41"/>
    <mergeCell ref="A43:A46"/>
    <mergeCell ref="A48:A49"/>
    <mergeCell ref="A51:A54"/>
    <mergeCell ref="A56:A57"/>
    <mergeCell ref="A6:D6"/>
    <mergeCell ref="G6:H6"/>
    <mergeCell ref="A7:H7"/>
    <mergeCell ref="A8:H8"/>
    <mergeCell ref="A11:A14"/>
    <mergeCell ref="A16:A17"/>
    <mergeCell ref="A19:A22"/>
    <mergeCell ref="A2069:A2070"/>
    <mergeCell ref="A2047:A2049"/>
    <mergeCell ref="A2042:A2043"/>
    <mergeCell ref="A2065:A2067"/>
    <mergeCell ref="A931:A933"/>
    <mergeCell ref="A2169:A2170"/>
    <mergeCell ref="A3079:A3082"/>
    <mergeCell ref="A3000:A3003"/>
    <mergeCell ref="A1865:A1869"/>
    <mergeCell ref="A2393:A2400"/>
    <mergeCell ref="A2455:A2456"/>
    <mergeCell ref="A2349:A2351"/>
    <mergeCell ref="A2353:A2355"/>
    <mergeCell ref="A2515:A2517"/>
    <mergeCell ref="A2333:A2338"/>
    <mergeCell ref="A2285:A2286"/>
    <mergeCell ref="A2260:A2262"/>
    <mergeCell ref="A2264:A2265"/>
    <mergeCell ref="A2277:A2283"/>
    <mergeCell ref="A2288:A2294"/>
    <mergeCell ref="A2310:A2311"/>
    <mergeCell ref="A2712:A2715"/>
    <mergeCell ref="A2719:A2722"/>
    <mergeCell ref="A2006:A2007"/>
    <mergeCell ref="A2053:A2054"/>
    <mergeCell ref="A2058:A2059"/>
    <mergeCell ref="A2123:A2124"/>
    <mergeCell ref="A2126:A2127"/>
    <mergeCell ref="A2726:A2729"/>
    <mergeCell ref="A2733:A2736"/>
    <mergeCell ref="A2558:A2559"/>
    <mergeCell ref="A2670:A2672"/>
    <mergeCell ref="A2705:A2708"/>
    <mergeCell ref="A2576:A2577"/>
    <mergeCell ref="A2690:H2690"/>
    <mergeCell ref="A2156:H2156"/>
    <mergeCell ref="A2172:A2175"/>
    <mergeCell ref="A2177:A2178"/>
    <mergeCell ref="A2589:A2590"/>
    <mergeCell ref="A2648:H2648"/>
    <mergeCell ref="A2357:A2358"/>
    <mergeCell ref="A2533:A2534"/>
    <mergeCell ref="A2594:A2595"/>
    <mergeCell ref="A2323:A2328"/>
    <mergeCell ref="A2330:A2331"/>
    <mergeCell ref="A2296:A2297"/>
    <mergeCell ref="A2299:A2308"/>
    <mergeCell ref="A2180:A2183"/>
    <mergeCell ref="A3518:A3519"/>
    <mergeCell ref="A3355:A3358"/>
    <mergeCell ref="A3165:A3169"/>
    <mergeCell ref="A3148:A3152"/>
    <mergeCell ref="A3748:A3754"/>
    <mergeCell ref="A3800:A3801"/>
    <mergeCell ref="A3802:A3803"/>
    <mergeCell ref="A3805:A3810"/>
    <mergeCell ref="A3868:A3869"/>
    <mergeCell ref="A3797:A3799"/>
    <mergeCell ref="A3550:A3551"/>
    <mergeCell ref="A3556:A3557"/>
    <mergeCell ref="A3598:A3599"/>
    <mergeCell ref="A3604:A3605"/>
    <mergeCell ref="A3607:A3608"/>
    <mergeCell ref="A3612:A3613"/>
    <mergeCell ref="A3627:A3628"/>
    <mergeCell ref="A3632:A3633"/>
    <mergeCell ref="A3637:A3638"/>
    <mergeCell ref="A3642:A3643"/>
    <mergeCell ref="A3723:A3726"/>
    <mergeCell ref="A3727:A3731"/>
    <mergeCell ref="A3711:A3714"/>
    <mergeCell ref="A3735:A3739"/>
    <mergeCell ref="A3888:A3893"/>
    <mergeCell ref="A3895:A3897"/>
    <mergeCell ref="A3845:A3847"/>
    <mergeCell ref="A3833:A3837"/>
    <mergeCell ref="A3838:A3843"/>
    <mergeCell ref="A3821:A3827"/>
    <mergeCell ref="A3940:A3941"/>
    <mergeCell ref="A3943:A3944"/>
    <mergeCell ref="A3909:A3910"/>
    <mergeCell ref="A3776:A3780"/>
    <mergeCell ref="A3781:A3783"/>
    <mergeCell ref="A3785:A3786"/>
    <mergeCell ref="A3761:A3762"/>
    <mergeCell ref="A3715:A3719"/>
    <mergeCell ref="A3854:A3859"/>
    <mergeCell ref="A3849:A3853"/>
    <mergeCell ref="A3544:A3545"/>
    <mergeCell ref="A3861:A3863"/>
    <mergeCell ref="A3740:A3744"/>
    <mergeCell ref="A4045:H4045"/>
    <mergeCell ref="A2152:A2153"/>
    <mergeCell ref="A3914:A3915"/>
    <mergeCell ref="A3903:A3904"/>
    <mergeCell ref="A3562:A3563"/>
    <mergeCell ref="A3568:A3569"/>
    <mergeCell ref="A3574:A3575"/>
    <mergeCell ref="A3580:A3581"/>
    <mergeCell ref="A3617:A3618"/>
    <mergeCell ref="A3622:A3623"/>
    <mergeCell ref="A3683:A3685"/>
    <mergeCell ref="A2911:A2914"/>
    <mergeCell ref="A3526:A3527"/>
    <mergeCell ref="A3532:A3533"/>
    <mergeCell ref="A3538:A3539"/>
    <mergeCell ref="A3370:A3374"/>
    <mergeCell ref="A3376:A3377"/>
    <mergeCell ref="A3873:A3876"/>
    <mergeCell ref="A3877:A3878"/>
    <mergeCell ref="A3906:A3907"/>
    <mergeCell ref="A3946:A3949"/>
    <mergeCell ref="A3829:A3831"/>
    <mergeCell ref="A3933:A3935"/>
    <mergeCell ref="A3937:A3938"/>
    <mergeCell ref="A3967:A3971"/>
    <mergeCell ref="A3975:A3979"/>
    <mergeCell ref="A3991:A3995"/>
    <mergeCell ref="A2489:A2492"/>
    <mergeCell ref="A2370:A2376"/>
    <mergeCell ref="A2378:A2379"/>
    <mergeCell ref="A2633:A2634"/>
    <mergeCell ref="A2638:A2640"/>
    <mergeCell ref="A2554:A2555"/>
    <mergeCell ref="A3503:A3504"/>
    <mergeCell ref="A3865:A3867"/>
    <mergeCell ref="A3923:A3924"/>
    <mergeCell ref="A3930:A3931"/>
    <mergeCell ref="A3959:A3963"/>
    <mergeCell ref="A3953:A3955"/>
    <mergeCell ref="A3394:A3395"/>
    <mergeCell ref="A3916:H3916"/>
    <mergeCell ref="A3919:A3921"/>
    <mergeCell ref="A3647:A3648"/>
    <mergeCell ref="A3652:A3653"/>
    <mergeCell ref="A3657:A3658"/>
    <mergeCell ref="A3662:A3665"/>
    <mergeCell ref="A3669:A3672"/>
    <mergeCell ref="A3676:A3679"/>
    <mergeCell ref="A2247:A2248"/>
    <mergeCell ref="A2193:A2194"/>
    <mergeCell ref="A2196:A2201"/>
    <mergeCell ref="A2204:A2205"/>
    <mergeCell ref="A2207:A2210"/>
    <mergeCell ref="A2212:A2213"/>
    <mergeCell ref="A2215:A2217"/>
    <mergeCell ref="A2234:A2235"/>
    <mergeCell ref="A2241:A2242"/>
    <mergeCell ref="A2267:A2272"/>
    <mergeCell ref="A2134:A2135"/>
    <mergeCell ref="A2165:A2166"/>
    <mergeCell ref="A2072:A2074"/>
    <mergeCell ref="A1974:H1974"/>
    <mergeCell ref="A1898:A1899"/>
    <mergeCell ref="A2076:A2077"/>
    <mergeCell ref="A1980:A1981"/>
    <mergeCell ref="A1983:A1984"/>
    <mergeCell ref="A1986:A1987"/>
    <mergeCell ref="A2087:A2089"/>
    <mergeCell ref="A2092:A2093"/>
    <mergeCell ref="A2084:A2085"/>
    <mergeCell ref="A1991:A1992"/>
    <mergeCell ref="A2001:A2002"/>
    <mergeCell ref="A2030:A2031"/>
    <mergeCell ref="A2079:A2081"/>
    <mergeCell ref="A1977:A1978"/>
    <mergeCell ref="A2140:A2141"/>
    <mergeCell ref="A2146:A2147"/>
    <mergeCell ref="A2161:A2162"/>
    <mergeCell ref="A2137:A2138"/>
    <mergeCell ref="A2143:A2144"/>
    <mergeCell ref="A1923:A1927"/>
    <mergeCell ref="A2158:H2158"/>
    <mergeCell ref="A1684:A1685"/>
    <mergeCell ref="A1687:A1689"/>
    <mergeCell ref="A1856:A1860"/>
    <mergeCell ref="A1874:A1878"/>
    <mergeCell ref="A1880:A1881"/>
    <mergeCell ref="A1892:A1896"/>
    <mergeCell ref="A1692:H1692"/>
    <mergeCell ref="A1722:A1725"/>
    <mergeCell ref="A1736:A1739"/>
    <mergeCell ref="A1743:A1746"/>
    <mergeCell ref="A1750:A1753"/>
    <mergeCell ref="A1883:A1887"/>
    <mergeCell ref="A1889:A1890"/>
    <mergeCell ref="A1694:A1697"/>
    <mergeCell ref="A1715:A1718"/>
    <mergeCell ref="A1848:A1850"/>
    <mergeCell ref="A1799:A1805"/>
    <mergeCell ref="A1807:A1808"/>
    <mergeCell ref="A1822:A1827"/>
    <mergeCell ref="A1837:A1838"/>
    <mergeCell ref="A1729:A1732"/>
    <mergeCell ref="A1842:A1844"/>
    <mergeCell ref="A1871:A1872"/>
    <mergeCell ref="A1862:A1863"/>
    <mergeCell ref="A1920:A1921"/>
    <mergeCell ref="A1909:H1909"/>
    <mergeCell ref="A1810:A1817"/>
    <mergeCell ref="A1757:A1760"/>
    <mergeCell ref="A1764:A1767"/>
    <mergeCell ref="A1819:A1820"/>
    <mergeCell ref="A1854:H1854"/>
    <mergeCell ref="A1792:A1795"/>
    <mergeCell ref="A1832:A1833"/>
    <mergeCell ref="A1165:A1166"/>
    <mergeCell ref="A1170:A1171"/>
    <mergeCell ref="A1221:A1222"/>
    <mergeCell ref="A1224:A1225"/>
    <mergeCell ref="A1116:A1120"/>
    <mergeCell ref="A1262:A1263"/>
    <mergeCell ref="A1491:A1496"/>
    <mergeCell ref="A1444:A1449"/>
    <mergeCell ref="A1451:A1452"/>
    <mergeCell ref="A1454:A1458"/>
    <mergeCell ref="A1460:A1461"/>
    <mergeCell ref="A1430:A1431"/>
    <mergeCell ref="A1435:A1436"/>
    <mergeCell ref="A1441:A1442"/>
    <mergeCell ref="A1462:H1462"/>
    <mergeCell ref="A1228:A1229"/>
    <mergeCell ref="A1259:A1260"/>
    <mergeCell ref="A1295:A1296"/>
    <mergeCell ref="A1307:A1308"/>
    <mergeCell ref="A1255:A1256"/>
    <mergeCell ref="A1266:A1267"/>
    <mergeCell ref="A1269:A1270"/>
    <mergeCell ref="A1361:A1362"/>
    <mergeCell ref="A1272:A1280"/>
    <mergeCell ref="A901:A903"/>
    <mergeCell ref="A985:A986"/>
    <mergeCell ref="A995:A997"/>
    <mergeCell ref="A999:A1000"/>
    <mergeCell ref="A961:A966"/>
    <mergeCell ref="A969:A972"/>
    <mergeCell ref="A975:A980"/>
    <mergeCell ref="A981:A983"/>
    <mergeCell ref="A1041:A1045"/>
    <mergeCell ref="A1029:A1033"/>
    <mergeCell ref="A1008:A1010"/>
    <mergeCell ref="A1012:A1013"/>
    <mergeCell ref="A1023:A1026"/>
    <mergeCell ref="A956:A958"/>
    <mergeCell ref="A951:A953"/>
    <mergeCell ref="A989:A994"/>
    <mergeCell ref="A1003:A1007"/>
    <mergeCell ref="A1015:A1020"/>
    <mergeCell ref="A1038:A1039"/>
    <mergeCell ref="A906:A911"/>
    <mergeCell ref="A912:A914"/>
    <mergeCell ref="A916:A918"/>
    <mergeCell ref="A921:A926"/>
    <mergeCell ref="A927:A929"/>
    <mergeCell ref="A860:A861"/>
    <mergeCell ref="A864:A865"/>
    <mergeCell ref="A866:A867"/>
    <mergeCell ref="A869:A870"/>
    <mergeCell ref="A873:A874"/>
    <mergeCell ref="A875:A876"/>
    <mergeCell ref="A897:A899"/>
    <mergeCell ref="A891:A896"/>
    <mergeCell ref="A841:A846"/>
    <mergeCell ref="A851:A856"/>
    <mergeCell ref="A857:A858"/>
    <mergeCell ref="A878:A879"/>
    <mergeCell ref="A884:A885"/>
    <mergeCell ref="A887:A888"/>
    <mergeCell ref="A882:A883"/>
    <mergeCell ref="A803:A805"/>
    <mergeCell ref="A807:A808"/>
    <mergeCell ref="A811:A818"/>
    <mergeCell ref="A669:A670"/>
    <mergeCell ref="A676:A677"/>
    <mergeCell ref="A683:A684"/>
    <mergeCell ref="A764:A766"/>
    <mergeCell ref="A715:A719"/>
    <mergeCell ref="A759:A763"/>
    <mergeCell ref="A790:A792"/>
    <mergeCell ref="A794:A795"/>
    <mergeCell ref="A798:A802"/>
    <mergeCell ref="A768:A769"/>
    <mergeCell ref="A772:A776"/>
    <mergeCell ref="A777:A779"/>
    <mergeCell ref="A781:A782"/>
    <mergeCell ref="A754:A756"/>
    <mergeCell ref="A785:A789"/>
    <mergeCell ref="A509:A510"/>
    <mergeCell ref="A457:A458"/>
    <mergeCell ref="A487:A488"/>
    <mergeCell ref="A551:A552"/>
    <mergeCell ref="A511:A512"/>
    <mergeCell ref="A466:A468"/>
    <mergeCell ref="A470:H470"/>
    <mergeCell ref="A461:A463"/>
    <mergeCell ref="A599:A600"/>
    <mergeCell ref="A597:A598"/>
    <mergeCell ref="A585:A586"/>
    <mergeCell ref="A590:A591"/>
    <mergeCell ref="A592:A593"/>
    <mergeCell ref="A533:A535"/>
    <mergeCell ref="A547:A548"/>
    <mergeCell ref="A617:H617"/>
    <mergeCell ref="A746:A751"/>
    <mergeCell ref="A690:A691"/>
    <mergeCell ref="A694:A699"/>
    <mergeCell ref="A702:A703"/>
    <mergeCell ref="A706:A710"/>
    <mergeCell ref="A649:A651"/>
    <mergeCell ref="A655:A659"/>
    <mergeCell ref="A660:A662"/>
    <mergeCell ref="A724:A728"/>
    <mergeCell ref="A733:A738"/>
    <mergeCell ref="A741:A743"/>
    <mergeCell ref="A604:A605"/>
    <mergeCell ref="A609:A610"/>
    <mergeCell ref="A836:A838"/>
    <mergeCell ref="A411:A412"/>
    <mergeCell ref="A401:A402"/>
    <mergeCell ref="A576:A577"/>
    <mergeCell ref="A578:A579"/>
    <mergeCell ref="A570:A571"/>
    <mergeCell ref="A514:A515"/>
    <mergeCell ref="A574:A575"/>
    <mergeCell ref="A583:A584"/>
    <mergeCell ref="A521:A523"/>
    <mergeCell ref="A558:A560"/>
    <mergeCell ref="A537:A538"/>
    <mergeCell ref="A539:A540"/>
    <mergeCell ref="A542:A543"/>
    <mergeCell ref="A544:A545"/>
    <mergeCell ref="A525:A526"/>
    <mergeCell ref="A527:A529"/>
    <mergeCell ref="A531:A532"/>
    <mergeCell ref="A622:A626"/>
    <mergeCell ref="A627:A629"/>
    <mergeCell ref="A633:A637"/>
    <mergeCell ref="A638:A640"/>
    <mergeCell ref="A421:A422"/>
    <mergeCell ref="A416:A417"/>
    <mergeCell ref="A821:A823"/>
    <mergeCell ref="A826:A833"/>
    <mergeCell ref="A453:A454"/>
    <mergeCell ref="A406:A407"/>
    <mergeCell ref="A337:A338"/>
    <mergeCell ref="A346:A347"/>
    <mergeCell ref="A438:A439"/>
    <mergeCell ref="A449:A450"/>
    <mergeCell ref="A340:A341"/>
    <mergeCell ref="A413:A414"/>
    <mergeCell ref="A418:A419"/>
    <mergeCell ref="A423:A424"/>
    <mergeCell ref="A395:A396"/>
    <mergeCell ref="A436:A437"/>
    <mergeCell ref="A441:A442"/>
    <mergeCell ref="A433:A434"/>
    <mergeCell ref="A484:A485"/>
    <mergeCell ref="A428:A429"/>
    <mergeCell ref="A614:A615"/>
    <mergeCell ref="A561:A562"/>
    <mergeCell ref="A563:A565"/>
    <mergeCell ref="A568:A569"/>
    <mergeCell ref="A1:H1"/>
    <mergeCell ref="A2:H2"/>
    <mergeCell ref="A4:H4"/>
    <mergeCell ref="A141:H141"/>
    <mergeCell ref="A142:H142"/>
    <mergeCell ref="A154:A155"/>
    <mergeCell ref="A379:A380"/>
    <mergeCell ref="A358:A359"/>
    <mergeCell ref="A349:A350"/>
    <mergeCell ref="A311:A312"/>
    <mergeCell ref="A315:A316"/>
    <mergeCell ref="A327:A328"/>
    <mergeCell ref="A335:A336"/>
    <mergeCell ref="A268:A271"/>
    <mergeCell ref="A275:A277"/>
    <mergeCell ref="A344:A345"/>
    <mergeCell ref="A210:A211"/>
    <mergeCell ref="A218:A219"/>
    <mergeCell ref="A242:A243"/>
    <mergeCell ref="A247:A249"/>
    <mergeCell ref="A165:A166"/>
    <mergeCell ref="A97:A99"/>
    <mergeCell ref="A103:A105"/>
    <mergeCell ref="A145:A146"/>
    <mergeCell ref="A302:A304"/>
    <mergeCell ref="A384:A385"/>
    <mergeCell ref="A351:A352"/>
    <mergeCell ref="A360:A361"/>
    <mergeCell ref="A238:A239"/>
    <mergeCell ref="A150:A151"/>
    <mergeCell ref="A157:A163"/>
    <mergeCell ref="A192:A193"/>
    <mergeCell ref="A196:A197"/>
    <mergeCell ref="A187:A190"/>
    <mergeCell ref="A179:A180"/>
    <mergeCell ref="A261:A264"/>
    <mergeCell ref="A284:A287"/>
    <mergeCell ref="A295:H295"/>
    <mergeCell ref="A306:A307"/>
    <mergeCell ref="A323:A324"/>
    <mergeCell ref="A354:A355"/>
    <mergeCell ref="A363:A364"/>
    <mergeCell ref="A372:A373"/>
    <mergeCell ref="A374:A375"/>
    <mergeCell ref="A381:A382"/>
    <mergeCell ref="A365:A366"/>
    <mergeCell ref="A331:A332"/>
    <mergeCell ref="A174:A177"/>
    <mergeCell ref="A1111:A1112"/>
    <mergeCell ref="A1034:A1036"/>
    <mergeCell ref="A1126:A1130"/>
    <mergeCell ref="A1200:H1200"/>
    <mergeCell ref="A1203:A1204"/>
    <mergeCell ref="A1207:A1208"/>
    <mergeCell ref="A1210:A1211"/>
    <mergeCell ref="A1214:A1215"/>
    <mergeCell ref="A1217:A1218"/>
    <mergeCell ref="A1046:A1048"/>
    <mergeCell ref="A1050:A1051"/>
    <mergeCell ref="A1076:A1077"/>
    <mergeCell ref="A1081:A1086"/>
    <mergeCell ref="A1094:A1095"/>
    <mergeCell ref="A1097:A1098"/>
    <mergeCell ref="A1100:A1101"/>
    <mergeCell ref="A1103:A1104"/>
    <mergeCell ref="A1106:A1110"/>
    <mergeCell ref="A1058:A1060"/>
    <mergeCell ref="A1053:A1057"/>
    <mergeCell ref="A1072:A1075"/>
    <mergeCell ref="A1121:A1122"/>
    <mergeCell ref="A1135:A1139"/>
    <mergeCell ref="A1144:A1148"/>
    <mergeCell ref="A368:A369"/>
    <mergeCell ref="A388:A389"/>
    <mergeCell ref="A390:A391"/>
    <mergeCell ref="A426:A427"/>
    <mergeCell ref="A431:A432"/>
    <mergeCell ref="A408:A409"/>
    <mergeCell ref="A1235:A1236"/>
    <mergeCell ref="A114:A115"/>
    <mergeCell ref="A644:A648"/>
    <mergeCell ref="A119:A120"/>
    <mergeCell ref="A124:A125"/>
    <mergeCell ref="A516:A517"/>
    <mergeCell ref="A519:A520"/>
    <mergeCell ref="A489:A491"/>
    <mergeCell ref="A493:A494"/>
    <mergeCell ref="A499:A500"/>
    <mergeCell ref="A505:A506"/>
    <mergeCell ref="A473:A474"/>
    <mergeCell ref="A477:A478"/>
    <mergeCell ref="A479:A480"/>
    <mergeCell ref="A482:A483"/>
    <mergeCell ref="A495:A497"/>
    <mergeCell ref="A501:A503"/>
    <mergeCell ref="A253:A257"/>
    <mergeCell ref="A319:A320"/>
    <mergeCell ref="A393:A394"/>
    <mergeCell ref="A445:A446"/>
    <mergeCell ref="A403:A404"/>
    <mergeCell ref="A4007:A4011"/>
    <mergeCell ref="A4031:A4035"/>
    <mergeCell ref="A2906:A2907"/>
    <mergeCell ref="A2903:A2905"/>
    <mergeCell ref="A3123:A3127"/>
    <mergeCell ref="A3140:A3144"/>
    <mergeCell ref="A3199:A3203"/>
    <mergeCell ref="A3379:A3383"/>
    <mergeCell ref="A3755:A3759"/>
    <mergeCell ref="A3788:A3796"/>
    <mergeCell ref="A3816:A3820"/>
    <mergeCell ref="A3764:A3767"/>
    <mergeCell ref="A3768:A3772"/>
    <mergeCell ref="A3100:A3103"/>
    <mergeCell ref="A3021:A3027"/>
    <mergeCell ref="A3014:A3017"/>
    <mergeCell ref="A3007:A3010"/>
    <mergeCell ref="A3042:A3046"/>
    <mergeCell ref="A4023:A4027"/>
    <mergeCell ref="A3999:A4003"/>
    <mergeCell ref="A4015:A4019"/>
    <mergeCell ref="A3926:A3928"/>
    <mergeCell ref="A3586:A3587"/>
    <mergeCell ref="A3592:A3593"/>
    <mergeCell ref="A3131:A3135"/>
    <mergeCell ref="A936:A941"/>
    <mergeCell ref="A942:A944"/>
    <mergeCell ref="A946:A948"/>
    <mergeCell ref="A1195:A1197"/>
    <mergeCell ref="A1367:A1368"/>
    <mergeCell ref="A1322:A1329"/>
    <mergeCell ref="A1331:A1332"/>
    <mergeCell ref="A1343:A1344"/>
    <mergeCell ref="A1346:A1352"/>
    <mergeCell ref="A1298:A1305"/>
    <mergeCell ref="A1376:A1377"/>
    <mergeCell ref="A1245:A1246"/>
    <mergeCell ref="A1249:A1250"/>
    <mergeCell ref="A1238:A1239"/>
    <mergeCell ref="A1242:A1243"/>
    <mergeCell ref="A1373:A1374"/>
    <mergeCell ref="A1319:A1320"/>
    <mergeCell ref="A1334:A1341"/>
    <mergeCell ref="A2114:A2115"/>
    <mergeCell ref="A1380:A1381"/>
    <mergeCell ref="A1310:A1317"/>
    <mergeCell ref="A1354:A1356"/>
    <mergeCell ref="A1384:A1385"/>
    <mergeCell ref="A1387:A1388"/>
    <mergeCell ref="A1391:A1392"/>
    <mergeCell ref="A1394:A1395"/>
    <mergeCell ref="A1473:A1476"/>
    <mergeCell ref="A1478:A1479"/>
    <mergeCell ref="A1398:A1399"/>
    <mergeCell ref="A1401:A1403"/>
    <mergeCell ref="A1406:A1407"/>
    <mergeCell ref="A1412:A1413"/>
    <mergeCell ref="A1569:H1569"/>
    <mergeCell ref="A1594:A1597"/>
    <mergeCell ref="A1613:H1613"/>
    <mergeCell ref="A1608:A1610"/>
    <mergeCell ref="A1580:A1583"/>
    <mergeCell ref="A1601:A1604"/>
    <mergeCell ref="A1670:A1674"/>
    <mergeCell ref="A1679:A1681"/>
    <mergeCell ref="A1420:A1421"/>
    <mergeCell ref="A1425:A1426"/>
    <mergeCell ref="A1498:A1499"/>
    <mergeCell ref="A1567:A1568"/>
    <mergeCell ref="A1623:A1628"/>
    <mergeCell ref="A1630:A1631"/>
    <mergeCell ref="A1657:H1657"/>
    <mergeCell ref="A1677:H1677"/>
    <mergeCell ref="A1668:H1668"/>
    <mergeCell ref="A1587:A1590"/>
    <mergeCell ref="A1571:A1576"/>
    <mergeCell ref="A1501:A1504"/>
    <mergeCell ref="A1506:A1507"/>
    <mergeCell ref="A1488:A1489"/>
    <mergeCell ref="A1481:A1486"/>
    <mergeCell ref="A2104:A2105"/>
    <mergeCell ref="A2107:A2108"/>
    <mergeCell ref="A2111:A2112"/>
    <mergeCell ref="A1615:A1618"/>
    <mergeCell ref="A1633:A1636"/>
    <mergeCell ref="A1649:A1653"/>
    <mergeCell ref="A1659:A1660"/>
    <mergeCell ref="A1664:A1665"/>
    <mergeCell ref="A1640:A1644"/>
    <mergeCell ref="A1621:H1621"/>
    <mergeCell ref="A2095:A2096"/>
    <mergeCell ref="A2098:A2099"/>
    <mergeCell ref="A2101:A2102"/>
    <mergeCell ref="A1771:A1774"/>
    <mergeCell ref="A1778:A1781"/>
    <mergeCell ref="A1701:A1704"/>
    <mergeCell ref="A1785:A1788"/>
    <mergeCell ref="A1708:A1711"/>
    <mergeCell ref="A1901:A1905"/>
    <mergeCell ref="A1942:A1947"/>
    <mergeCell ref="A1957:A1959"/>
    <mergeCell ref="A1907:A1908"/>
    <mergeCell ref="A1932:A1937"/>
    <mergeCell ref="A1911:A1918"/>
    <mergeCell ref="A291:A292"/>
    <mergeCell ref="A235:A236"/>
    <mergeCell ref="A1561:A1565"/>
    <mergeCell ref="A2118:A2119"/>
    <mergeCell ref="A1960:A1963"/>
    <mergeCell ref="A1996:A1997"/>
    <mergeCell ref="A2018:A2019"/>
    <mergeCell ref="A2025:A2026"/>
    <mergeCell ref="A2014:A2016"/>
    <mergeCell ref="A2021:A2023"/>
    <mergeCell ref="A1508:H1508"/>
    <mergeCell ref="A1509:H1509"/>
    <mergeCell ref="A1511:A1514"/>
    <mergeCell ref="A1518:A1520"/>
    <mergeCell ref="A1524:A1526"/>
    <mergeCell ref="A1542:A1547"/>
    <mergeCell ref="A1551:A1556"/>
    <mergeCell ref="A1558:A1559"/>
    <mergeCell ref="A1530:H1530"/>
    <mergeCell ref="A1532:A1537"/>
    <mergeCell ref="A1539:A1540"/>
    <mergeCell ref="A1282:A1283"/>
    <mergeCell ref="A1231:A1232"/>
    <mergeCell ref="A1285:A1293"/>
  </mergeCells>
  <printOptions horizontalCentered="1"/>
  <pageMargins left="0" right="0" top="0.31496062992125984" bottom="0.31496062992125984" header="0" footer="0"/>
  <pageSetup scale="80" fitToWidth="2" fitToHeight="0" orientation="landscape" r:id="rId1"/>
  <headerFooter>
    <oddHeader>&amp;L&amp;"+,Regular"&amp;16&amp;K04+035Customer&amp;"-,Regular"&amp;K01+000 Contacts</oddHeader>
    <oddFooter>Page &amp;P of &amp;N</oddFooter>
  </headerFooter>
  <ignoredErrors>
    <ignoredError sqref="A144" twoDigitTextYear="1"/>
  </ignoredErrors>
  <drawing r:id="rId2"/>
  <legacyDrawing r:id="rId3"/>
  <oleObjects>
    <mc:AlternateContent xmlns:mc="http://schemas.openxmlformats.org/markup-compatibility/2006">
      <mc:Choice Requires="x14">
        <oleObject progId="Word.Picture.8" shapeId="2051" r:id="rId4">
          <objectPr defaultSize="0" autoPict="0" r:id="rId5">
            <anchor moveWithCells="1" sizeWithCells="1">
              <from>
                <xdr:col>5</xdr:col>
                <xdr:colOff>638175</xdr:colOff>
                <xdr:row>5</xdr:row>
                <xdr:rowOff>47625</xdr:rowOff>
              </from>
              <to>
                <xdr:col>6</xdr:col>
                <xdr:colOff>466725</xdr:colOff>
                <xdr:row>5</xdr:row>
                <xdr:rowOff>809625</xdr:rowOff>
              </to>
            </anchor>
          </objectPr>
        </oleObject>
      </mc:Choice>
      <mc:Fallback>
        <oleObject progId="Word.Picture.8" shapeId="2051"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autoPageBreaks="0"/>
  </sheetPr>
  <dimension ref="A1:J1594"/>
  <sheetViews>
    <sheetView showWhiteSpace="0" zoomScale="106" zoomScaleNormal="106" zoomScaleSheetLayoutView="85" zoomScalePageLayoutView="130" workbookViewId="0">
      <selection sqref="A1:H1"/>
    </sheetView>
  </sheetViews>
  <sheetFormatPr baseColWidth="10" defaultColWidth="9.140625" defaultRowHeight="15" x14ac:dyDescent="0.2"/>
  <cols>
    <col min="1" max="1" width="11" style="47" bestFit="1" customWidth="1"/>
    <col min="2" max="2" width="10.42578125" style="42" bestFit="1" customWidth="1"/>
    <col min="3" max="3" width="53.140625" style="312" customWidth="1"/>
    <col min="4" max="4" width="8.5703125" style="1" bestFit="1" customWidth="1"/>
    <col min="5" max="5" width="10.28515625" style="318" bestFit="1" customWidth="1"/>
    <col min="6" max="6" width="12.140625" style="323" bestFit="1" customWidth="1"/>
    <col min="7" max="7" width="17.7109375" style="316" bestFit="1" customWidth="1"/>
    <col min="8" max="8" width="11.140625" style="43" bestFit="1" customWidth="1"/>
    <col min="9" max="9" width="9.140625" style="914" customWidth="1"/>
    <col min="10" max="16384" width="9.140625" style="22"/>
  </cols>
  <sheetData>
    <row r="1" spans="1:9" customFormat="1" ht="78.75" customHeight="1" x14ac:dyDescent="0.2">
      <c r="A1" s="961" t="s">
        <v>4236</v>
      </c>
      <c r="B1" s="962"/>
      <c r="C1" s="962"/>
      <c r="D1" s="962"/>
      <c r="E1" s="962"/>
      <c r="F1" s="962"/>
      <c r="G1" s="962"/>
      <c r="H1" s="963"/>
      <c r="I1" s="913"/>
    </row>
    <row r="2" spans="1:9" customFormat="1" ht="85.5" customHeight="1" x14ac:dyDescent="0.2">
      <c r="A2" s="964" t="s">
        <v>2568</v>
      </c>
      <c r="B2" s="965"/>
      <c r="C2" s="965"/>
      <c r="D2" s="965"/>
      <c r="E2" s="965"/>
      <c r="F2" s="965"/>
      <c r="G2" s="965"/>
      <c r="H2" s="966"/>
      <c r="I2" s="913"/>
    </row>
    <row r="3" spans="1:9" customFormat="1" ht="32.25" customHeight="1" x14ac:dyDescent="0.2">
      <c r="A3" s="964" t="s">
        <v>4229</v>
      </c>
      <c r="B3" s="965"/>
      <c r="C3" s="965"/>
      <c r="D3" s="965"/>
      <c r="E3" s="965"/>
      <c r="F3" s="965"/>
      <c r="G3" s="965"/>
      <c r="H3" s="966"/>
      <c r="I3" s="913"/>
    </row>
    <row r="4" spans="1:9" customFormat="1" ht="31.5" customHeight="1" x14ac:dyDescent="0.2">
      <c r="A4" s="964" t="s">
        <v>4237</v>
      </c>
      <c r="B4" s="965"/>
      <c r="C4" s="965"/>
      <c r="D4" s="965"/>
      <c r="E4" s="965"/>
      <c r="F4" s="965"/>
      <c r="G4" s="965"/>
      <c r="H4" s="966"/>
      <c r="I4" s="913"/>
    </row>
    <row r="5" spans="1:9" customFormat="1" ht="13.5" thickBot="1" x14ac:dyDescent="0.25">
      <c r="A5" s="95"/>
      <c r="B5" s="39"/>
      <c r="C5" s="306"/>
      <c r="D5" s="39"/>
      <c r="E5" s="313"/>
      <c r="F5" s="319"/>
      <c r="G5" s="313"/>
      <c r="H5" s="96"/>
      <c r="I5" s="913"/>
    </row>
    <row r="6" spans="1:9" ht="16.5" thickBot="1" x14ac:dyDescent="0.25">
      <c r="A6" s="1049" t="s">
        <v>2224</v>
      </c>
      <c r="B6" s="1050"/>
      <c r="C6" s="1051"/>
      <c r="D6" s="1051"/>
      <c r="E6" s="1051"/>
      <c r="F6" s="1051"/>
      <c r="G6" s="1051"/>
      <c r="H6" s="1052"/>
    </row>
    <row r="7" spans="1:9" s="41" customFormat="1" ht="15.75" thickBot="1" x14ac:dyDescent="0.25">
      <c r="A7" s="950" t="s">
        <v>2212</v>
      </c>
      <c r="B7" s="951"/>
      <c r="C7" s="951"/>
      <c r="D7" s="951"/>
      <c r="E7" s="951"/>
      <c r="F7" s="951"/>
      <c r="G7" s="951"/>
      <c r="H7" s="952"/>
      <c r="I7" s="914"/>
    </row>
    <row r="8" spans="1:9" s="41" customFormat="1" ht="45.75" thickBot="1" x14ac:dyDescent="0.25">
      <c r="A8" s="510" t="s">
        <v>2044</v>
      </c>
      <c r="B8" s="66" t="s">
        <v>265</v>
      </c>
      <c r="C8" s="74" t="s">
        <v>402</v>
      </c>
      <c r="D8" s="72" t="s">
        <v>346</v>
      </c>
      <c r="E8" s="192" t="s">
        <v>2173</v>
      </c>
      <c r="F8" s="162" t="s">
        <v>3165</v>
      </c>
      <c r="G8" s="290" t="s">
        <v>281</v>
      </c>
      <c r="H8" s="74" t="s">
        <v>3164</v>
      </c>
      <c r="I8" s="914"/>
    </row>
    <row r="9" spans="1:9" s="341" customFormat="1" ht="30" x14ac:dyDescent="0.2">
      <c r="A9" s="67" t="s">
        <v>1083</v>
      </c>
      <c r="B9" s="539"/>
      <c r="C9" s="361" t="s">
        <v>493</v>
      </c>
      <c r="D9" s="362" t="s">
        <v>405</v>
      </c>
      <c r="E9" s="679"/>
      <c r="F9" s="328">
        <f>ROUND(SUM(H9:H15),0)</f>
        <v>5395</v>
      </c>
      <c r="G9" s="337"/>
      <c r="H9" s="334"/>
      <c r="I9" s="915"/>
    </row>
    <row r="10" spans="1:9" s="324" customFormat="1" ht="12.75" x14ac:dyDescent="0.2">
      <c r="A10" s="789" t="s">
        <v>382</v>
      </c>
      <c r="B10" s="244" t="s">
        <v>3976</v>
      </c>
      <c r="C10" s="3" t="s">
        <v>4030</v>
      </c>
      <c r="D10" s="19" t="s">
        <v>405</v>
      </c>
      <c r="E10" s="194">
        <v>1</v>
      </c>
      <c r="F10" s="320">
        <f>VLOOKUP(B10,'BASE DE DATOS'!$A$5:$E$997,5,FALSE)</f>
        <v>35000</v>
      </c>
      <c r="G10" s="104">
        <f t="shared" ref="G10:G15" si="0">1/175</f>
        <v>5.7142857142857143E-3</v>
      </c>
      <c r="H10" s="252">
        <f>IF(G10&gt;0,(G10*F10*E10),(F10*E10))</f>
        <v>200</v>
      </c>
      <c r="I10" s="914"/>
    </row>
    <row r="11" spans="1:9" s="324" customFormat="1" ht="12.75" x14ac:dyDescent="0.2">
      <c r="A11" s="508" t="s">
        <v>2555</v>
      </c>
      <c r="B11" s="244" t="s">
        <v>594</v>
      </c>
      <c r="C11" s="62" t="s">
        <v>4022</v>
      </c>
      <c r="D11" s="19" t="s">
        <v>585</v>
      </c>
      <c r="E11" s="194">
        <v>1</v>
      </c>
      <c r="F11" s="320">
        <f>VLOOKUP(B11,'BASE DE DATOS'!$A$5:$E$997,5,FALSE)</f>
        <v>375244</v>
      </c>
      <c r="G11" s="104">
        <f t="shared" si="0"/>
        <v>5.7142857142857143E-3</v>
      </c>
      <c r="H11" s="252">
        <f t="shared" ref="H11:H15" si="1">IF(G11&gt;0,(G11*F11*E11),(F11*E11))</f>
        <v>2144.2514285714287</v>
      </c>
      <c r="I11" s="914"/>
    </row>
    <row r="12" spans="1:9" customFormat="1" ht="12.75" x14ac:dyDescent="0.2">
      <c r="A12" s="937" t="s">
        <v>293</v>
      </c>
      <c r="B12" s="241" t="s">
        <v>4024</v>
      </c>
      <c r="C12" s="218" t="s">
        <v>4031</v>
      </c>
      <c r="D12" s="219" t="s">
        <v>585</v>
      </c>
      <c r="E12" s="114">
        <v>1</v>
      </c>
      <c r="F12" s="220">
        <f>VLOOKUP(B12,'BASE DE DATOS'!$A$5:$E$997,5,FALSE)</f>
        <v>98462</v>
      </c>
      <c r="G12" s="104">
        <f t="shared" si="0"/>
        <v>5.7142857142857143E-3</v>
      </c>
      <c r="H12" s="252">
        <f t="shared" si="1"/>
        <v>562.64</v>
      </c>
      <c r="I12" s="913"/>
    </row>
    <row r="13" spans="1:9" customFormat="1" ht="25.5" x14ac:dyDescent="0.2">
      <c r="A13" s="937"/>
      <c r="B13" s="241" t="s">
        <v>649</v>
      </c>
      <c r="C13" s="218" t="s">
        <v>3634</v>
      </c>
      <c r="D13" s="219" t="s">
        <v>585</v>
      </c>
      <c r="E13" s="114">
        <v>1</v>
      </c>
      <c r="F13" s="220">
        <f>VLOOKUP(B13,'BASE DE DATOS'!$A$5:$E$997,5,FALSE)</f>
        <v>378333.33333333331</v>
      </c>
      <c r="G13" s="104">
        <f t="shared" si="0"/>
        <v>5.7142857142857143E-3</v>
      </c>
      <c r="H13" s="252">
        <f t="shared" si="1"/>
        <v>2161.9047619047619</v>
      </c>
      <c r="I13" s="913"/>
    </row>
    <row r="14" spans="1:9" customFormat="1" ht="12.75" x14ac:dyDescent="0.2">
      <c r="A14" s="937"/>
      <c r="B14" s="241" t="s">
        <v>1930</v>
      </c>
      <c r="C14" s="218" t="s">
        <v>4029</v>
      </c>
      <c r="D14" s="219" t="s">
        <v>585</v>
      </c>
      <c r="E14" s="114">
        <v>1</v>
      </c>
      <c r="F14" s="220">
        <f>VLOOKUP(B14,'BASE DE DATOS'!$A$5:$E$997,5,FALSE)</f>
        <v>7000</v>
      </c>
      <c r="G14" s="104">
        <f t="shared" si="0"/>
        <v>5.7142857142857143E-3</v>
      </c>
      <c r="H14" s="252">
        <f t="shared" si="1"/>
        <v>40</v>
      </c>
      <c r="I14" s="913"/>
    </row>
    <row r="15" spans="1:9" s="324" customFormat="1" ht="26.25" thickBot="1" x14ac:dyDescent="0.25">
      <c r="A15" s="938"/>
      <c r="B15" s="531" t="s">
        <v>595</v>
      </c>
      <c r="C15" s="75" t="s">
        <v>4023</v>
      </c>
      <c r="D15" s="49" t="s">
        <v>585</v>
      </c>
      <c r="E15" s="195">
        <v>1</v>
      </c>
      <c r="F15" s="321">
        <f>VLOOKUP(B15,'BASE DE DATOS'!$A$5:$E$997,5,FALSE)</f>
        <v>50000</v>
      </c>
      <c r="G15" s="153">
        <f t="shared" si="0"/>
        <v>5.7142857142857143E-3</v>
      </c>
      <c r="H15" s="255">
        <f t="shared" si="1"/>
        <v>285.71428571428572</v>
      </c>
      <c r="I15" s="914"/>
    </row>
    <row r="16" spans="1:9" s="341" customFormat="1" x14ac:dyDescent="0.2">
      <c r="A16" s="67" t="s">
        <v>3224</v>
      </c>
      <c r="B16" s="539"/>
      <c r="C16" s="361" t="s">
        <v>4217</v>
      </c>
      <c r="D16" s="362" t="s">
        <v>462</v>
      </c>
      <c r="E16" s="679"/>
      <c r="F16" s="328">
        <f>ROUND(SUM(H16:H17),0)</f>
        <v>1300000</v>
      </c>
      <c r="G16" s="337"/>
      <c r="H16" s="334"/>
      <c r="I16" s="915"/>
    </row>
    <row r="17" spans="1:9" customFormat="1" ht="153.75" thickBot="1" x14ac:dyDescent="0.25">
      <c r="A17" s="862" t="s">
        <v>293</v>
      </c>
      <c r="B17" s="530" t="s">
        <v>4025</v>
      </c>
      <c r="C17" s="88" t="s">
        <v>4234</v>
      </c>
      <c r="D17" s="89" t="s">
        <v>462</v>
      </c>
      <c r="E17" s="193">
        <v>1</v>
      </c>
      <c r="F17" s="90">
        <f>VLOOKUP(B17,'BASE DE DATOS'!$A$5:$E$997,5,FALSE)</f>
        <v>1300000</v>
      </c>
      <c r="G17" s="153">
        <v>0</v>
      </c>
      <c r="H17" s="255">
        <f t="shared" ref="H17" si="2">IF(G17&gt;0,(G17*F17*E17),(F17*E17))</f>
        <v>1300000</v>
      </c>
      <c r="I17" s="913"/>
    </row>
    <row r="18" spans="1:9" s="331" customFormat="1" ht="17.25" x14ac:dyDescent="0.2">
      <c r="A18" s="67" t="s">
        <v>1085</v>
      </c>
      <c r="B18" s="526"/>
      <c r="C18" s="325" t="s">
        <v>4014</v>
      </c>
      <c r="D18" s="326" t="s">
        <v>3225</v>
      </c>
      <c r="E18" s="414"/>
      <c r="F18" s="357">
        <f>ROUND(SUM(H18:H22),0)</f>
        <v>22738</v>
      </c>
      <c r="G18" s="683"/>
      <c r="H18" s="330"/>
      <c r="I18" s="916"/>
    </row>
    <row r="19" spans="1:9" s="324" customFormat="1" ht="14.25" x14ac:dyDescent="0.2">
      <c r="A19" s="507" t="s">
        <v>3252</v>
      </c>
      <c r="B19" s="244" t="s">
        <v>1219</v>
      </c>
      <c r="C19" s="62" t="s">
        <v>694</v>
      </c>
      <c r="D19" s="19" t="s">
        <v>285</v>
      </c>
      <c r="E19" s="194">
        <v>1</v>
      </c>
      <c r="F19" s="320">
        <f>CONSTRUCCION!F137</f>
        <v>17143</v>
      </c>
      <c r="G19" s="681">
        <v>1</v>
      </c>
      <c r="H19" s="252">
        <f t="shared" ref="H19:H82" si="3">IF(G19&gt;0,(G19*F19*E19),(F19*E19))</f>
        <v>17143</v>
      </c>
      <c r="I19" s="914"/>
    </row>
    <row r="20" spans="1:9" s="324" customFormat="1" ht="12.75" x14ac:dyDescent="0.2">
      <c r="A20" s="508" t="s">
        <v>2555</v>
      </c>
      <c r="B20" s="244" t="s">
        <v>583</v>
      </c>
      <c r="C20" s="62" t="s">
        <v>584</v>
      </c>
      <c r="D20" s="19" t="s">
        <v>585</v>
      </c>
      <c r="E20" s="194">
        <v>1</v>
      </c>
      <c r="F20" s="320">
        <f>VLOOKUP(B20,'BASE DE DATOS'!$A$5:$E$997,5,FALSE)</f>
        <v>88679</v>
      </c>
      <c r="G20" s="681">
        <f>1/264</f>
        <v>3.787878787878788E-3</v>
      </c>
      <c r="H20" s="252">
        <f t="shared" si="3"/>
        <v>335.90530303030306</v>
      </c>
      <c r="I20" s="914"/>
    </row>
    <row r="21" spans="1:9" s="324" customFormat="1" ht="12.75" x14ac:dyDescent="0.2">
      <c r="A21" s="1053" t="s">
        <v>293</v>
      </c>
      <c r="B21" s="244" t="s">
        <v>615</v>
      </c>
      <c r="C21" s="474" t="s">
        <v>1974</v>
      </c>
      <c r="D21" s="215" t="s">
        <v>614</v>
      </c>
      <c r="E21" s="194">
        <v>1</v>
      </c>
      <c r="F21" s="320">
        <f>VLOOKUP(B21,'BASE DE DATOS'!$A$5:$E$997,5,FALSE)</f>
        <v>238000</v>
      </c>
      <c r="G21" s="684">
        <f>1/100</f>
        <v>0.01</v>
      </c>
      <c r="H21" s="252">
        <f>IF(G21&gt;0,(G21*F21*E21),(F21*E21))</f>
        <v>2380</v>
      </c>
      <c r="I21" s="914"/>
    </row>
    <row r="22" spans="1:9" s="324" customFormat="1" thickBot="1" x14ac:dyDescent="0.25">
      <c r="A22" s="1054"/>
      <c r="B22" s="543" t="s">
        <v>630</v>
      </c>
      <c r="C22" s="75" t="s">
        <v>2177</v>
      </c>
      <c r="D22" s="49" t="s">
        <v>614</v>
      </c>
      <c r="E22" s="195">
        <v>1</v>
      </c>
      <c r="F22" s="355">
        <f>VLOOKUP(B22,'BASE DE DATOS'!$A$5:$E$997,5,FALSE)</f>
        <v>190000</v>
      </c>
      <c r="G22" s="682">
        <f>1/66</f>
        <v>1.5151515151515152E-2</v>
      </c>
      <c r="H22" s="255">
        <f t="shared" si="3"/>
        <v>2878.787878787879</v>
      </c>
      <c r="I22" s="914"/>
    </row>
    <row r="23" spans="1:9" s="339" customFormat="1" ht="30" x14ac:dyDescent="0.2">
      <c r="A23" s="68" t="s">
        <v>1084</v>
      </c>
      <c r="B23" s="526"/>
      <c r="C23" s="325" t="s">
        <v>2174</v>
      </c>
      <c r="D23" s="326" t="s">
        <v>525</v>
      </c>
      <c r="E23" s="414"/>
      <c r="F23" s="357">
        <f>ROUND(SUM(H23:H40),0)</f>
        <v>1841109</v>
      </c>
      <c r="G23" s="683"/>
      <c r="H23" s="330"/>
      <c r="I23" s="917"/>
    </row>
    <row r="24" spans="1:9" s="324" customFormat="1" ht="13.15" customHeight="1" x14ac:dyDescent="0.2">
      <c r="A24" s="939" t="s">
        <v>295</v>
      </c>
      <c r="B24" s="244" t="s">
        <v>1903</v>
      </c>
      <c r="C24" s="62" t="s">
        <v>651</v>
      </c>
      <c r="D24" s="19" t="s">
        <v>411</v>
      </c>
      <c r="E24" s="194">
        <v>5</v>
      </c>
      <c r="F24" s="320">
        <f>VLOOKUP(B24,'BASE DE DATOS'!$A$5:$E$997,5,FALSE)</f>
        <v>44900</v>
      </c>
      <c r="G24" s="681">
        <f>1/50</f>
        <v>0.02</v>
      </c>
      <c r="H24" s="252">
        <f t="shared" si="3"/>
        <v>4490</v>
      </c>
      <c r="I24" s="914"/>
    </row>
    <row r="25" spans="1:9" s="324" customFormat="1" ht="14.25" x14ac:dyDescent="0.2">
      <c r="A25" s="939"/>
      <c r="B25" s="540" t="s">
        <v>1308</v>
      </c>
      <c r="C25" s="62" t="s">
        <v>2175</v>
      </c>
      <c r="D25" s="19" t="s">
        <v>411</v>
      </c>
      <c r="E25" s="194">
        <v>2</v>
      </c>
      <c r="F25" s="320">
        <f>VLOOKUP(B25,'BASE DE DATOS'!$A$5:$E$997,5,FALSE)</f>
        <v>299900</v>
      </c>
      <c r="G25" s="681">
        <f>1/50</f>
        <v>0.02</v>
      </c>
      <c r="H25" s="252">
        <f t="shared" ref="H25:H32" si="4">IF(G25&gt;0,(G25*F25*E25),(F25*E25))</f>
        <v>11996</v>
      </c>
      <c r="I25" s="914"/>
    </row>
    <row r="26" spans="1:9" s="324" customFormat="1" ht="12.75" x14ac:dyDescent="0.2">
      <c r="A26" s="939"/>
      <c r="B26" s="244" t="s">
        <v>1316</v>
      </c>
      <c r="C26" s="62" t="s">
        <v>3801</v>
      </c>
      <c r="D26" s="19" t="s">
        <v>411</v>
      </c>
      <c r="E26" s="194">
        <v>9</v>
      </c>
      <c r="F26" s="320">
        <f>VLOOKUP(B26,'BASE DE DATOS'!$A$5:$E$997,5,FALSE)</f>
        <v>34900</v>
      </c>
      <c r="G26" s="681">
        <f>1/50</f>
        <v>0.02</v>
      </c>
      <c r="H26" s="252">
        <f t="shared" si="4"/>
        <v>6282</v>
      </c>
      <c r="I26" s="914"/>
    </row>
    <row r="27" spans="1:9" s="324" customFormat="1" ht="25.5" x14ac:dyDescent="0.2">
      <c r="A27" s="939"/>
      <c r="B27" s="244" t="s">
        <v>1313</v>
      </c>
      <c r="C27" s="62" t="s">
        <v>2706</v>
      </c>
      <c r="D27" s="19" t="s">
        <v>411</v>
      </c>
      <c r="E27" s="194">
        <v>9</v>
      </c>
      <c r="F27" s="320">
        <f>VLOOKUP(B27,'BASE DE DATOS'!$A$5:$E$997,5,FALSE)</f>
        <v>31900</v>
      </c>
      <c r="G27" s="681">
        <f>1/50</f>
        <v>0.02</v>
      </c>
      <c r="H27" s="252">
        <f t="shared" si="4"/>
        <v>5742</v>
      </c>
      <c r="I27" s="914"/>
    </row>
    <row r="28" spans="1:9" s="324" customFormat="1" ht="12.75" x14ac:dyDescent="0.2">
      <c r="A28" s="939"/>
      <c r="B28" s="244" t="s">
        <v>1331</v>
      </c>
      <c r="C28" s="62" t="s">
        <v>3587</v>
      </c>
      <c r="D28" s="19" t="s">
        <v>411</v>
      </c>
      <c r="E28" s="194">
        <v>9</v>
      </c>
      <c r="F28" s="320">
        <f>VLOOKUP(B28,'BASE DE DATOS'!$A$5:$E$997,5,FALSE)</f>
        <v>24325</v>
      </c>
      <c r="G28" s="681">
        <f t="shared" ref="G28:G37" si="5">1/50</f>
        <v>0.02</v>
      </c>
      <c r="H28" s="252">
        <f t="shared" si="4"/>
        <v>4378.5</v>
      </c>
      <c r="I28" s="914"/>
    </row>
    <row r="29" spans="1:9" s="324" customFormat="1" ht="12.75" x14ac:dyDescent="0.2">
      <c r="A29" s="939"/>
      <c r="B29" s="244" t="s">
        <v>1346</v>
      </c>
      <c r="C29" s="62" t="s">
        <v>2171</v>
      </c>
      <c r="D29" s="19" t="s">
        <v>405</v>
      </c>
      <c r="E29" s="194">
        <v>1000</v>
      </c>
      <c r="F29" s="320">
        <f>VLOOKUP(B29,'BASE DE DATOS'!$A$5:$E$997,5,FALSE)</f>
        <v>68</v>
      </c>
      <c r="G29" s="681">
        <f>1/2</f>
        <v>0.5</v>
      </c>
      <c r="H29" s="252">
        <f t="shared" si="4"/>
        <v>34000</v>
      </c>
      <c r="I29" s="914"/>
    </row>
    <row r="30" spans="1:9" s="324" customFormat="1" ht="12.75" x14ac:dyDescent="0.2">
      <c r="A30" s="939"/>
      <c r="B30" s="244" t="s">
        <v>1362</v>
      </c>
      <c r="C30" s="62" t="s">
        <v>3128</v>
      </c>
      <c r="D30" s="19" t="s">
        <v>411</v>
      </c>
      <c r="E30" s="194">
        <v>6</v>
      </c>
      <c r="F30" s="320">
        <f>VLOOKUP(B30,'BASE DE DATOS'!$A$5:$E$997,5,FALSE)</f>
        <v>74900</v>
      </c>
      <c r="G30" s="681">
        <f t="shared" si="5"/>
        <v>0.02</v>
      </c>
      <c r="H30" s="252">
        <f t="shared" si="4"/>
        <v>8988</v>
      </c>
      <c r="I30" s="914"/>
    </row>
    <row r="31" spans="1:9" s="324" customFormat="1" ht="12.75" x14ac:dyDescent="0.2">
      <c r="A31" s="939"/>
      <c r="B31" s="244" t="s">
        <v>1460</v>
      </c>
      <c r="C31" s="62" t="s">
        <v>652</v>
      </c>
      <c r="D31" s="19" t="s">
        <v>411</v>
      </c>
      <c r="E31" s="194">
        <v>18</v>
      </c>
      <c r="F31" s="320">
        <f>VLOOKUP(B31,'BASE DE DATOS'!$A$5:$E$997,5,FALSE)</f>
        <v>25900</v>
      </c>
      <c r="G31" s="681">
        <f t="shared" si="5"/>
        <v>0.02</v>
      </c>
      <c r="H31" s="252">
        <f t="shared" si="4"/>
        <v>9324</v>
      </c>
      <c r="I31" s="914"/>
    </row>
    <row r="32" spans="1:9" s="324" customFormat="1" ht="12.75" x14ac:dyDescent="0.2">
      <c r="A32" s="939"/>
      <c r="B32" s="244" t="s">
        <v>1472</v>
      </c>
      <c r="C32" s="62" t="s">
        <v>2961</v>
      </c>
      <c r="D32" s="19" t="s">
        <v>411</v>
      </c>
      <c r="E32" s="194">
        <v>18</v>
      </c>
      <c r="F32" s="320">
        <f>VLOOKUP(B32,'BASE DE DATOS'!$A$5:$E$997,5,FALSE)</f>
        <v>24900</v>
      </c>
      <c r="G32" s="681">
        <f t="shared" si="5"/>
        <v>0.02</v>
      </c>
      <c r="H32" s="252">
        <f t="shared" si="4"/>
        <v>8964</v>
      </c>
      <c r="I32" s="914"/>
    </row>
    <row r="33" spans="1:9" s="324" customFormat="1" ht="12.75" x14ac:dyDescent="0.2">
      <c r="A33" s="939"/>
      <c r="B33" s="244" t="s">
        <v>1507</v>
      </c>
      <c r="C33" s="62" t="s">
        <v>2734</v>
      </c>
      <c r="D33" s="19" t="s">
        <v>411</v>
      </c>
      <c r="E33" s="194">
        <v>5</v>
      </c>
      <c r="F33" s="320">
        <f>VLOOKUP(B33,'BASE DE DATOS'!$A$5:$E$997,5,FALSE)</f>
        <v>76900</v>
      </c>
      <c r="G33" s="681">
        <f t="shared" si="5"/>
        <v>0.02</v>
      </c>
      <c r="H33" s="252">
        <f t="shared" si="3"/>
        <v>7690</v>
      </c>
      <c r="I33" s="914"/>
    </row>
    <row r="34" spans="1:9" s="324" customFormat="1" ht="12.75" x14ac:dyDescent="0.2">
      <c r="A34" s="939"/>
      <c r="B34" s="244" t="s">
        <v>1508</v>
      </c>
      <c r="C34" s="62" t="s">
        <v>690</v>
      </c>
      <c r="D34" s="19" t="s">
        <v>411</v>
      </c>
      <c r="E34" s="194">
        <v>2</v>
      </c>
      <c r="F34" s="320">
        <f>VLOOKUP(B34,'BASE DE DATOS'!$A$5:$E$997,5,FALSE)</f>
        <v>55340</v>
      </c>
      <c r="G34" s="681">
        <f t="shared" si="5"/>
        <v>0.02</v>
      </c>
      <c r="H34" s="252">
        <f t="shared" si="3"/>
        <v>2213.6</v>
      </c>
      <c r="I34" s="914"/>
    </row>
    <row r="35" spans="1:9" s="324" customFormat="1" ht="12.75" x14ac:dyDescent="0.2">
      <c r="A35" s="939"/>
      <c r="B35" s="244" t="s">
        <v>1722</v>
      </c>
      <c r="C35" s="62" t="s">
        <v>654</v>
      </c>
      <c r="D35" s="19" t="s">
        <v>168</v>
      </c>
      <c r="E35" s="194">
        <v>1</v>
      </c>
      <c r="F35" s="320">
        <f>VLOOKUP(B35,'BASE DE DATOS'!$A$5:$E$997,5,FALSE)</f>
        <v>63997</v>
      </c>
      <c r="G35" s="681">
        <v>0</v>
      </c>
      <c r="H35" s="252">
        <f>IF(G35&gt;0,(G35*F35*E35),(F35*E35))</f>
        <v>63997</v>
      </c>
      <c r="I35" s="914"/>
    </row>
    <row r="36" spans="1:9" s="324" customFormat="1" ht="25.5" x14ac:dyDescent="0.2">
      <c r="A36" s="939"/>
      <c r="B36" s="244" t="s">
        <v>1670</v>
      </c>
      <c r="C36" s="62" t="s">
        <v>3665</v>
      </c>
      <c r="D36" s="19" t="s">
        <v>411</v>
      </c>
      <c r="E36" s="194">
        <v>9</v>
      </c>
      <c r="F36" s="320">
        <f>VLOOKUP(B36,'BASE DE DATOS'!$A$5:$E$997,5,FALSE)</f>
        <v>169900</v>
      </c>
      <c r="G36" s="681">
        <f>1/50</f>
        <v>0.02</v>
      </c>
      <c r="H36" s="252">
        <f>IF(G36&gt;0,(G36*F36*E36),(F36*E36))</f>
        <v>30582</v>
      </c>
      <c r="I36" s="914"/>
    </row>
    <row r="37" spans="1:9" s="324" customFormat="1" ht="12.75" x14ac:dyDescent="0.2">
      <c r="A37" s="939"/>
      <c r="B37" s="244" t="s">
        <v>1520</v>
      </c>
      <c r="C37" s="62" t="s">
        <v>653</v>
      </c>
      <c r="D37" s="19" t="s">
        <v>411</v>
      </c>
      <c r="E37" s="194">
        <v>5</v>
      </c>
      <c r="F37" s="320">
        <f>VLOOKUP(B37,'BASE DE DATOS'!$A$5:$E$997,5,FALSE)</f>
        <v>84900</v>
      </c>
      <c r="G37" s="681">
        <f t="shared" si="5"/>
        <v>0.02</v>
      </c>
      <c r="H37" s="252">
        <f t="shared" si="3"/>
        <v>8490</v>
      </c>
      <c r="I37" s="914"/>
    </row>
    <row r="38" spans="1:9" s="324" customFormat="1" ht="25.5" x14ac:dyDescent="0.2">
      <c r="A38" s="939"/>
      <c r="B38" s="244" t="s">
        <v>1746</v>
      </c>
      <c r="C38" s="62" t="s">
        <v>2176</v>
      </c>
      <c r="D38" s="19" t="s">
        <v>411</v>
      </c>
      <c r="E38" s="194">
        <v>4</v>
      </c>
      <c r="F38" s="320">
        <f>VLOOKUP(B38,'BASE DE DATOS'!$A$5:$E$997,5,FALSE)</f>
        <v>313200</v>
      </c>
      <c r="G38" s="681">
        <f>1/100</f>
        <v>0.01</v>
      </c>
      <c r="H38" s="252">
        <f t="shared" si="3"/>
        <v>12528</v>
      </c>
      <c r="I38" s="914"/>
    </row>
    <row r="39" spans="1:9" s="324" customFormat="1" ht="12.75" x14ac:dyDescent="0.2">
      <c r="A39" s="508" t="s">
        <v>2555</v>
      </c>
      <c r="B39" s="244" t="s">
        <v>583</v>
      </c>
      <c r="C39" s="62" t="s">
        <v>584</v>
      </c>
      <c r="D39" s="19" t="s">
        <v>585</v>
      </c>
      <c r="E39" s="194">
        <v>1</v>
      </c>
      <c r="F39" s="320">
        <f>VLOOKUP(B39,'BASE DE DATOS'!$A$5:$E$997,5,FALSE)</f>
        <v>88679</v>
      </c>
      <c r="G39" s="681">
        <v>18</v>
      </c>
      <c r="H39" s="252">
        <f t="shared" si="3"/>
        <v>1596222</v>
      </c>
      <c r="I39" s="914"/>
    </row>
    <row r="40" spans="1:9" s="324" customFormat="1" ht="26.25" thickBot="1" x14ac:dyDescent="0.25">
      <c r="A40" s="509" t="s">
        <v>293</v>
      </c>
      <c r="B40" s="531" t="s">
        <v>649</v>
      </c>
      <c r="C40" s="75" t="s">
        <v>2165</v>
      </c>
      <c r="D40" s="49" t="s">
        <v>168</v>
      </c>
      <c r="E40" s="195">
        <v>1</v>
      </c>
      <c r="F40" s="321">
        <f>VLOOKUP(B40,'BASE DE DATOS'!$A$5:$E$997,5,FALSE)</f>
        <v>378333.33333333331</v>
      </c>
      <c r="G40" s="682">
        <f>1/15</f>
        <v>6.6666666666666666E-2</v>
      </c>
      <c r="H40" s="252">
        <f t="shared" si="3"/>
        <v>25222.222222222219</v>
      </c>
      <c r="I40" s="914"/>
    </row>
    <row r="41" spans="1:9" s="41" customFormat="1" ht="45" x14ac:dyDescent="0.2">
      <c r="A41" s="68" t="s">
        <v>1096</v>
      </c>
      <c r="B41" s="541"/>
      <c r="C41" s="332" t="s">
        <v>2191</v>
      </c>
      <c r="D41" s="333" t="s">
        <v>525</v>
      </c>
      <c r="E41" s="426"/>
      <c r="F41" s="328">
        <f>ROUND(SUM(H41:H45),0)</f>
        <v>1219867</v>
      </c>
      <c r="G41" s="683"/>
      <c r="H41" s="334"/>
      <c r="I41" s="914"/>
    </row>
    <row r="42" spans="1:9" s="324" customFormat="1" ht="12.75" x14ac:dyDescent="0.2">
      <c r="A42" s="502" t="s">
        <v>382</v>
      </c>
      <c r="B42" s="244" t="s">
        <v>1422</v>
      </c>
      <c r="C42" s="62" t="s">
        <v>290</v>
      </c>
      <c r="D42" s="19" t="s">
        <v>617</v>
      </c>
      <c r="E42" s="194">
        <v>0.2</v>
      </c>
      <c r="F42" s="320">
        <f>VLOOKUP(B42,'BASE DE DATOS'!$A$5:$E$997,5,FALSE)</f>
        <v>32900</v>
      </c>
      <c r="G42" s="681">
        <v>1.03</v>
      </c>
      <c r="H42" s="252">
        <f t="shared" si="3"/>
        <v>6777.4000000000005</v>
      </c>
      <c r="I42" s="914"/>
    </row>
    <row r="43" spans="1:9" s="324" customFormat="1" ht="12.75" x14ac:dyDescent="0.2">
      <c r="A43" s="508" t="s">
        <v>2555</v>
      </c>
      <c r="B43" s="244" t="s">
        <v>618</v>
      </c>
      <c r="C43" s="62" t="s">
        <v>619</v>
      </c>
      <c r="D43" s="19" t="s">
        <v>585</v>
      </c>
      <c r="E43" s="194">
        <v>1</v>
      </c>
      <c r="F43" s="320">
        <f>VLOOKUP(B43,'BASE DE DATOS'!$A$5:$E$997,5,FALSE)</f>
        <v>780376</v>
      </c>
      <c r="G43" s="681">
        <v>1.33</v>
      </c>
      <c r="H43" s="252">
        <f t="shared" si="3"/>
        <v>1037900.0800000001</v>
      </c>
      <c r="I43" s="914"/>
    </row>
    <row r="44" spans="1:9" s="324" customFormat="1" ht="12.75" x14ac:dyDescent="0.2">
      <c r="A44" s="937" t="s">
        <v>293</v>
      </c>
      <c r="B44" s="244" t="s">
        <v>333</v>
      </c>
      <c r="C44" s="62" t="s">
        <v>334</v>
      </c>
      <c r="D44" s="19" t="s">
        <v>2192</v>
      </c>
      <c r="E44" s="194">
        <v>1</v>
      </c>
      <c r="F44" s="320">
        <f>VLOOKUP(B44,'BASE DE DATOS'!$A$5:$E$997,5,FALSE)</f>
        <v>35700</v>
      </c>
      <c r="G44" s="681">
        <v>2</v>
      </c>
      <c r="H44" s="252">
        <f t="shared" si="3"/>
        <v>71400</v>
      </c>
      <c r="I44" s="914"/>
    </row>
    <row r="45" spans="1:9" s="324" customFormat="1" ht="13.5" thickBot="1" x14ac:dyDescent="0.25">
      <c r="A45" s="938"/>
      <c r="B45" s="531" t="s">
        <v>269</v>
      </c>
      <c r="C45" s="75" t="s">
        <v>284</v>
      </c>
      <c r="D45" s="49" t="s">
        <v>586</v>
      </c>
      <c r="E45" s="195">
        <v>0.1</v>
      </c>
      <c r="F45" s="321">
        <f>H43</f>
        <v>1037900.0800000001</v>
      </c>
      <c r="G45" s="682">
        <v>0</v>
      </c>
      <c r="H45" s="255">
        <f t="shared" si="3"/>
        <v>103790.00800000002</v>
      </c>
      <c r="I45" s="914"/>
    </row>
    <row r="46" spans="1:9" s="41" customFormat="1" x14ac:dyDescent="0.2">
      <c r="A46" s="67" t="s">
        <v>1097</v>
      </c>
      <c r="B46" s="541"/>
      <c r="C46" s="332" t="s">
        <v>2180</v>
      </c>
      <c r="D46" s="333" t="s">
        <v>462</v>
      </c>
      <c r="E46" s="679"/>
      <c r="F46" s="328">
        <f>ROUND(SUM(H46:H50),0)</f>
        <v>3328930</v>
      </c>
      <c r="G46" s="683"/>
      <c r="H46" s="340"/>
      <c r="I46" s="914"/>
    </row>
    <row r="47" spans="1:9" s="324" customFormat="1" ht="12.75" x14ac:dyDescent="0.2">
      <c r="A47" s="508" t="s">
        <v>2555</v>
      </c>
      <c r="B47" s="244" t="s">
        <v>596</v>
      </c>
      <c r="C47" s="62" t="s">
        <v>597</v>
      </c>
      <c r="D47" s="19" t="s">
        <v>585</v>
      </c>
      <c r="E47" s="198">
        <v>1</v>
      </c>
      <c r="F47" s="320">
        <f>VLOOKUP(B47,'BASE DE DATOS'!$A$5:$E$997,5,FALSE)</f>
        <v>354716</v>
      </c>
      <c r="G47" s="681">
        <f>1/1.2</f>
        <v>0.83333333333333337</v>
      </c>
      <c r="H47" s="252">
        <f t="shared" si="3"/>
        <v>295596.66666666669</v>
      </c>
      <c r="I47" s="914"/>
    </row>
    <row r="48" spans="1:9" s="324" customFormat="1" ht="12.75" x14ac:dyDescent="0.2">
      <c r="A48" s="937" t="s">
        <v>293</v>
      </c>
      <c r="B48" s="244" t="s">
        <v>615</v>
      </c>
      <c r="C48" s="62" t="s">
        <v>3588</v>
      </c>
      <c r="D48" s="19" t="s">
        <v>614</v>
      </c>
      <c r="E48" s="194">
        <v>1</v>
      </c>
      <c r="F48" s="320">
        <f>VLOOKUP(B48,'BASE DE DATOS'!$A$5:$E$997,5,FALSE)</f>
        <v>238000</v>
      </c>
      <c r="G48" s="681">
        <f>1/0.15</f>
        <v>6.666666666666667</v>
      </c>
      <c r="H48" s="252">
        <f>IF(G48&gt;0,(G48*F48*E48),(F48*E48))</f>
        <v>1586666.6666666667</v>
      </c>
      <c r="I48" s="914"/>
    </row>
    <row r="49" spans="1:9" s="324" customFormat="1" ht="14.25" x14ac:dyDescent="0.2">
      <c r="A49" s="937"/>
      <c r="B49" s="244" t="s">
        <v>630</v>
      </c>
      <c r="C49" s="62" t="s">
        <v>2177</v>
      </c>
      <c r="D49" s="19" t="s">
        <v>614</v>
      </c>
      <c r="E49" s="194">
        <v>1</v>
      </c>
      <c r="F49" s="320">
        <f>VLOOKUP(B49,'BASE DE DATOS'!$A$5:$E$997,5,FALSE)</f>
        <v>190000</v>
      </c>
      <c r="G49" s="681">
        <f>1/0.15</f>
        <v>6.666666666666667</v>
      </c>
      <c r="H49" s="252">
        <f t="shared" si="3"/>
        <v>1266666.6666666667</v>
      </c>
      <c r="I49" s="914"/>
    </row>
    <row r="50" spans="1:9" s="324" customFormat="1" thickBot="1" x14ac:dyDescent="0.25">
      <c r="A50" s="938"/>
      <c r="B50" s="244" t="s">
        <v>1905</v>
      </c>
      <c r="C50" s="62" t="s">
        <v>2178</v>
      </c>
      <c r="D50" s="19" t="s">
        <v>2192</v>
      </c>
      <c r="E50" s="194">
        <v>1</v>
      </c>
      <c r="F50" s="320">
        <f>VLOOKUP(B50,'BASE DE DATOS'!$A$5:$E$997,5,FALSE)</f>
        <v>27000</v>
      </c>
      <c r="G50" s="681">
        <f>1/0.15</f>
        <v>6.666666666666667</v>
      </c>
      <c r="H50" s="252">
        <f t="shared" si="3"/>
        <v>180000</v>
      </c>
      <c r="I50" s="914"/>
    </row>
    <row r="51" spans="1:9" s="339" customFormat="1" x14ac:dyDescent="0.2">
      <c r="A51" s="48" t="s">
        <v>1098</v>
      </c>
      <c r="B51" s="542"/>
      <c r="C51" s="335" t="s">
        <v>2179</v>
      </c>
      <c r="D51" s="336" t="s">
        <v>462</v>
      </c>
      <c r="E51" s="679"/>
      <c r="F51" s="328">
        <f>ROUND(SUM(H51:H54),0)</f>
        <v>124283</v>
      </c>
      <c r="G51" s="685"/>
      <c r="H51" s="338"/>
      <c r="I51" s="917"/>
    </row>
    <row r="52" spans="1:9" s="324" customFormat="1" ht="12.75" x14ac:dyDescent="0.2">
      <c r="A52" s="508" t="s">
        <v>2555</v>
      </c>
      <c r="B52" s="244" t="s">
        <v>583</v>
      </c>
      <c r="C52" s="62" t="s">
        <v>584</v>
      </c>
      <c r="D52" s="19" t="s">
        <v>585</v>
      </c>
      <c r="E52" s="194">
        <v>2</v>
      </c>
      <c r="F52" s="320">
        <f>VLOOKUP(B52,'BASE DE DATOS'!$A$5:$E$997,5,FALSE)</f>
        <v>88679</v>
      </c>
      <c r="G52" s="681">
        <f>1/2.88</f>
        <v>0.34722222222222221</v>
      </c>
      <c r="H52" s="252">
        <f t="shared" si="3"/>
        <v>61582.638888888883</v>
      </c>
      <c r="I52" s="914"/>
    </row>
    <row r="53" spans="1:9" s="324" customFormat="1" ht="12.75" x14ac:dyDescent="0.2">
      <c r="A53" s="937" t="s">
        <v>293</v>
      </c>
      <c r="B53" s="244" t="s">
        <v>333</v>
      </c>
      <c r="C53" s="474" t="s">
        <v>334</v>
      </c>
      <c r="D53" s="215" t="s">
        <v>585</v>
      </c>
      <c r="E53" s="194">
        <v>1</v>
      </c>
      <c r="F53" s="320">
        <f>VLOOKUP(B53,'BASE DE DATOS'!$A$5:$E$997,5,FALSE)</f>
        <v>35700</v>
      </c>
      <c r="G53" s="684">
        <v>1</v>
      </c>
      <c r="H53" s="252">
        <f>IF(G53&gt;0,(G53*F53*E53),(F53*E53))</f>
        <v>35700</v>
      </c>
      <c r="I53" s="914"/>
    </row>
    <row r="54" spans="1:9" s="324" customFormat="1" thickBot="1" x14ac:dyDescent="0.25">
      <c r="A54" s="938"/>
      <c r="B54" s="543" t="s">
        <v>1905</v>
      </c>
      <c r="C54" s="75" t="s">
        <v>2178</v>
      </c>
      <c r="D54" s="49" t="s">
        <v>2192</v>
      </c>
      <c r="E54" s="195">
        <v>1</v>
      </c>
      <c r="F54" s="355">
        <f>VLOOKUP(B54,'BASE DE DATOS'!$A$5:$E$997,5,FALSE)</f>
        <v>27000</v>
      </c>
      <c r="G54" s="682">
        <v>1</v>
      </c>
      <c r="H54" s="255">
        <f t="shared" si="3"/>
        <v>27000</v>
      </c>
      <c r="I54" s="914"/>
    </row>
    <row r="55" spans="1:9" s="41" customFormat="1" ht="30" x14ac:dyDescent="0.2">
      <c r="A55" s="67" t="s">
        <v>1099</v>
      </c>
      <c r="B55" s="544"/>
      <c r="C55" s="332" t="s">
        <v>54</v>
      </c>
      <c r="D55" s="333" t="s">
        <v>405</v>
      </c>
      <c r="E55" s="414"/>
      <c r="F55" s="357">
        <f>ROUND(SUM(H55:H59),0)</f>
        <v>6712</v>
      </c>
      <c r="G55" s="683"/>
      <c r="H55" s="340"/>
      <c r="I55" s="914"/>
    </row>
    <row r="56" spans="1:9" s="324" customFormat="1" ht="12.75" x14ac:dyDescent="0.2">
      <c r="A56" s="936" t="s">
        <v>382</v>
      </c>
      <c r="B56" s="545" t="s">
        <v>1279</v>
      </c>
      <c r="C56" s="76" t="s">
        <v>349</v>
      </c>
      <c r="D56" s="59" t="s">
        <v>617</v>
      </c>
      <c r="E56" s="194">
        <v>1</v>
      </c>
      <c r="F56" s="320">
        <f>VLOOKUP(B56,'BASE DE DATOS'!$A$5:$E$997,5,FALSE)</f>
        <v>19</v>
      </c>
      <c r="G56" s="681">
        <f>1</f>
        <v>1</v>
      </c>
      <c r="H56" s="252">
        <f t="shared" si="3"/>
        <v>19</v>
      </c>
      <c r="I56" s="914"/>
    </row>
    <row r="57" spans="1:9" s="324" customFormat="1" ht="12.75" x14ac:dyDescent="0.2">
      <c r="A57" s="936"/>
      <c r="B57" s="545" t="s">
        <v>1403</v>
      </c>
      <c r="C57" s="76" t="s">
        <v>53</v>
      </c>
      <c r="D57" s="59" t="s">
        <v>642</v>
      </c>
      <c r="E57" s="194">
        <v>1</v>
      </c>
      <c r="F57" s="320">
        <f>VLOOKUP(B57,'BASE DE DATOS'!$A$5:$E$997,5,FALSE)</f>
        <v>16241</v>
      </c>
      <c r="G57" s="681">
        <f>1/70</f>
        <v>1.4285714285714285E-2</v>
      </c>
      <c r="H57" s="252">
        <f t="shared" si="3"/>
        <v>232.01428571428571</v>
      </c>
      <c r="I57" s="914"/>
    </row>
    <row r="58" spans="1:9" s="324" customFormat="1" ht="12.75" x14ac:dyDescent="0.2">
      <c r="A58" s="508" t="s">
        <v>2555</v>
      </c>
      <c r="B58" s="545" t="s">
        <v>331</v>
      </c>
      <c r="C58" s="76" t="s">
        <v>332</v>
      </c>
      <c r="D58" s="59" t="s">
        <v>585</v>
      </c>
      <c r="E58" s="194">
        <v>1</v>
      </c>
      <c r="F58" s="320">
        <f>VLOOKUP(B58,'BASE DE DATOS'!$A$5:$E$997,5,FALSE)</f>
        <v>124151</v>
      </c>
      <c r="G58" s="681">
        <f>1/45</f>
        <v>2.2222222222222223E-2</v>
      </c>
      <c r="H58" s="252">
        <f t="shared" si="3"/>
        <v>2758.911111111111</v>
      </c>
      <c r="I58" s="914"/>
    </row>
    <row r="59" spans="1:9" s="324" customFormat="1" ht="13.5" thickBot="1" x14ac:dyDescent="0.25">
      <c r="A59" s="504" t="s">
        <v>293</v>
      </c>
      <c r="B59" s="543" t="s">
        <v>647</v>
      </c>
      <c r="C59" s="169" t="s">
        <v>52</v>
      </c>
      <c r="D59" s="112" t="s">
        <v>585</v>
      </c>
      <c r="E59" s="201">
        <v>1</v>
      </c>
      <c r="F59" s="321">
        <f>VLOOKUP(B59,'BASE DE DATOS'!$A$5:$E$997,5,FALSE)</f>
        <v>166600</v>
      </c>
      <c r="G59" s="686">
        <f>1/45</f>
        <v>2.2222222222222223E-2</v>
      </c>
      <c r="H59" s="255">
        <f t="shared" si="3"/>
        <v>3702.2222222222222</v>
      </c>
      <c r="I59" s="914"/>
    </row>
    <row r="60" spans="1:9" s="341" customFormat="1" ht="30" x14ac:dyDescent="0.2">
      <c r="A60" s="67" t="s">
        <v>1100</v>
      </c>
      <c r="B60" s="544"/>
      <c r="C60" s="332" t="s">
        <v>55</v>
      </c>
      <c r="D60" s="333" t="s">
        <v>405</v>
      </c>
      <c r="E60" s="426"/>
      <c r="F60" s="328">
        <f>ROUND(SUM(H60:H64),0)</f>
        <v>4683</v>
      </c>
      <c r="G60" s="683"/>
      <c r="H60" s="340"/>
      <c r="I60" s="915"/>
    </row>
    <row r="61" spans="1:9" s="324" customFormat="1" ht="12.75" x14ac:dyDescent="0.2">
      <c r="A61" s="936" t="s">
        <v>382</v>
      </c>
      <c r="B61" s="545" t="s">
        <v>1279</v>
      </c>
      <c r="C61" s="76" t="s">
        <v>349</v>
      </c>
      <c r="D61" s="59" t="s">
        <v>617</v>
      </c>
      <c r="E61" s="194">
        <v>1</v>
      </c>
      <c r="F61" s="320">
        <f>VLOOKUP(B61,'BASE DE DATOS'!$A$5:$E$997,5,FALSE)</f>
        <v>19</v>
      </c>
      <c r="G61" s="681">
        <f>1</f>
        <v>1</v>
      </c>
      <c r="H61" s="252">
        <f t="shared" si="3"/>
        <v>19</v>
      </c>
      <c r="I61" s="914"/>
    </row>
    <row r="62" spans="1:9" s="324" customFormat="1" ht="12.75" x14ac:dyDescent="0.2">
      <c r="A62" s="936"/>
      <c r="B62" s="545" t="s">
        <v>1403</v>
      </c>
      <c r="C62" s="76" t="s">
        <v>53</v>
      </c>
      <c r="D62" s="59" t="s">
        <v>642</v>
      </c>
      <c r="E62" s="194">
        <v>1</v>
      </c>
      <c r="F62" s="320">
        <f>VLOOKUP(B62,'BASE DE DATOS'!$A$5:$E$997,5,FALSE)</f>
        <v>16241</v>
      </c>
      <c r="G62" s="681">
        <f>1/70</f>
        <v>1.4285714285714285E-2</v>
      </c>
      <c r="H62" s="252">
        <f t="shared" si="3"/>
        <v>232.01428571428571</v>
      </c>
      <c r="I62" s="914"/>
    </row>
    <row r="63" spans="1:9" s="324" customFormat="1" ht="12.75" x14ac:dyDescent="0.2">
      <c r="A63" s="508" t="s">
        <v>2555</v>
      </c>
      <c r="B63" s="545" t="s">
        <v>331</v>
      </c>
      <c r="C63" s="76" t="s">
        <v>332</v>
      </c>
      <c r="D63" s="59" t="s">
        <v>585</v>
      </c>
      <c r="E63" s="194">
        <v>1</v>
      </c>
      <c r="F63" s="320">
        <f>VLOOKUP(B63,'BASE DE DATOS'!$A$5:$E$997,5,FALSE)</f>
        <v>124151</v>
      </c>
      <c r="G63" s="681">
        <f>1/75</f>
        <v>1.3333333333333334E-2</v>
      </c>
      <c r="H63" s="252">
        <f t="shared" si="3"/>
        <v>1655.3466666666668</v>
      </c>
      <c r="I63" s="914"/>
    </row>
    <row r="64" spans="1:9" s="27" customFormat="1" ht="13.5" thickBot="1" x14ac:dyDescent="0.25">
      <c r="A64" s="504" t="s">
        <v>293</v>
      </c>
      <c r="B64" s="546" t="s">
        <v>647</v>
      </c>
      <c r="C64" s="170" t="s">
        <v>52</v>
      </c>
      <c r="D64" s="342" t="s">
        <v>585</v>
      </c>
      <c r="E64" s="201">
        <v>1</v>
      </c>
      <c r="F64" s="321">
        <f>VLOOKUP(B64,'BASE DE DATOS'!$A$5:$E$997,5,FALSE)</f>
        <v>166600</v>
      </c>
      <c r="G64" s="686">
        <f>1/60</f>
        <v>1.6666666666666666E-2</v>
      </c>
      <c r="H64" s="255">
        <f t="shared" si="3"/>
        <v>2776.6666666666665</v>
      </c>
      <c r="I64" s="915"/>
    </row>
    <row r="65" spans="1:9" s="41" customFormat="1" x14ac:dyDescent="0.2">
      <c r="A65" s="67" t="s">
        <v>1101</v>
      </c>
      <c r="B65" s="541"/>
      <c r="C65" s="332" t="s">
        <v>441</v>
      </c>
      <c r="D65" s="333" t="s">
        <v>411</v>
      </c>
      <c r="E65" s="426"/>
      <c r="F65" s="328">
        <f>ROUND(SUM(H65:H68),0)</f>
        <v>161396</v>
      </c>
      <c r="G65" s="683"/>
      <c r="H65" s="340"/>
      <c r="I65" s="914"/>
    </row>
    <row r="66" spans="1:9" s="324" customFormat="1" ht="12.75" x14ac:dyDescent="0.2">
      <c r="A66" s="947" t="s">
        <v>2555</v>
      </c>
      <c r="B66" s="244" t="s">
        <v>331</v>
      </c>
      <c r="C66" s="62" t="s">
        <v>332</v>
      </c>
      <c r="D66" s="19" t="s">
        <v>585</v>
      </c>
      <c r="E66" s="194">
        <v>1</v>
      </c>
      <c r="F66" s="320">
        <f>VLOOKUP(B66,'BASE DE DATOS'!$A$5:$E$997,5,FALSE)</f>
        <v>124151</v>
      </c>
      <c r="G66" s="681">
        <f>1</f>
        <v>1</v>
      </c>
      <c r="H66" s="252">
        <f t="shared" si="3"/>
        <v>124151</v>
      </c>
      <c r="I66" s="914"/>
    </row>
    <row r="67" spans="1:9" s="324" customFormat="1" ht="12.75" x14ac:dyDescent="0.2">
      <c r="A67" s="947"/>
      <c r="B67" s="244" t="s">
        <v>266</v>
      </c>
      <c r="C67" s="62" t="s">
        <v>283</v>
      </c>
      <c r="D67" s="19" t="s">
        <v>586</v>
      </c>
      <c r="E67" s="194">
        <v>0.1</v>
      </c>
      <c r="F67" s="320">
        <f>H66</f>
        <v>124151</v>
      </c>
      <c r="G67" s="681">
        <v>0</v>
      </c>
      <c r="H67" s="252">
        <f t="shared" si="3"/>
        <v>12415.1</v>
      </c>
      <c r="I67" s="914"/>
    </row>
    <row r="68" spans="1:9" s="324" customFormat="1" ht="13.5" thickBot="1" x14ac:dyDescent="0.25">
      <c r="A68" s="504" t="s">
        <v>293</v>
      </c>
      <c r="B68" s="543" t="s">
        <v>269</v>
      </c>
      <c r="C68" s="169" t="s">
        <v>284</v>
      </c>
      <c r="D68" s="112" t="s">
        <v>586</v>
      </c>
      <c r="E68" s="201">
        <v>0.2</v>
      </c>
      <c r="F68" s="321">
        <f>H66</f>
        <v>124151</v>
      </c>
      <c r="G68" s="686">
        <v>0</v>
      </c>
      <c r="H68" s="255">
        <f t="shared" si="3"/>
        <v>24830.2</v>
      </c>
      <c r="I68" s="914"/>
    </row>
    <row r="69" spans="1:9" s="41" customFormat="1" x14ac:dyDescent="0.2">
      <c r="A69" s="67" t="s">
        <v>1102</v>
      </c>
      <c r="B69" s="541"/>
      <c r="C69" s="332" t="s">
        <v>442</v>
      </c>
      <c r="D69" s="333" t="s">
        <v>405</v>
      </c>
      <c r="E69" s="426"/>
      <c r="F69" s="328">
        <f>ROUND(SUM(H69:H72),0)</f>
        <v>192138</v>
      </c>
      <c r="G69" s="683"/>
      <c r="H69" s="340"/>
      <c r="I69" s="914"/>
    </row>
    <row r="70" spans="1:9" s="324" customFormat="1" ht="12.75" x14ac:dyDescent="0.2">
      <c r="A70" s="947" t="s">
        <v>2555</v>
      </c>
      <c r="B70" s="244" t="s">
        <v>583</v>
      </c>
      <c r="C70" s="62" t="s">
        <v>584</v>
      </c>
      <c r="D70" s="19" t="s">
        <v>585</v>
      </c>
      <c r="E70" s="194">
        <v>1</v>
      </c>
      <c r="F70" s="320">
        <f>VLOOKUP(B70,'BASE DE DATOS'!$A$5:$E$997,5,FALSE)</f>
        <v>88679</v>
      </c>
      <c r="G70" s="681">
        <f>1/0.6</f>
        <v>1.6666666666666667</v>
      </c>
      <c r="H70" s="252">
        <f t="shared" si="3"/>
        <v>147798.33333333334</v>
      </c>
      <c r="I70" s="914"/>
    </row>
    <row r="71" spans="1:9" s="324" customFormat="1" ht="12.75" x14ac:dyDescent="0.2">
      <c r="A71" s="947"/>
      <c r="B71" s="244" t="s">
        <v>266</v>
      </c>
      <c r="C71" s="62" t="s">
        <v>283</v>
      </c>
      <c r="D71" s="19" t="s">
        <v>586</v>
      </c>
      <c r="E71" s="194">
        <v>0.1</v>
      </c>
      <c r="F71" s="320">
        <f>H70</f>
        <v>147798.33333333334</v>
      </c>
      <c r="G71" s="681">
        <v>0</v>
      </c>
      <c r="H71" s="252">
        <f t="shared" si="3"/>
        <v>14779.833333333336</v>
      </c>
      <c r="I71" s="914"/>
    </row>
    <row r="72" spans="1:9" s="324" customFormat="1" ht="13.5" thickBot="1" x14ac:dyDescent="0.25">
      <c r="A72" s="504" t="s">
        <v>293</v>
      </c>
      <c r="B72" s="543" t="s">
        <v>269</v>
      </c>
      <c r="C72" s="169" t="s">
        <v>284</v>
      </c>
      <c r="D72" s="112" t="s">
        <v>586</v>
      </c>
      <c r="E72" s="201">
        <v>0.2</v>
      </c>
      <c r="F72" s="321">
        <f>H70</f>
        <v>147798.33333333334</v>
      </c>
      <c r="G72" s="686">
        <v>0</v>
      </c>
      <c r="H72" s="255">
        <f t="shared" si="3"/>
        <v>29559.666666666672</v>
      </c>
      <c r="I72" s="914"/>
    </row>
    <row r="73" spans="1:9" s="41" customFormat="1" x14ac:dyDescent="0.2">
      <c r="A73" s="67" t="s">
        <v>1103</v>
      </c>
      <c r="B73" s="541"/>
      <c r="C73" s="332" t="s">
        <v>3537</v>
      </c>
      <c r="D73" s="333" t="s">
        <v>405</v>
      </c>
      <c r="E73" s="426"/>
      <c r="F73" s="328">
        <f>ROUND(SUM(H73:H77),0)</f>
        <v>6090</v>
      </c>
      <c r="G73" s="683"/>
      <c r="H73" s="343"/>
      <c r="I73" s="914"/>
    </row>
    <row r="74" spans="1:9" s="324" customFormat="1" ht="12.75" x14ac:dyDescent="0.2">
      <c r="A74" s="947" t="s">
        <v>2555</v>
      </c>
      <c r="B74" s="244" t="s">
        <v>583</v>
      </c>
      <c r="C74" s="62" t="s">
        <v>584</v>
      </c>
      <c r="D74" s="19" t="s">
        <v>585</v>
      </c>
      <c r="E74" s="194">
        <v>2</v>
      </c>
      <c r="F74" s="320">
        <f>VLOOKUP(B74,'BASE DE DATOS'!$A$5:$E$997,5,FALSE)</f>
        <v>88679</v>
      </c>
      <c r="G74" s="681">
        <f>1/160</f>
        <v>6.2500000000000003E-3</v>
      </c>
      <c r="H74" s="252">
        <f t="shared" si="3"/>
        <v>1108.4875</v>
      </c>
      <c r="I74" s="914"/>
    </row>
    <row r="75" spans="1:9" s="324" customFormat="1" ht="12.75" x14ac:dyDescent="0.2">
      <c r="A75" s="947"/>
      <c r="B75" s="244" t="s">
        <v>266</v>
      </c>
      <c r="C75" s="62" t="s">
        <v>283</v>
      </c>
      <c r="D75" s="19" t="s">
        <v>586</v>
      </c>
      <c r="E75" s="194">
        <v>0.1</v>
      </c>
      <c r="F75" s="320">
        <f>H74</f>
        <v>1108.4875</v>
      </c>
      <c r="G75" s="681">
        <v>0</v>
      </c>
      <c r="H75" s="252">
        <f t="shared" si="3"/>
        <v>110.84875</v>
      </c>
      <c r="I75" s="914"/>
    </row>
    <row r="76" spans="1:9" s="324" customFormat="1" ht="27" x14ac:dyDescent="0.2">
      <c r="A76" s="937" t="s">
        <v>293</v>
      </c>
      <c r="B76" s="244" t="s">
        <v>613</v>
      </c>
      <c r="C76" s="62" t="s">
        <v>2181</v>
      </c>
      <c r="D76" s="19" t="s">
        <v>614</v>
      </c>
      <c r="E76" s="194">
        <v>1</v>
      </c>
      <c r="F76" s="320">
        <f>VLOOKUP(B76,'BASE DE DATOS'!$A$5:$E$997,5,FALSE)</f>
        <v>95200</v>
      </c>
      <c r="G76" s="681">
        <f>1/20</f>
        <v>0.05</v>
      </c>
      <c r="H76" s="252">
        <f t="shared" si="3"/>
        <v>4760</v>
      </c>
      <c r="I76" s="914"/>
    </row>
    <row r="77" spans="1:9" s="324" customFormat="1" ht="13.5" thickBot="1" x14ac:dyDescent="0.25">
      <c r="A77" s="938"/>
      <c r="B77" s="543" t="s">
        <v>269</v>
      </c>
      <c r="C77" s="169" t="s">
        <v>284</v>
      </c>
      <c r="D77" s="112" t="s">
        <v>586</v>
      </c>
      <c r="E77" s="201">
        <v>0.1</v>
      </c>
      <c r="F77" s="321">
        <f>H74</f>
        <v>1108.4875</v>
      </c>
      <c r="G77" s="686">
        <v>0</v>
      </c>
      <c r="H77" s="255">
        <f t="shared" si="3"/>
        <v>110.84875</v>
      </c>
      <c r="I77" s="914"/>
    </row>
    <row r="78" spans="1:9" s="41" customFormat="1" x14ac:dyDescent="0.2">
      <c r="A78" s="67" t="s">
        <v>1104</v>
      </c>
      <c r="B78" s="541"/>
      <c r="C78" s="332" t="s">
        <v>450</v>
      </c>
      <c r="D78" s="333" t="s">
        <v>411</v>
      </c>
      <c r="E78" s="426"/>
      <c r="F78" s="328">
        <f>ROUND(SUM(H78:H80),0)</f>
        <v>142774</v>
      </c>
      <c r="G78" s="683"/>
      <c r="H78" s="340"/>
      <c r="I78" s="914"/>
    </row>
    <row r="79" spans="1:9" s="324" customFormat="1" ht="12.75" x14ac:dyDescent="0.2">
      <c r="A79" s="508" t="s">
        <v>2555</v>
      </c>
      <c r="B79" s="244" t="s">
        <v>331</v>
      </c>
      <c r="C79" s="62" t="s">
        <v>2189</v>
      </c>
      <c r="D79" s="19" t="s">
        <v>585</v>
      </c>
      <c r="E79" s="194">
        <v>1</v>
      </c>
      <c r="F79" s="320">
        <f>VLOOKUP(B79,'BASE DE DATOS'!$A$5:$E$997,5,FALSE)</f>
        <v>124151</v>
      </c>
      <c r="G79" s="681">
        <f>1/1</f>
        <v>1</v>
      </c>
      <c r="H79" s="252">
        <f t="shared" si="3"/>
        <v>124151</v>
      </c>
      <c r="I79" s="914"/>
    </row>
    <row r="80" spans="1:9" s="324" customFormat="1" ht="13.5" thickBot="1" x14ac:dyDescent="0.25">
      <c r="A80" s="504" t="s">
        <v>293</v>
      </c>
      <c r="B80" s="543" t="s">
        <v>269</v>
      </c>
      <c r="C80" s="169" t="s">
        <v>284</v>
      </c>
      <c r="D80" s="112" t="s">
        <v>586</v>
      </c>
      <c r="E80" s="201">
        <v>0.15</v>
      </c>
      <c r="F80" s="321">
        <f>H79</f>
        <v>124151</v>
      </c>
      <c r="G80" s="686">
        <v>0</v>
      </c>
      <c r="H80" s="255">
        <f t="shared" si="3"/>
        <v>18622.649999999998</v>
      </c>
      <c r="I80" s="914"/>
    </row>
    <row r="81" spans="1:9" s="41" customFormat="1" ht="30" x14ac:dyDescent="0.2">
      <c r="A81" s="67" t="s">
        <v>1105</v>
      </c>
      <c r="B81" s="525"/>
      <c r="C81" s="363" t="s">
        <v>3639</v>
      </c>
      <c r="D81" s="333" t="s">
        <v>3261</v>
      </c>
      <c r="E81" s="680"/>
      <c r="F81" s="328">
        <f>ROUND(SUM(H81:H86),0)</f>
        <v>15543</v>
      </c>
      <c r="G81" s="687"/>
      <c r="H81" s="364"/>
      <c r="I81" s="914"/>
    </row>
    <row r="82" spans="1:9" s="324" customFormat="1" ht="12.75" x14ac:dyDescent="0.2">
      <c r="A82" s="947" t="s">
        <v>2555</v>
      </c>
      <c r="B82" s="244" t="s">
        <v>644</v>
      </c>
      <c r="C82" s="62" t="s">
        <v>608</v>
      </c>
      <c r="D82" s="19" t="s">
        <v>585</v>
      </c>
      <c r="E82" s="194">
        <v>1</v>
      </c>
      <c r="F82" s="320">
        <f>VLOOKUP(B82,'BASE DE DATOS'!$A$5:$E$997,5,FALSE)</f>
        <v>248302</v>
      </c>
      <c r="G82" s="681">
        <f>1/60</f>
        <v>1.6666666666666666E-2</v>
      </c>
      <c r="H82" s="252">
        <f t="shared" si="3"/>
        <v>4138.3666666666668</v>
      </c>
      <c r="I82" s="914"/>
    </row>
    <row r="83" spans="1:9" s="324" customFormat="1" ht="12.75" x14ac:dyDescent="0.2">
      <c r="A83" s="947"/>
      <c r="B83" s="244" t="s">
        <v>266</v>
      </c>
      <c r="C83" s="62" t="s">
        <v>283</v>
      </c>
      <c r="D83" s="19" t="s">
        <v>586</v>
      </c>
      <c r="E83" s="194">
        <v>0.02</v>
      </c>
      <c r="F83" s="320">
        <f>H82</f>
        <v>4138.3666666666668</v>
      </c>
      <c r="G83" s="681">
        <v>0</v>
      </c>
      <c r="H83" s="252">
        <f t="shared" ref="H83:H86" si="6">IF(G83&gt;0,(G83*F83*E83),(F83*E83))</f>
        <v>82.76733333333334</v>
      </c>
      <c r="I83" s="914"/>
    </row>
    <row r="84" spans="1:9" s="324" customFormat="1" ht="12.75" x14ac:dyDescent="0.2">
      <c r="A84" s="937" t="s">
        <v>293</v>
      </c>
      <c r="B84" s="244" t="s">
        <v>1917</v>
      </c>
      <c r="C84" s="62" t="s">
        <v>3926</v>
      </c>
      <c r="D84" s="19" t="s">
        <v>614</v>
      </c>
      <c r="E84" s="194">
        <v>1</v>
      </c>
      <c r="F84" s="320">
        <f>VLOOKUP(B84,'BASE DE DATOS'!$A$5:$E$997,5,FALSE)</f>
        <v>261800</v>
      </c>
      <c r="G84" s="681">
        <f>1/32</f>
        <v>3.125E-2</v>
      </c>
      <c r="H84" s="252">
        <f t="shared" si="6"/>
        <v>8181.25</v>
      </c>
      <c r="I84" s="914"/>
    </row>
    <row r="85" spans="1:9" s="324" customFormat="1" ht="27" x14ac:dyDescent="0.2">
      <c r="A85" s="937"/>
      <c r="B85" s="244" t="s">
        <v>613</v>
      </c>
      <c r="C85" s="62" t="s">
        <v>2181</v>
      </c>
      <c r="D85" s="19" t="s">
        <v>614</v>
      </c>
      <c r="E85" s="194">
        <v>1</v>
      </c>
      <c r="F85" s="320">
        <f>VLOOKUP(B85,'BASE DE DATOS'!$A$5:$E$997,5,FALSE)</f>
        <v>95200</v>
      </c>
      <c r="G85" s="681">
        <f>1/32</f>
        <v>3.125E-2</v>
      </c>
      <c r="H85" s="252">
        <f t="shared" si="6"/>
        <v>2975</v>
      </c>
      <c r="I85" s="914"/>
    </row>
    <row r="86" spans="1:9" s="27" customFormat="1" ht="13.5" thickBot="1" x14ac:dyDescent="0.25">
      <c r="A86" s="938"/>
      <c r="B86" s="543" t="s">
        <v>269</v>
      </c>
      <c r="C86" s="169" t="s">
        <v>284</v>
      </c>
      <c r="D86" s="112" t="s">
        <v>586</v>
      </c>
      <c r="E86" s="201">
        <v>0.04</v>
      </c>
      <c r="F86" s="321">
        <f>H82</f>
        <v>4138.3666666666668</v>
      </c>
      <c r="G86" s="686">
        <v>0</v>
      </c>
      <c r="H86" s="255">
        <f t="shared" si="6"/>
        <v>165.53466666666668</v>
      </c>
      <c r="I86" s="915"/>
    </row>
    <row r="87" spans="1:9" s="41" customFormat="1" ht="17.25" x14ac:dyDescent="0.2">
      <c r="A87" s="67" t="s">
        <v>1106</v>
      </c>
      <c r="B87" s="525"/>
      <c r="C87" s="363" t="s">
        <v>126</v>
      </c>
      <c r="D87" s="333" t="s">
        <v>3261</v>
      </c>
      <c r="E87" s="680"/>
      <c r="F87" s="328">
        <f>ROUND(SUM(H87:H90),0)</f>
        <v>14780</v>
      </c>
      <c r="G87" s="687"/>
      <c r="H87" s="364"/>
      <c r="I87" s="914"/>
    </row>
    <row r="88" spans="1:9" s="324" customFormat="1" ht="12.75" x14ac:dyDescent="0.2">
      <c r="A88" s="947" t="s">
        <v>2555</v>
      </c>
      <c r="B88" s="244" t="s">
        <v>596</v>
      </c>
      <c r="C88" s="62" t="s">
        <v>597</v>
      </c>
      <c r="D88" s="19" t="s">
        <v>585</v>
      </c>
      <c r="E88" s="194">
        <v>1</v>
      </c>
      <c r="F88" s="320">
        <f>VLOOKUP(B88,'BASE DE DATOS'!$A$5:$E$997,5,FALSE)</f>
        <v>354716</v>
      </c>
      <c r="G88" s="681">
        <f>1/30</f>
        <v>3.3333333333333333E-2</v>
      </c>
      <c r="H88" s="252">
        <f t="shared" ref="H88:H121" si="7">IF(G88&gt;0,(G88*F88*E88),(F88*E88))</f>
        <v>11823.866666666667</v>
      </c>
      <c r="I88" s="914"/>
    </row>
    <row r="89" spans="1:9" s="324" customFormat="1" ht="12.75" x14ac:dyDescent="0.2">
      <c r="A89" s="947"/>
      <c r="B89" s="244" t="s">
        <v>266</v>
      </c>
      <c r="C89" s="62" t="s">
        <v>283</v>
      </c>
      <c r="D89" s="19" t="s">
        <v>586</v>
      </c>
      <c r="E89" s="194">
        <v>0.1</v>
      </c>
      <c r="F89" s="320">
        <f>+H88</f>
        <v>11823.866666666667</v>
      </c>
      <c r="G89" s="681">
        <v>0</v>
      </c>
      <c r="H89" s="252">
        <f t="shared" si="7"/>
        <v>1182.3866666666668</v>
      </c>
      <c r="I89" s="914"/>
    </row>
    <row r="90" spans="1:9" s="324" customFormat="1" ht="13.5" thickBot="1" x14ac:dyDescent="0.25">
      <c r="A90" s="504" t="s">
        <v>293</v>
      </c>
      <c r="B90" s="543" t="s">
        <v>269</v>
      </c>
      <c r="C90" s="169" t="s">
        <v>284</v>
      </c>
      <c r="D90" s="112" t="s">
        <v>586</v>
      </c>
      <c r="E90" s="201">
        <v>0.15</v>
      </c>
      <c r="F90" s="321">
        <f>+H88</f>
        <v>11823.866666666667</v>
      </c>
      <c r="G90" s="686">
        <v>0</v>
      </c>
      <c r="H90" s="255">
        <f t="shared" si="7"/>
        <v>1773.58</v>
      </c>
      <c r="I90" s="914"/>
    </row>
    <row r="91" spans="1:9" s="41" customFormat="1" ht="17.25" x14ac:dyDescent="0.2">
      <c r="A91" s="67" t="s">
        <v>1107</v>
      </c>
      <c r="B91" s="541"/>
      <c r="C91" s="332" t="s">
        <v>452</v>
      </c>
      <c r="D91" s="333" t="s">
        <v>3259</v>
      </c>
      <c r="E91" s="426"/>
      <c r="F91" s="328">
        <f>ROUND(SUM(H91:H94),0)</f>
        <v>43808</v>
      </c>
      <c r="G91" s="683"/>
      <c r="H91" s="340"/>
      <c r="I91" s="914"/>
    </row>
    <row r="92" spans="1:9" s="324" customFormat="1" ht="12.75" x14ac:dyDescent="0.2">
      <c r="A92" s="947" t="s">
        <v>2555</v>
      </c>
      <c r="B92" s="244" t="s">
        <v>607</v>
      </c>
      <c r="C92" s="62" t="s">
        <v>608</v>
      </c>
      <c r="D92" s="19" t="s">
        <v>585</v>
      </c>
      <c r="E92" s="194">
        <v>1</v>
      </c>
      <c r="F92" s="320">
        <f>VLOOKUP(B92,'BASE DE DATOS'!$A$5:$E$997,5,FALSE)</f>
        <v>336981</v>
      </c>
      <c r="G92" s="681">
        <f>1/10</f>
        <v>0.1</v>
      </c>
      <c r="H92" s="252">
        <f t="shared" si="7"/>
        <v>33698.1</v>
      </c>
      <c r="I92" s="914"/>
    </row>
    <row r="93" spans="1:9" s="324" customFormat="1" ht="12.75" x14ac:dyDescent="0.2">
      <c r="A93" s="947"/>
      <c r="B93" s="244" t="s">
        <v>266</v>
      </c>
      <c r="C93" s="62" t="s">
        <v>283</v>
      </c>
      <c r="D93" s="19" t="s">
        <v>586</v>
      </c>
      <c r="E93" s="194">
        <v>0.25</v>
      </c>
      <c r="F93" s="320">
        <f>+H92</f>
        <v>33698.1</v>
      </c>
      <c r="G93" s="681">
        <v>0</v>
      </c>
      <c r="H93" s="252">
        <f t="shared" si="7"/>
        <v>8424.5249999999996</v>
      </c>
      <c r="I93" s="914"/>
    </row>
    <row r="94" spans="1:9" s="324" customFormat="1" ht="13.5" thickBot="1" x14ac:dyDescent="0.25">
      <c r="A94" s="504" t="s">
        <v>293</v>
      </c>
      <c r="B94" s="543" t="s">
        <v>269</v>
      </c>
      <c r="C94" s="169" t="s">
        <v>284</v>
      </c>
      <c r="D94" s="112" t="s">
        <v>586</v>
      </c>
      <c r="E94" s="201">
        <v>0.05</v>
      </c>
      <c r="F94" s="321">
        <f>+H92</f>
        <v>33698.1</v>
      </c>
      <c r="G94" s="686">
        <v>0</v>
      </c>
      <c r="H94" s="255">
        <f t="shared" si="7"/>
        <v>1684.905</v>
      </c>
      <c r="I94" s="914"/>
    </row>
    <row r="95" spans="1:9" s="41" customFormat="1" ht="30" x14ac:dyDescent="0.2">
      <c r="A95" s="67" t="s">
        <v>1108</v>
      </c>
      <c r="B95" s="541"/>
      <c r="C95" s="332" t="s">
        <v>3248</v>
      </c>
      <c r="D95" s="333" t="s">
        <v>411</v>
      </c>
      <c r="E95" s="426"/>
      <c r="F95" s="328">
        <f>ROUND(SUM(H95:H98),0)</f>
        <v>141886</v>
      </c>
      <c r="G95" s="683"/>
      <c r="H95" s="340"/>
      <c r="I95" s="914"/>
    </row>
    <row r="96" spans="1:9" s="324" customFormat="1" ht="12.75" x14ac:dyDescent="0.2">
      <c r="A96" s="947" t="s">
        <v>2555</v>
      </c>
      <c r="B96" s="547" t="s">
        <v>583</v>
      </c>
      <c r="C96" s="62" t="s">
        <v>584</v>
      </c>
      <c r="D96" s="19" t="s">
        <v>585</v>
      </c>
      <c r="E96" s="194">
        <v>2</v>
      </c>
      <c r="F96" s="320">
        <f>VLOOKUP(B96,'BASE DE DATOS'!$A$5:$E$997,5,FALSE)</f>
        <v>88679</v>
      </c>
      <c r="G96" s="688">
        <f>1/1.5</f>
        <v>0.66666666666666663</v>
      </c>
      <c r="H96" s="252">
        <f t="shared" si="7"/>
        <v>118238.66666666666</v>
      </c>
      <c r="I96" s="914"/>
    </row>
    <row r="97" spans="1:9" s="324" customFormat="1" ht="12.75" x14ac:dyDescent="0.2">
      <c r="A97" s="947"/>
      <c r="B97" s="244" t="s">
        <v>266</v>
      </c>
      <c r="C97" s="62" t="s">
        <v>283</v>
      </c>
      <c r="D97" s="19" t="s">
        <v>586</v>
      </c>
      <c r="E97" s="194">
        <v>0.1</v>
      </c>
      <c r="F97" s="320">
        <f>+H96</f>
        <v>118238.66666666666</v>
      </c>
      <c r="G97" s="681">
        <v>0</v>
      </c>
      <c r="H97" s="252">
        <f t="shared" si="7"/>
        <v>11823.866666666667</v>
      </c>
      <c r="I97" s="914"/>
    </row>
    <row r="98" spans="1:9" s="324" customFormat="1" ht="13.5" thickBot="1" x14ac:dyDescent="0.25">
      <c r="A98" s="504" t="s">
        <v>293</v>
      </c>
      <c r="B98" s="543" t="s">
        <v>269</v>
      </c>
      <c r="C98" s="169" t="s">
        <v>284</v>
      </c>
      <c r="D98" s="112" t="s">
        <v>586</v>
      </c>
      <c r="E98" s="201">
        <v>0.1</v>
      </c>
      <c r="F98" s="321">
        <f>+H96</f>
        <v>118238.66666666666</v>
      </c>
      <c r="G98" s="686">
        <v>0</v>
      </c>
      <c r="H98" s="255">
        <f t="shared" si="7"/>
        <v>11823.866666666667</v>
      </c>
      <c r="I98" s="914"/>
    </row>
    <row r="99" spans="1:9" s="41" customFormat="1" ht="45" x14ac:dyDescent="0.2">
      <c r="A99" s="67" t="s">
        <v>1109</v>
      </c>
      <c r="B99" s="541"/>
      <c r="C99" s="332" t="s">
        <v>483</v>
      </c>
      <c r="D99" s="333" t="s">
        <v>405</v>
      </c>
      <c r="E99" s="426"/>
      <c r="F99" s="328">
        <f>ROUND(SUM(H99:H102),0)</f>
        <v>4257</v>
      </c>
      <c r="G99" s="683"/>
      <c r="H99" s="340"/>
      <c r="I99" s="914"/>
    </row>
    <row r="100" spans="1:9" s="324" customFormat="1" ht="12.75" x14ac:dyDescent="0.2">
      <c r="A100" s="947" t="s">
        <v>2555</v>
      </c>
      <c r="B100" s="244" t="s">
        <v>596</v>
      </c>
      <c r="C100" s="62" t="s">
        <v>597</v>
      </c>
      <c r="D100" s="19" t="s">
        <v>585</v>
      </c>
      <c r="E100" s="194">
        <v>1</v>
      </c>
      <c r="F100" s="320">
        <f>VLOOKUP(B100,'BASE DE DATOS'!$A$5:$E$997,5,FALSE)</f>
        <v>354716</v>
      </c>
      <c r="G100" s="681">
        <f>1/100</f>
        <v>0.01</v>
      </c>
      <c r="H100" s="252">
        <f t="shared" si="7"/>
        <v>3547.16</v>
      </c>
      <c r="I100" s="914"/>
    </row>
    <row r="101" spans="1:9" s="324" customFormat="1" ht="12.75" x14ac:dyDescent="0.2">
      <c r="A101" s="947"/>
      <c r="B101" s="244" t="s">
        <v>266</v>
      </c>
      <c r="C101" s="62" t="s">
        <v>283</v>
      </c>
      <c r="D101" s="19" t="s">
        <v>586</v>
      </c>
      <c r="E101" s="194">
        <v>0.1</v>
      </c>
      <c r="F101" s="320">
        <f>+H100</f>
        <v>3547.16</v>
      </c>
      <c r="G101" s="681">
        <v>0</v>
      </c>
      <c r="H101" s="252">
        <f t="shared" si="7"/>
        <v>354.71600000000001</v>
      </c>
      <c r="I101" s="914"/>
    </row>
    <row r="102" spans="1:9" s="324" customFormat="1" ht="13.5" thickBot="1" x14ac:dyDescent="0.25">
      <c r="A102" s="504" t="s">
        <v>293</v>
      </c>
      <c r="B102" s="543" t="s">
        <v>269</v>
      </c>
      <c r="C102" s="169" t="s">
        <v>284</v>
      </c>
      <c r="D102" s="112" t="s">
        <v>586</v>
      </c>
      <c r="E102" s="201">
        <v>0.1</v>
      </c>
      <c r="F102" s="321">
        <f>+H100</f>
        <v>3547.16</v>
      </c>
      <c r="G102" s="686">
        <v>0</v>
      </c>
      <c r="H102" s="255">
        <f t="shared" si="7"/>
        <v>354.71600000000001</v>
      </c>
      <c r="I102" s="914"/>
    </row>
    <row r="103" spans="1:9" s="41" customFormat="1" x14ac:dyDescent="0.2">
      <c r="A103" s="67" t="s">
        <v>1110</v>
      </c>
      <c r="B103" s="541"/>
      <c r="C103" s="332" t="s">
        <v>458</v>
      </c>
      <c r="D103" s="333" t="s">
        <v>405</v>
      </c>
      <c r="E103" s="426"/>
      <c r="F103" s="328">
        <f>ROUND(SUM(H103:H107),0)</f>
        <v>10087</v>
      </c>
      <c r="G103" s="683"/>
      <c r="H103" s="340"/>
      <c r="I103" s="914"/>
    </row>
    <row r="104" spans="1:9" s="324" customFormat="1" ht="12.75" x14ac:dyDescent="0.2">
      <c r="A104" s="947" t="s">
        <v>2555</v>
      </c>
      <c r="B104" s="244" t="s">
        <v>644</v>
      </c>
      <c r="C104" s="62" t="s">
        <v>645</v>
      </c>
      <c r="D104" s="19" t="s">
        <v>585</v>
      </c>
      <c r="E104" s="194">
        <v>1</v>
      </c>
      <c r="F104" s="320">
        <f>VLOOKUP(B104,'BASE DE DATOS'!$A$5:$E$997,5,FALSE)</f>
        <v>248302</v>
      </c>
      <c r="G104" s="681">
        <f>1/32</f>
        <v>3.125E-2</v>
      </c>
      <c r="H104" s="252">
        <f t="shared" si="7"/>
        <v>7759.4375</v>
      </c>
      <c r="I104" s="914"/>
    </row>
    <row r="105" spans="1:9" s="324" customFormat="1" ht="12.75" x14ac:dyDescent="0.2">
      <c r="A105" s="947"/>
      <c r="B105" s="244" t="s">
        <v>266</v>
      </c>
      <c r="C105" s="62" t="s">
        <v>283</v>
      </c>
      <c r="D105" s="19" t="s">
        <v>586</v>
      </c>
      <c r="E105" s="194">
        <v>0.1</v>
      </c>
      <c r="F105" s="320">
        <f>+H104</f>
        <v>7759.4375</v>
      </c>
      <c r="G105" s="681">
        <v>0</v>
      </c>
      <c r="H105" s="252">
        <f t="shared" si="7"/>
        <v>775.94375000000002</v>
      </c>
      <c r="I105" s="914"/>
    </row>
    <row r="106" spans="1:9" s="324" customFormat="1" ht="12.75" x14ac:dyDescent="0.2">
      <c r="A106" s="937" t="s">
        <v>293</v>
      </c>
      <c r="B106" s="244" t="s">
        <v>269</v>
      </c>
      <c r="C106" s="62" t="s">
        <v>284</v>
      </c>
      <c r="D106" s="19" t="s">
        <v>586</v>
      </c>
      <c r="E106" s="194">
        <v>0.1</v>
      </c>
      <c r="F106" s="320">
        <f>+H104</f>
        <v>7759.4375</v>
      </c>
      <c r="G106" s="681">
        <v>0</v>
      </c>
      <c r="H106" s="252">
        <f t="shared" si="7"/>
        <v>775.94375000000002</v>
      </c>
      <c r="I106" s="914"/>
    </row>
    <row r="107" spans="1:9" s="324" customFormat="1" ht="13.5" thickBot="1" x14ac:dyDescent="0.25">
      <c r="A107" s="938"/>
      <c r="B107" s="543" t="s">
        <v>250</v>
      </c>
      <c r="C107" s="169" t="s">
        <v>251</v>
      </c>
      <c r="D107" s="112" t="s">
        <v>586</v>
      </c>
      <c r="E107" s="201">
        <v>0.1</v>
      </c>
      <c r="F107" s="321">
        <f>+H104</f>
        <v>7759.4375</v>
      </c>
      <c r="G107" s="686">
        <v>0</v>
      </c>
      <c r="H107" s="255">
        <f t="shared" si="7"/>
        <v>775.94375000000002</v>
      </c>
      <c r="I107" s="914"/>
    </row>
    <row r="108" spans="1:9" s="41" customFormat="1" x14ac:dyDescent="0.2">
      <c r="A108" s="67" t="s">
        <v>1111</v>
      </c>
      <c r="B108" s="541"/>
      <c r="C108" s="332" t="s">
        <v>2182</v>
      </c>
      <c r="D108" s="333" t="s">
        <v>405</v>
      </c>
      <c r="E108" s="426"/>
      <c r="F108" s="328">
        <f>ROUND(SUM(H108:H112),0)</f>
        <v>56396</v>
      </c>
      <c r="G108" s="683"/>
      <c r="H108" s="340"/>
      <c r="I108" s="914"/>
    </row>
    <row r="109" spans="1:9" s="324" customFormat="1" ht="12.75" x14ac:dyDescent="0.2">
      <c r="A109" s="947" t="s">
        <v>2555</v>
      </c>
      <c r="B109" s="244" t="s">
        <v>583</v>
      </c>
      <c r="C109" s="62" t="s">
        <v>584</v>
      </c>
      <c r="D109" s="19" t="s">
        <v>585</v>
      </c>
      <c r="E109" s="194">
        <v>2</v>
      </c>
      <c r="F109" s="320">
        <f>VLOOKUP(B109,'BASE DE DATOS'!$A$5:$E$997,5,FALSE)</f>
        <v>88679</v>
      </c>
      <c r="G109" s="681">
        <f>1/10</f>
        <v>0.1</v>
      </c>
      <c r="H109" s="252">
        <f t="shared" si="7"/>
        <v>17735.8</v>
      </c>
      <c r="I109" s="914"/>
    </row>
    <row r="110" spans="1:9" s="324" customFormat="1" ht="12.75" x14ac:dyDescent="0.2">
      <c r="A110" s="947"/>
      <c r="B110" s="244" t="s">
        <v>266</v>
      </c>
      <c r="C110" s="62" t="s">
        <v>283</v>
      </c>
      <c r="D110" s="19" t="s">
        <v>586</v>
      </c>
      <c r="E110" s="194">
        <v>0.1</v>
      </c>
      <c r="F110" s="320">
        <f>+H109</f>
        <v>17735.8</v>
      </c>
      <c r="G110" s="681">
        <v>0</v>
      </c>
      <c r="H110" s="252">
        <f t="shared" si="7"/>
        <v>1773.58</v>
      </c>
      <c r="I110" s="914"/>
    </row>
    <row r="111" spans="1:9" s="324" customFormat="1" ht="12.75" x14ac:dyDescent="0.2">
      <c r="A111" s="937" t="s">
        <v>293</v>
      </c>
      <c r="B111" s="244" t="s">
        <v>269</v>
      </c>
      <c r="C111" s="474" t="s">
        <v>284</v>
      </c>
      <c r="D111" s="215" t="s">
        <v>586</v>
      </c>
      <c r="E111" s="194">
        <v>0.05</v>
      </c>
      <c r="F111" s="320">
        <f>+H109</f>
        <v>17735.8</v>
      </c>
      <c r="G111" s="684">
        <v>0</v>
      </c>
      <c r="H111" s="252">
        <f>IF(G111&gt;0,(G111*F111*E111),(F111*E111))</f>
        <v>886.79</v>
      </c>
      <c r="I111" s="914"/>
    </row>
    <row r="112" spans="1:9" s="324" customFormat="1" thickBot="1" x14ac:dyDescent="0.25">
      <c r="A112" s="938"/>
      <c r="B112" s="543" t="s">
        <v>657</v>
      </c>
      <c r="C112" s="75" t="s">
        <v>3927</v>
      </c>
      <c r="D112" s="49" t="s">
        <v>614</v>
      </c>
      <c r="E112" s="195">
        <v>1</v>
      </c>
      <c r="F112" s="355">
        <f>VLOOKUP(B112,'BASE DE DATOS'!$A$5:$E$997,5,FALSE)</f>
        <v>180000</v>
      </c>
      <c r="G112" s="682">
        <f>1/5</f>
        <v>0.2</v>
      </c>
      <c r="H112" s="255">
        <f t="shared" si="7"/>
        <v>36000</v>
      </c>
      <c r="I112" s="914"/>
    </row>
    <row r="113" spans="1:9" s="41" customFormat="1" ht="30" x14ac:dyDescent="0.2">
      <c r="A113" s="67" t="s">
        <v>1112</v>
      </c>
      <c r="B113" s="541"/>
      <c r="C113" s="332" t="s">
        <v>90</v>
      </c>
      <c r="D113" s="333" t="s">
        <v>3261</v>
      </c>
      <c r="E113" s="414"/>
      <c r="F113" s="357">
        <f>ROUND(SUM(H113:H117),0)</f>
        <v>4648</v>
      </c>
      <c r="G113" s="683"/>
      <c r="H113" s="340"/>
      <c r="I113" s="914"/>
    </row>
    <row r="114" spans="1:9" s="324" customFormat="1" ht="12.75" x14ac:dyDescent="0.2">
      <c r="A114" s="508" t="s">
        <v>2555</v>
      </c>
      <c r="B114" s="244" t="s">
        <v>596</v>
      </c>
      <c r="C114" s="62" t="s">
        <v>597</v>
      </c>
      <c r="D114" s="19" t="s">
        <v>585</v>
      </c>
      <c r="E114" s="194">
        <v>1</v>
      </c>
      <c r="F114" s="320">
        <f>VLOOKUP(B114,'BASE DE DATOS'!$A$5:$E$997,5,FALSE)</f>
        <v>354716</v>
      </c>
      <c r="G114" s="681">
        <f>1/100</f>
        <v>0.01</v>
      </c>
      <c r="H114" s="252">
        <f t="shared" si="7"/>
        <v>3547.16</v>
      </c>
      <c r="I114" s="914"/>
    </row>
    <row r="115" spans="1:9" s="324" customFormat="1" ht="12.75" x14ac:dyDescent="0.2">
      <c r="A115" s="937" t="s">
        <v>293</v>
      </c>
      <c r="B115" s="244" t="s">
        <v>615</v>
      </c>
      <c r="C115" s="596" t="s">
        <v>1974</v>
      </c>
      <c r="D115" s="215" t="s">
        <v>614</v>
      </c>
      <c r="E115" s="194">
        <v>1</v>
      </c>
      <c r="F115" s="320">
        <f>VLOOKUP(B115,'BASE DE DATOS'!$A$5:$E$997,5,FALSE)</f>
        <v>238000</v>
      </c>
      <c r="G115" s="684">
        <f>1/3000</f>
        <v>3.3333333333333332E-4</v>
      </c>
      <c r="H115" s="252">
        <f>IF(G115&gt;0,(G115*F115*E115),(F115*E115))</f>
        <v>79.333333333333329</v>
      </c>
      <c r="I115" s="914"/>
    </row>
    <row r="116" spans="1:9" s="324" customFormat="1" ht="12.75" x14ac:dyDescent="0.2">
      <c r="A116" s="937"/>
      <c r="B116" s="244" t="s">
        <v>269</v>
      </c>
      <c r="C116" s="474" t="s">
        <v>284</v>
      </c>
      <c r="D116" s="215" t="s">
        <v>586</v>
      </c>
      <c r="E116" s="194">
        <v>0.1</v>
      </c>
      <c r="F116" s="320">
        <f>+H114</f>
        <v>3547.16</v>
      </c>
      <c r="G116" s="684">
        <v>0</v>
      </c>
      <c r="H116" s="252">
        <f t="shared" si="7"/>
        <v>354.71600000000001</v>
      </c>
      <c r="I116" s="914"/>
    </row>
    <row r="117" spans="1:9" s="324" customFormat="1" ht="13.5" thickBot="1" x14ac:dyDescent="0.25">
      <c r="A117" s="938"/>
      <c r="B117" s="543" t="s">
        <v>631</v>
      </c>
      <c r="C117" s="75" t="s">
        <v>336</v>
      </c>
      <c r="D117" s="49" t="s">
        <v>614</v>
      </c>
      <c r="E117" s="195">
        <v>1</v>
      </c>
      <c r="F117" s="355">
        <f>VLOOKUP(B117,'BASE DE DATOS'!$A$5:$E$997,5,FALSE)</f>
        <v>166600</v>
      </c>
      <c r="G117" s="682">
        <v>4.0000000000000001E-3</v>
      </c>
      <c r="H117" s="255">
        <f t="shared" si="7"/>
        <v>666.4</v>
      </c>
      <c r="I117" s="914"/>
    </row>
    <row r="118" spans="1:9" s="41" customFormat="1" ht="17.25" x14ac:dyDescent="0.2">
      <c r="A118" s="67" t="s">
        <v>3741</v>
      </c>
      <c r="B118" s="541"/>
      <c r="C118" s="332" t="s">
        <v>523</v>
      </c>
      <c r="D118" s="333" t="s">
        <v>3259</v>
      </c>
      <c r="E118" s="414"/>
      <c r="F118" s="357">
        <f>ROUND(SUM(H118:H121),0)</f>
        <v>28377</v>
      </c>
      <c r="G118" s="683"/>
      <c r="H118" s="340"/>
      <c r="I118" s="914"/>
    </row>
    <row r="119" spans="1:9" s="102" customFormat="1" ht="12.75" x14ac:dyDescent="0.2">
      <c r="A119" s="979" t="s">
        <v>2555</v>
      </c>
      <c r="B119" s="244" t="s">
        <v>596</v>
      </c>
      <c r="C119" s="62" t="s">
        <v>597</v>
      </c>
      <c r="D119" s="19" t="s">
        <v>585</v>
      </c>
      <c r="E119" s="198">
        <v>1</v>
      </c>
      <c r="F119" s="320">
        <f>VLOOKUP(B119,'BASE DE DATOS'!$A$5:$E$997,5,FALSE)</f>
        <v>354716</v>
      </c>
      <c r="G119" s="681">
        <f>1/15</f>
        <v>6.6666666666666666E-2</v>
      </c>
      <c r="H119" s="252">
        <f t="shared" si="7"/>
        <v>23647.733333333334</v>
      </c>
      <c r="I119" s="917"/>
    </row>
    <row r="120" spans="1:9" s="102" customFormat="1" ht="12.75" x14ac:dyDescent="0.2">
      <c r="A120" s="979"/>
      <c r="B120" s="244" t="s">
        <v>266</v>
      </c>
      <c r="C120" s="62" t="s">
        <v>283</v>
      </c>
      <c r="D120" s="19" t="s">
        <v>586</v>
      </c>
      <c r="E120" s="198">
        <v>0.1</v>
      </c>
      <c r="F120" s="320">
        <f>+H119</f>
        <v>23647.733333333334</v>
      </c>
      <c r="G120" s="681">
        <v>0</v>
      </c>
      <c r="H120" s="252">
        <f t="shared" si="7"/>
        <v>2364.7733333333335</v>
      </c>
      <c r="I120" s="917"/>
    </row>
    <row r="121" spans="1:9" s="324" customFormat="1" ht="13.5" thickBot="1" x14ac:dyDescent="0.25">
      <c r="A121" s="503" t="s">
        <v>293</v>
      </c>
      <c r="B121" s="543" t="s">
        <v>269</v>
      </c>
      <c r="C121" s="169" t="s">
        <v>284</v>
      </c>
      <c r="D121" s="112" t="s">
        <v>586</v>
      </c>
      <c r="E121" s="206">
        <v>0.1</v>
      </c>
      <c r="F121" s="321">
        <f>+H119</f>
        <v>23647.733333333334</v>
      </c>
      <c r="G121" s="686">
        <v>0</v>
      </c>
      <c r="H121" s="479">
        <f t="shared" si="7"/>
        <v>2364.7733333333335</v>
      </c>
      <c r="I121" s="914"/>
    </row>
    <row r="122" spans="1:9" s="42" customFormat="1" ht="45" x14ac:dyDescent="0.2">
      <c r="A122" s="458" t="s">
        <v>4218</v>
      </c>
      <c r="B122" s="558"/>
      <c r="C122" s="408" t="s">
        <v>2619</v>
      </c>
      <c r="D122" s="409" t="s">
        <v>405</v>
      </c>
      <c r="E122" s="436"/>
      <c r="F122" s="405">
        <f>ROUND(SUM(H122:H125),0)</f>
        <v>1653</v>
      </c>
      <c r="G122" s="411"/>
      <c r="H122" s="252"/>
      <c r="I122" s="913">
        <v>23</v>
      </c>
    </row>
    <row r="123" spans="1:9" s="33" customFormat="1" ht="12.75" x14ac:dyDescent="0.2">
      <c r="A123" s="183" t="s">
        <v>382</v>
      </c>
      <c r="B123" s="241" t="s">
        <v>1279</v>
      </c>
      <c r="C123" s="3" t="s">
        <v>349</v>
      </c>
      <c r="D123" s="2" t="s">
        <v>617</v>
      </c>
      <c r="E123" s="196">
        <v>10</v>
      </c>
      <c r="F123" s="23">
        <f>VLOOKUP(B123,'BASE DE DATOS'!$A$5:$E$997,5,FALSE)</f>
        <v>19</v>
      </c>
      <c r="G123" s="104">
        <v>1</v>
      </c>
      <c r="H123" s="252">
        <f>IF(G123&gt;0,(G123*F123*E123),(F123*E123))</f>
        <v>190</v>
      </c>
      <c r="I123" s="918"/>
    </row>
    <row r="124" spans="1:9" customFormat="1" ht="12.75" x14ac:dyDescent="0.2">
      <c r="A124" s="81" t="s">
        <v>2555</v>
      </c>
      <c r="B124" s="241" t="s">
        <v>583</v>
      </c>
      <c r="C124" s="3" t="s">
        <v>584</v>
      </c>
      <c r="D124" s="136" t="s">
        <v>585</v>
      </c>
      <c r="E124" s="196">
        <v>1</v>
      </c>
      <c r="F124" s="23">
        <f>VLOOKUP(B124,'BASE DE DATOS'!$A$5:$E$997,5,FALSE)</f>
        <v>88679</v>
      </c>
      <c r="G124" s="104">
        <v>1.4999999999999999E-2</v>
      </c>
      <c r="H124" s="252">
        <f>IF(G124&gt;0,(G124*F124*E124),(F124*E124))</f>
        <v>1330.1849999999999</v>
      </c>
      <c r="I124" s="913"/>
    </row>
    <row r="125" spans="1:9" customFormat="1" ht="13.5" thickBot="1" x14ac:dyDescent="0.25">
      <c r="A125" s="85" t="s">
        <v>293</v>
      </c>
      <c r="B125" s="530" t="s">
        <v>269</v>
      </c>
      <c r="C125" s="88" t="s">
        <v>284</v>
      </c>
      <c r="D125" s="89" t="s">
        <v>586</v>
      </c>
      <c r="E125" s="203">
        <v>0.1</v>
      </c>
      <c r="F125" s="90">
        <f>H124</f>
        <v>1330.1849999999999</v>
      </c>
      <c r="G125" s="153">
        <v>0</v>
      </c>
      <c r="H125" s="255">
        <f>IF(G125&gt;0,(G125*F125*E125),(F125*E125))</f>
        <v>133.01849999999999</v>
      </c>
      <c r="I125" s="913"/>
    </row>
    <row r="126" spans="1:9" s="41" customFormat="1" ht="15.75" thickBot="1" x14ac:dyDescent="0.25">
      <c r="A126" s="950" t="s">
        <v>3785</v>
      </c>
      <c r="B126" s="951"/>
      <c r="C126" s="951"/>
      <c r="D126" s="951"/>
      <c r="E126" s="951"/>
      <c r="F126" s="1043"/>
      <c r="G126" s="951"/>
      <c r="H126" s="952"/>
      <c r="I126" s="914"/>
    </row>
    <row r="127" spans="1:9" s="41" customFormat="1" ht="45.75" thickBot="1" x14ac:dyDescent="0.25">
      <c r="A127" s="510" t="s">
        <v>2044</v>
      </c>
      <c r="B127" s="346" t="s">
        <v>265</v>
      </c>
      <c r="C127" s="74" t="s">
        <v>402</v>
      </c>
      <c r="D127" s="347" t="s">
        <v>346</v>
      </c>
      <c r="E127" s="192" t="s">
        <v>2173</v>
      </c>
      <c r="F127" s="162" t="s">
        <v>404</v>
      </c>
      <c r="G127" s="290" t="s">
        <v>281</v>
      </c>
      <c r="H127" s="73" t="s">
        <v>282</v>
      </c>
      <c r="I127" s="914"/>
    </row>
    <row r="128" spans="1:9" s="339" customFormat="1" ht="30" x14ac:dyDescent="0.2">
      <c r="A128" s="48" t="s">
        <v>1113</v>
      </c>
      <c r="B128" s="548"/>
      <c r="C128" s="335" t="s">
        <v>4015</v>
      </c>
      <c r="D128" s="336" t="s">
        <v>3225</v>
      </c>
      <c r="E128" s="327"/>
      <c r="F128" s="328">
        <f>ROUND(SUM(H128:H133),0)</f>
        <v>28061</v>
      </c>
      <c r="G128" s="337"/>
      <c r="H128" s="338"/>
      <c r="I128" s="917"/>
    </row>
    <row r="129" spans="1:9" s="324" customFormat="1" ht="14.25" x14ac:dyDescent="0.2">
      <c r="A129" s="505" t="s">
        <v>3252</v>
      </c>
      <c r="B129" s="549" t="s">
        <v>1219</v>
      </c>
      <c r="C129" s="77" t="s">
        <v>694</v>
      </c>
      <c r="D129" s="17" t="s">
        <v>285</v>
      </c>
      <c r="E129" s="198">
        <v>1</v>
      </c>
      <c r="F129" s="320">
        <f>CONSTRUCCION!F137</f>
        <v>17143</v>
      </c>
      <c r="G129" s="681">
        <v>1</v>
      </c>
      <c r="H129" s="252">
        <f t="shared" ref="H129:H133" si="8">IF(G129&gt;0,(G129*F129*E129),(F129*E129))</f>
        <v>17143</v>
      </c>
      <c r="I129" s="914"/>
    </row>
    <row r="130" spans="1:9" s="324" customFormat="1" ht="12.75" x14ac:dyDescent="0.2">
      <c r="A130" s="508" t="s">
        <v>2555</v>
      </c>
      <c r="B130" s="244" t="s">
        <v>331</v>
      </c>
      <c r="C130" s="62" t="s">
        <v>332</v>
      </c>
      <c r="D130" s="19" t="s">
        <v>585</v>
      </c>
      <c r="E130" s="194">
        <v>1</v>
      </c>
      <c r="F130" s="320">
        <f>VLOOKUP(B130,'BASE DE DATOS'!$A$5:$E$997,5,FALSE)</f>
        <v>124151</v>
      </c>
      <c r="G130" s="689">
        <f>1/50</f>
        <v>0.02</v>
      </c>
      <c r="H130" s="252">
        <f t="shared" si="8"/>
        <v>2483.02</v>
      </c>
      <c r="I130" s="914"/>
    </row>
    <row r="131" spans="1:9" s="324" customFormat="1" ht="12.75" x14ac:dyDescent="0.2">
      <c r="A131" s="937" t="s">
        <v>293</v>
      </c>
      <c r="B131" s="244" t="s">
        <v>615</v>
      </c>
      <c r="C131" s="62" t="s">
        <v>1974</v>
      </c>
      <c r="D131" s="19" t="s">
        <v>614</v>
      </c>
      <c r="E131" s="194">
        <v>1</v>
      </c>
      <c r="F131" s="320">
        <f>VLOOKUP(B131,'BASE DE DATOS'!$A$5:$E$997,5,FALSE)</f>
        <v>238000</v>
      </c>
      <c r="G131" s="681">
        <f>1/50</f>
        <v>0.02</v>
      </c>
      <c r="H131" s="252">
        <f>IF(G131&gt;0,(G131*F131*E131),(F131*E131))</f>
        <v>4760</v>
      </c>
      <c r="I131" s="914"/>
    </row>
    <row r="132" spans="1:9" s="102" customFormat="1" ht="12.75" x14ac:dyDescent="0.2">
      <c r="A132" s="937"/>
      <c r="B132" s="244" t="s">
        <v>269</v>
      </c>
      <c r="C132" s="474" t="s">
        <v>284</v>
      </c>
      <c r="D132" s="215" t="s">
        <v>586</v>
      </c>
      <c r="E132" s="194">
        <v>0.03</v>
      </c>
      <c r="F132" s="320">
        <f>+H130</f>
        <v>2483.02</v>
      </c>
      <c r="G132" s="684">
        <v>0</v>
      </c>
      <c r="H132" s="252">
        <f>IF(G132&gt;0,(G132*F132*E132),(F132*E132))</f>
        <v>74.490600000000001</v>
      </c>
      <c r="I132" s="917"/>
    </row>
    <row r="133" spans="1:9" s="324" customFormat="1" thickBot="1" x14ac:dyDescent="0.25">
      <c r="A133" s="938"/>
      <c r="B133" s="543" t="s">
        <v>657</v>
      </c>
      <c r="C133" s="75" t="s">
        <v>3928</v>
      </c>
      <c r="D133" s="49" t="s">
        <v>614</v>
      </c>
      <c r="E133" s="195">
        <v>1</v>
      </c>
      <c r="F133" s="355">
        <f>VLOOKUP(B133,'BASE DE DATOS'!$A$5:$E$997,5,FALSE)</f>
        <v>180000</v>
      </c>
      <c r="G133" s="682">
        <f>1/50</f>
        <v>0.02</v>
      </c>
      <c r="H133" s="255">
        <f t="shared" si="8"/>
        <v>3600</v>
      </c>
      <c r="I133" s="914"/>
    </row>
    <row r="134" spans="1:9" s="339" customFormat="1" ht="92.25" x14ac:dyDescent="0.2">
      <c r="A134" s="48" t="s">
        <v>1114</v>
      </c>
      <c r="B134" s="548"/>
      <c r="C134" s="335" t="s">
        <v>4016</v>
      </c>
      <c r="D134" s="336" t="s">
        <v>3225</v>
      </c>
      <c r="E134" s="426"/>
      <c r="F134" s="328">
        <f>ROUND(SUM(H134:H141),0)</f>
        <v>242094</v>
      </c>
      <c r="G134" s="685"/>
      <c r="H134" s="338"/>
      <c r="I134" s="917"/>
    </row>
    <row r="135" spans="1:9" s="33" customFormat="1" ht="12.75" x14ac:dyDescent="0.2">
      <c r="A135" s="936" t="s">
        <v>382</v>
      </c>
      <c r="B135" s="241" t="s">
        <v>1279</v>
      </c>
      <c r="C135" s="3" t="s">
        <v>349</v>
      </c>
      <c r="D135" s="2" t="s">
        <v>617</v>
      </c>
      <c r="E135" s="196">
        <v>10</v>
      </c>
      <c r="F135" s="23">
        <f>VLOOKUP(B135,'BASE DE DATOS'!$A$5:$E$997,5,FALSE)</f>
        <v>19</v>
      </c>
      <c r="G135" s="104">
        <v>1</v>
      </c>
      <c r="H135" s="252">
        <f>IF(G135&gt;0,(G135*F135*E135),(F135*E135))</f>
        <v>190</v>
      </c>
      <c r="I135" s="918"/>
    </row>
    <row r="136" spans="1:9" s="33" customFormat="1" ht="12.75" x14ac:dyDescent="0.2">
      <c r="A136" s="936"/>
      <c r="B136" s="241" t="s">
        <v>3711</v>
      </c>
      <c r="C136" s="3" t="s">
        <v>3789</v>
      </c>
      <c r="D136" s="2" t="s">
        <v>406</v>
      </c>
      <c r="E136" s="196">
        <v>8</v>
      </c>
      <c r="F136" s="23">
        <f>VLOOKUP(B136,'BASE DE DATOS'!$A$5:$E$997,5,FALSE)</f>
        <v>5000</v>
      </c>
      <c r="G136" s="104">
        <v>1.02</v>
      </c>
      <c r="H136" s="252">
        <f>IF(G136&gt;0,(G136*F136*E136),(F136*E136))</f>
        <v>40800</v>
      </c>
      <c r="I136" s="918"/>
    </row>
    <row r="137" spans="1:9" s="324" customFormat="1" ht="14.25" x14ac:dyDescent="0.2">
      <c r="A137" s="675" t="s">
        <v>3252</v>
      </c>
      <c r="B137" s="549" t="s">
        <v>1219</v>
      </c>
      <c r="C137" s="77" t="s">
        <v>694</v>
      </c>
      <c r="D137" s="17" t="s">
        <v>285</v>
      </c>
      <c r="E137" s="198">
        <v>1</v>
      </c>
      <c r="F137" s="320">
        <f>CONSTRUCCION!F137</f>
        <v>17143</v>
      </c>
      <c r="G137" s="681">
        <v>1</v>
      </c>
      <c r="H137" s="252">
        <f t="shared" ref="H137:H138" si="9">IF(G137&gt;0,(G137*F137*E137),(F137*E137))</f>
        <v>17143</v>
      </c>
      <c r="I137" s="914"/>
    </row>
    <row r="138" spans="1:9" s="324" customFormat="1" ht="12.75" x14ac:dyDescent="0.2">
      <c r="A138" s="676" t="s">
        <v>2555</v>
      </c>
      <c r="B138" s="244" t="s">
        <v>3791</v>
      </c>
      <c r="C138" s="62" t="s">
        <v>3790</v>
      </c>
      <c r="D138" s="19" t="s">
        <v>585</v>
      </c>
      <c r="E138" s="194">
        <v>1</v>
      </c>
      <c r="F138" s="320">
        <f>VLOOKUP(B138,'BASE DE DATOS'!$A$5:$E$997,5,FALSE)</f>
        <v>284220</v>
      </c>
      <c r="G138" s="689">
        <f>1/2.3</f>
        <v>0.43478260869565222</v>
      </c>
      <c r="H138" s="252">
        <f t="shared" si="9"/>
        <v>123573.91304347827</v>
      </c>
      <c r="I138" s="914"/>
    </row>
    <row r="139" spans="1:9" s="324" customFormat="1" ht="12.75" x14ac:dyDescent="0.2">
      <c r="A139" s="937" t="s">
        <v>293</v>
      </c>
      <c r="B139" s="244" t="s">
        <v>700</v>
      </c>
      <c r="C139" s="62" t="s">
        <v>3787</v>
      </c>
      <c r="D139" s="19" t="s">
        <v>614</v>
      </c>
      <c r="E139" s="194">
        <v>1</v>
      </c>
      <c r="F139" s="320">
        <f>VLOOKUP(B139,'BASE DE DATOS'!$A$5:$E$997,5,FALSE)</f>
        <v>23000</v>
      </c>
      <c r="G139" s="681">
        <f>1/2.4</f>
        <v>0.41666666666666669</v>
      </c>
      <c r="H139" s="252">
        <f>IF(G139&gt;0,(G139*F139*E139),(F139*E139))</f>
        <v>9583.3333333333339</v>
      </c>
      <c r="I139" s="914"/>
    </row>
    <row r="140" spans="1:9" s="102" customFormat="1" ht="12.75" x14ac:dyDescent="0.2">
      <c r="A140" s="937"/>
      <c r="B140" s="244" t="s">
        <v>269</v>
      </c>
      <c r="C140" s="474" t="s">
        <v>284</v>
      </c>
      <c r="D140" s="215" t="s">
        <v>586</v>
      </c>
      <c r="E140" s="194">
        <v>0.05</v>
      </c>
      <c r="F140" s="320">
        <f>+H138</f>
        <v>123573.91304347827</v>
      </c>
      <c r="G140" s="684">
        <v>0</v>
      </c>
      <c r="H140" s="252">
        <f>IF(G140&gt;0,(G140*F140*E140),(F140*E140))</f>
        <v>6178.6956521739139</v>
      </c>
      <c r="I140" s="917"/>
    </row>
    <row r="141" spans="1:9" s="324" customFormat="1" ht="13.5" thickBot="1" x14ac:dyDescent="0.25">
      <c r="A141" s="938"/>
      <c r="B141" s="543" t="s">
        <v>122</v>
      </c>
      <c r="C141" s="75" t="s">
        <v>3786</v>
      </c>
      <c r="D141" s="49" t="s">
        <v>614</v>
      </c>
      <c r="E141" s="195">
        <v>1</v>
      </c>
      <c r="F141" s="355">
        <f>VLOOKUP(B141,'BASE DE DATOS'!$A$5:$E$997,5,FALSE)</f>
        <v>107100</v>
      </c>
      <c r="G141" s="682">
        <f>1/2.4</f>
        <v>0.41666666666666669</v>
      </c>
      <c r="H141" s="255">
        <f t="shared" ref="H141" si="10">IF(G141&gt;0,(G141*F141*E141),(F141*E141))</f>
        <v>44625</v>
      </c>
      <c r="I141" s="914"/>
    </row>
    <row r="142" spans="1:9" s="339" customFormat="1" ht="122.25" x14ac:dyDescent="0.2">
      <c r="A142" s="48" t="s">
        <v>1115</v>
      </c>
      <c r="B142" s="548"/>
      <c r="C142" s="335" t="s">
        <v>4017</v>
      </c>
      <c r="D142" s="336" t="s">
        <v>3225</v>
      </c>
      <c r="E142" s="426"/>
      <c r="F142" s="328">
        <f>ROUND(SUM(H142:H149),0)</f>
        <v>325941</v>
      </c>
      <c r="G142" s="685"/>
      <c r="H142" s="338"/>
      <c r="I142" s="917"/>
    </row>
    <row r="143" spans="1:9" s="33" customFormat="1" ht="12.75" x14ac:dyDescent="0.2">
      <c r="A143" s="936" t="s">
        <v>382</v>
      </c>
      <c r="B143" s="241" t="s">
        <v>1279</v>
      </c>
      <c r="C143" s="3" t="s">
        <v>349</v>
      </c>
      <c r="D143" s="2" t="s">
        <v>617</v>
      </c>
      <c r="E143" s="196">
        <v>10</v>
      </c>
      <c r="F143" s="23">
        <f>VLOOKUP(B143,'BASE DE DATOS'!$A$5:$E$997,5,FALSE)</f>
        <v>19</v>
      </c>
      <c r="G143" s="104">
        <v>1</v>
      </c>
      <c r="H143" s="252">
        <f>IF(G143&gt;0,(G143*F143*E143),(F143*E143))</f>
        <v>190</v>
      </c>
      <c r="I143" s="918"/>
    </row>
    <row r="144" spans="1:9" s="33" customFormat="1" ht="12.75" x14ac:dyDescent="0.2">
      <c r="A144" s="936"/>
      <c r="B144" s="241" t="s">
        <v>3711</v>
      </c>
      <c r="C144" s="3" t="s">
        <v>3789</v>
      </c>
      <c r="D144" s="2" t="s">
        <v>406</v>
      </c>
      <c r="E144" s="196">
        <v>8</v>
      </c>
      <c r="F144" s="23">
        <f>VLOOKUP(B144,'BASE DE DATOS'!$A$5:$E$997,5,FALSE)</f>
        <v>5000</v>
      </c>
      <c r="G144" s="104">
        <v>1.02</v>
      </c>
      <c r="H144" s="252">
        <f>IF(G144&gt;0,(G144*F144*E144),(F144*E144))</f>
        <v>40800</v>
      </c>
      <c r="I144" s="918"/>
    </row>
    <row r="145" spans="1:9" s="324" customFormat="1" ht="14.25" x14ac:dyDescent="0.2">
      <c r="A145" s="675" t="s">
        <v>3252</v>
      </c>
      <c r="B145" s="549" t="s">
        <v>1219</v>
      </c>
      <c r="C145" s="77" t="s">
        <v>694</v>
      </c>
      <c r="D145" s="17" t="s">
        <v>285</v>
      </c>
      <c r="E145" s="198">
        <v>1</v>
      </c>
      <c r="F145" s="320">
        <f>CONSTRUCCION!F145</f>
        <v>5250</v>
      </c>
      <c r="G145" s="681">
        <v>1</v>
      </c>
      <c r="H145" s="252">
        <f t="shared" ref="H145:H146" si="11">IF(G145&gt;0,(G145*F145*E145),(F145*E145))</f>
        <v>5250</v>
      </c>
      <c r="I145" s="914"/>
    </row>
    <row r="146" spans="1:9" s="324" customFormat="1" ht="12.75" x14ac:dyDescent="0.2">
      <c r="A146" s="676" t="s">
        <v>2555</v>
      </c>
      <c r="B146" s="244" t="s">
        <v>3791</v>
      </c>
      <c r="C146" s="62" t="s">
        <v>3790</v>
      </c>
      <c r="D146" s="19" t="s">
        <v>585</v>
      </c>
      <c r="E146" s="194">
        <v>1</v>
      </c>
      <c r="F146" s="320">
        <f>VLOOKUP(B146,'BASE DE DATOS'!$A$5:$E$997,5,FALSE)</f>
        <v>284220</v>
      </c>
      <c r="G146" s="689">
        <f>1/1.65</f>
        <v>0.60606060606060608</v>
      </c>
      <c r="H146" s="252">
        <f t="shared" si="11"/>
        <v>172254.54545454547</v>
      </c>
      <c r="I146" s="914"/>
    </row>
    <row r="147" spans="1:9" s="324" customFormat="1" ht="12.75" x14ac:dyDescent="0.2">
      <c r="A147" s="677" t="s">
        <v>293</v>
      </c>
      <c r="B147" s="244" t="s">
        <v>700</v>
      </c>
      <c r="C147" s="62" t="s">
        <v>3787</v>
      </c>
      <c r="D147" s="19" t="s">
        <v>614</v>
      </c>
      <c r="E147" s="194">
        <v>1</v>
      </c>
      <c r="F147" s="320">
        <f>VLOOKUP(B147,'BASE DE DATOS'!$A$5:$E$997,5,FALSE)</f>
        <v>23000</v>
      </c>
      <c r="G147" s="681">
        <f>1/2.4</f>
        <v>0.41666666666666669</v>
      </c>
      <c r="H147" s="252">
        <f>IF(G147&gt;0,(G147*F147*E147),(F147*E147))</f>
        <v>9583.3333333333339</v>
      </c>
      <c r="I147" s="914"/>
    </row>
    <row r="148" spans="1:9" s="102" customFormat="1" ht="12.75" x14ac:dyDescent="0.2">
      <c r="A148" s="677"/>
      <c r="B148" s="244" t="s">
        <v>269</v>
      </c>
      <c r="C148" s="474" t="s">
        <v>284</v>
      </c>
      <c r="D148" s="215" t="s">
        <v>586</v>
      </c>
      <c r="E148" s="194">
        <v>0.05</v>
      </c>
      <c r="F148" s="320">
        <f>+H146</f>
        <v>172254.54545454547</v>
      </c>
      <c r="G148" s="684">
        <v>0</v>
      </c>
      <c r="H148" s="252">
        <f>IF(G148&gt;0,(G148*F148*E148),(F148*E148))</f>
        <v>8612.7272727272739</v>
      </c>
      <c r="I148" s="917"/>
    </row>
    <row r="149" spans="1:9" s="324" customFormat="1" ht="13.5" thickBot="1" x14ac:dyDescent="0.25">
      <c r="A149" s="678"/>
      <c r="B149" s="543" t="s">
        <v>122</v>
      </c>
      <c r="C149" s="75" t="s">
        <v>3786</v>
      </c>
      <c r="D149" s="49" t="s">
        <v>614</v>
      </c>
      <c r="E149" s="195">
        <v>1</v>
      </c>
      <c r="F149" s="355">
        <f>VLOOKUP(B149,'BASE DE DATOS'!$A$5:$E$997,5,FALSE)</f>
        <v>107100</v>
      </c>
      <c r="G149" s="682">
        <f>1/1.2</f>
        <v>0.83333333333333337</v>
      </c>
      <c r="H149" s="255">
        <f t="shared" ref="H149" si="12">IF(G149&gt;0,(G149*F149*E149),(F149*E149))</f>
        <v>89250</v>
      </c>
      <c r="I149" s="914"/>
    </row>
    <row r="150" spans="1:9" s="339" customFormat="1" ht="120" x14ac:dyDescent="0.2">
      <c r="A150" s="48" t="s">
        <v>1116</v>
      </c>
      <c r="B150" s="548"/>
      <c r="C150" s="335" t="s">
        <v>4018</v>
      </c>
      <c r="D150" s="336" t="s">
        <v>3225</v>
      </c>
      <c r="E150" s="426"/>
      <c r="F150" s="328">
        <f>ROUND(SUM(H150:H155),0)</f>
        <v>66294</v>
      </c>
      <c r="G150" s="685"/>
      <c r="H150" s="338"/>
      <c r="I150" s="917"/>
    </row>
    <row r="151" spans="1:9" s="324" customFormat="1" ht="14.25" x14ac:dyDescent="0.2">
      <c r="A151" s="675" t="s">
        <v>3252</v>
      </c>
      <c r="B151" s="549" t="s">
        <v>1219</v>
      </c>
      <c r="C151" s="77" t="s">
        <v>694</v>
      </c>
      <c r="D151" s="17" t="s">
        <v>285</v>
      </c>
      <c r="E151" s="198">
        <v>1</v>
      </c>
      <c r="F151" s="320">
        <f>CONSTRUCCION!F159</f>
        <v>5250</v>
      </c>
      <c r="G151" s="681">
        <v>1</v>
      </c>
      <c r="H151" s="252">
        <f t="shared" ref="H151:H152" si="13">IF(G151&gt;0,(G151*F151*E151),(F151*E151))</f>
        <v>5250</v>
      </c>
      <c r="I151" s="914"/>
    </row>
    <row r="152" spans="1:9" s="324" customFormat="1" ht="12.75" x14ac:dyDescent="0.2">
      <c r="A152" s="676" t="s">
        <v>2555</v>
      </c>
      <c r="B152" s="244" t="s">
        <v>331</v>
      </c>
      <c r="C152" s="62" t="s">
        <v>332</v>
      </c>
      <c r="D152" s="19" t="s">
        <v>585</v>
      </c>
      <c r="E152" s="194">
        <v>2</v>
      </c>
      <c r="F152" s="320">
        <f>VLOOKUP(B152,'BASE DE DATOS'!$A$5:$E$997,5,FALSE)</f>
        <v>124151</v>
      </c>
      <c r="G152" s="689">
        <f>1/150</f>
        <v>6.6666666666666671E-3</v>
      </c>
      <c r="H152" s="252">
        <f t="shared" si="13"/>
        <v>1655.3466666666668</v>
      </c>
      <c r="I152" s="914"/>
    </row>
    <row r="153" spans="1:9" s="324" customFormat="1" ht="12.75" x14ac:dyDescent="0.2">
      <c r="A153" s="937" t="s">
        <v>293</v>
      </c>
      <c r="B153" s="244" t="s">
        <v>615</v>
      </c>
      <c r="C153" s="62" t="s">
        <v>1974</v>
      </c>
      <c r="D153" s="19" t="s">
        <v>614</v>
      </c>
      <c r="E153" s="194">
        <v>1</v>
      </c>
      <c r="F153" s="320">
        <f>VLOOKUP(B153,'BASE DE DATOS'!$A$5:$E$997,5,FALSE)</f>
        <v>238000</v>
      </c>
      <c r="G153" s="681">
        <f>1/50</f>
        <v>0.02</v>
      </c>
      <c r="H153" s="252">
        <f>IF(G153&gt;0,(G153*F153*E153),(F153*E153))</f>
        <v>4760</v>
      </c>
      <c r="I153" s="914"/>
    </row>
    <row r="154" spans="1:9" s="102" customFormat="1" ht="12.75" x14ac:dyDescent="0.2">
      <c r="A154" s="937"/>
      <c r="B154" s="244" t="s">
        <v>269</v>
      </c>
      <c r="C154" s="474" t="s">
        <v>284</v>
      </c>
      <c r="D154" s="215" t="s">
        <v>586</v>
      </c>
      <c r="E154" s="194">
        <v>0.05</v>
      </c>
      <c r="F154" s="320">
        <f>+H152</f>
        <v>1655.3466666666668</v>
      </c>
      <c r="G154" s="684">
        <v>0</v>
      </c>
      <c r="H154" s="252">
        <f>IF(G154&gt;0,(G154*F154*E154),(F154*E154))</f>
        <v>82.76733333333334</v>
      </c>
      <c r="I154" s="917"/>
    </row>
    <row r="155" spans="1:9" s="324" customFormat="1" thickBot="1" x14ac:dyDescent="0.25">
      <c r="A155" s="938"/>
      <c r="B155" s="543" t="s">
        <v>657</v>
      </c>
      <c r="C155" s="75" t="s">
        <v>3928</v>
      </c>
      <c r="D155" s="49" t="s">
        <v>614</v>
      </c>
      <c r="E155" s="195">
        <v>1</v>
      </c>
      <c r="F155" s="355">
        <f>VLOOKUP(B155,'BASE DE DATOS'!$A$5:$E$997,5,FALSE)</f>
        <v>180000</v>
      </c>
      <c r="G155" s="682">
        <f>1/3.3</f>
        <v>0.30303030303030304</v>
      </c>
      <c r="H155" s="255">
        <f t="shared" ref="H155" si="14">IF(G155&gt;0,(G155*F155*E155),(F155*E155))</f>
        <v>54545.454545454544</v>
      </c>
      <c r="I155" s="914"/>
    </row>
    <row r="156" spans="1:9" s="339" customFormat="1" ht="30" x14ac:dyDescent="0.2">
      <c r="A156" s="67" t="s">
        <v>1117</v>
      </c>
      <c r="B156" s="526"/>
      <c r="C156" s="325" t="s">
        <v>4019</v>
      </c>
      <c r="D156" s="326" t="s">
        <v>3225</v>
      </c>
      <c r="E156" s="414"/>
      <c r="F156" s="357">
        <f>ROUND(SUM(H156:H161),0)</f>
        <v>26261</v>
      </c>
      <c r="G156" s="683"/>
      <c r="H156" s="330"/>
      <c r="I156" s="917"/>
    </row>
    <row r="157" spans="1:9" s="324" customFormat="1" ht="14.25" x14ac:dyDescent="0.2">
      <c r="A157" s="505" t="s">
        <v>3252</v>
      </c>
      <c r="B157" s="244" t="s">
        <v>1219</v>
      </c>
      <c r="C157" s="62" t="s">
        <v>694</v>
      </c>
      <c r="D157" s="19" t="s">
        <v>285</v>
      </c>
      <c r="E157" s="194">
        <v>1</v>
      </c>
      <c r="F157" s="320">
        <f>CONSTRUCCION!F137</f>
        <v>17143</v>
      </c>
      <c r="G157" s="681">
        <v>1</v>
      </c>
      <c r="H157" s="252">
        <f t="shared" ref="H157:H161" si="15">IF(G157&gt;0,(G157*F157*E157),(F157*E157))</f>
        <v>17143</v>
      </c>
      <c r="I157" s="914"/>
    </row>
    <row r="158" spans="1:9" s="102" customFormat="1" ht="12.75" x14ac:dyDescent="0.2">
      <c r="A158" s="508" t="s">
        <v>2555</v>
      </c>
      <c r="B158" s="244" t="s">
        <v>331</v>
      </c>
      <c r="C158" s="62" t="s">
        <v>332</v>
      </c>
      <c r="D158" s="19" t="s">
        <v>585</v>
      </c>
      <c r="E158" s="194">
        <v>2</v>
      </c>
      <c r="F158" s="320">
        <f>VLOOKUP(B158,'BASE DE DATOS'!$A$5:$E$997,5,FALSE)</f>
        <v>124151</v>
      </c>
      <c r="G158" s="689">
        <f>1/100</f>
        <v>0.01</v>
      </c>
      <c r="H158" s="252">
        <f t="shared" si="15"/>
        <v>2483.02</v>
      </c>
      <c r="I158" s="917"/>
    </row>
    <row r="159" spans="1:9" s="102" customFormat="1" ht="12.75" x14ac:dyDescent="0.2">
      <c r="A159" s="937" t="s">
        <v>293</v>
      </c>
      <c r="B159" s="244" t="s">
        <v>615</v>
      </c>
      <c r="C159" s="62" t="s">
        <v>1974</v>
      </c>
      <c r="D159" s="19" t="s">
        <v>614</v>
      </c>
      <c r="E159" s="194">
        <v>1</v>
      </c>
      <c r="F159" s="320">
        <f>VLOOKUP(B159,'BASE DE DATOS'!$A$5:$E$997,5,FALSE)</f>
        <v>238000</v>
      </c>
      <c r="G159" s="681">
        <f>1/50</f>
        <v>0.02</v>
      </c>
      <c r="H159" s="252">
        <f>IF(G159&gt;0,(G159*F159*E159),(F159*E159))</f>
        <v>4760</v>
      </c>
      <c r="I159" s="917"/>
    </row>
    <row r="160" spans="1:9" s="324" customFormat="1" ht="12.75" x14ac:dyDescent="0.2">
      <c r="A160" s="937"/>
      <c r="B160" s="244" t="s">
        <v>269</v>
      </c>
      <c r="C160" s="474" t="s">
        <v>284</v>
      </c>
      <c r="D160" s="215" t="s">
        <v>586</v>
      </c>
      <c r="E160" s="194">
        <v>0.03</v>
      </c>
      <c r="F160" s="320">
        <f>+H158</f>
        <v>2483.02</v>
      </c>
      <c r="G160" s="684">
        <v>0</v>
      </c>
      <c r="H160" s="252">
        <f>IF(G160&gt;0,(G160*F160*E160),(F160*E160))</f>
        <v>74.490600000000001</v>
      </c>
      <c r="I160" s="914"/>
    </row>
    <row r="161" spans="1:9" s="102" customFormat="1" thickBot="1" x14ac:dyDescent="0.25">
      <c r="A161" s="938"/>
      <c r="B161" s="543" t="s">
        <v>657</v>
      </c>
      <c r="C161" s="75" t="s">
        <v>3928</v>
      </c>
      <c r="D161" s="49" t="s">
        <v>614</v>
      </c>
      <c r="E161" s="195">
        <v>1</v>
      </c>
      <c r="F161" s="355">
        <f>VLOOKUP(B161,'BASE DE DATOS'!$A$5:$E$997,5,FALSE)</f>
        <v>180000</v>
      </c>
      <c r="G161" s="682">
        <f>1/100</f>
        <v>0.01</v>
      </c>
      <c r="H161" s="255">
        <f t="shared" si="15"/>
        <v>1800</v>
      </c>
      <c r="I161" s="917"/>
    </row>
    <row r="162" spans="1:9" s="41" customFormat="1" ht="17.25" x14ac:dyDescent="0.2">
      <c r="A162" s="67" t="s">
        <v>1118</v>
      </c>
      <c r="B162" s="550"/>
      <c r="C162" s="325" t="s">
        <v>134</v>
      </c>
      <c r="D162" s="326" t="s">
        <v>3225</v>
      </c>
      <c r="E162" s="414"/>
      <c r="F162" s="357">
        <f>ROUND(SUM(H162:H166),0)</f>
        <v>20811</v>
      </c>
      <c r="G162" s="683"/>
      <c r="H162" s="330"/>
      <c r="I162" s="914"/>
    </row>
    <row r="163" spans="1:9" s="102" customFormat="1" ht="12.75" x14ac:dyDescent="0.2">
      <c r="A163" s="508" t="s">
        <v>2555</v>
      </c>
      <c r="B163" s="244" t="s">
        <v>607</v>
      </c>
      <c r="C163" s="62" t="s">
        <v>608</v>
      </c>
      <c r="D163" s="19" t="s">
        <v>585</v>
      </c>
      <c r="E163" s="194">
        <v>1</v>
      </c>
      <c r="F163" s="320">
        <f>VLOOKUP(B163,'BASE DE DATOS'!$A$5:$E$997,5,FALSE)</f>
        <v>336981</v>
      </c>
      <c r="G163" s="681">
        <f>1/33.3333</f>
        <v>3.0000030000029997E-2</v>
      </c>
      <c r="H163" s="252">
        <f t="shared" ref="H163:H236" si="16">IF(G163&gt;0,(G163*F163*E163),(F163*E163))</f>
        <v>10109.440109440109</v>
      </c>
      <c r="I163" s="917"/>
    </row>
    <row r="164" spans="1:9" s="324" customFormat="1" ht="12.75" x14ac:dyDescent="0.2">
      <c r="A164" s="937" t="s">
        <v>293</v>
      </c>
      <c r="B164" s="244" t="s">
        <v>269</v>
      </c>
      <c r="C164" s="474" t="s">
        <v>284</v>
      </c>
      <c r="D164" s="215" t="s">
        <v>586</v>
      </c>
      <c r="E164" s="194">
        <v>0.03</v>
      </c>
      <c r="F164" s="320">
        <f>+H163</f>
        <v>10109.440109440109</v>
      </c>
      <c r="G164" s="684">
        <v>0</v>
      </c>
      <c r="H164" s="252">
        <f>IF(G164&gt;0,(G164*F164*E164),(F164*E164))</f>
        <v>303.28320328320325</v>
      </c>
      <c r="I164" s="914"/>
    </row>
    <row r="165" spans="1:9" s="102" customFormat="1" ht="14.25" x14ac:dyDescent="0.2">
      <c r="A165" s="937"/>
      <c r="B165" s="244" t="s">
        <v>657</v>
      </c>
      <c r="C165" s="474" t="s">
        <v>3928</v>
      </c>
      <c r="D165" s="215" t="s">
        <v>614</v>
      </c>
      <c r="E165" s="194">
        <v>1</v>
      </c>
      <c r="F165" s="320">
        <f>VLOOKUP(B165,'BASE DE DATOS'!$A$5:$E$997,5,FALSE)</f>
        <v>180000</v>
      </c>
      <c r="G165" s="684">
        <f>1/33.3333</f>
        <v>3.0000030000029997E-2</v>
      </c>
      <c r="H165" s="252">
        <f t="shared" si="16"/>
        <v>5400.0054000053997</v>
      </c>
      <c r="I165" s="917"/>
    </row>
    <row r="166" spans="1:9" s="102" customFormat="1" thickBot="1" x14ac:dyDescent="0.25">
      <c r="A166" s="938"/>
      <c r="B166" s="543" t="s">
        <v>631</v>
      </c>
      <c r="C166" s="75" t="s">
        <v>370</v>
      </c>
      <c r="D166" s="49" t="s">
        <v>614</v>
      </c>
      <c r="E166" s="195">
        <v>1</v>
      </c>
      <c r="F166" s="355">
        <f>VLOOKUP(B166,'BASE DE DATOS'!$A$5:$E$997,5,FALSE)</f>
        <v>166600</v>
      </c>
      <c r="G166" s="682">
        <f>1/33.3333</f>
        <v>3.0000030000029997E-2</v>
      </c>
      <c r="H166" s="255">
        <f>IF(G166&gt;0,(G166*F166*E166),(F166*E166))</f>
        <v>4998.0049980049971</v>
      </c>
      <c r="I166" s="917"/>
    </row>
    <row r="167" spans="1:9" s="41" customFormat="1" ht="17.25" x14ac:dyDescent="0.2">
      <c r="A167" s="67" t="s">
        <v>1119</v>
      </c>
      <c r="B167" s="526"/>
      <c r="C167" s="325" t="s">
        <v>436</v>
      </c>
      <c r="D167" s="326" t="s">
        <v>3225</v>
      </c>
      <c r="E167" s="414"/>
      <c r="F167" s="357">
        <f>ROUND(SUM(H167:H171),0)</f>
        <v>34685</v>
      </c>
      <c r="G167" s="683"/>
      <c r="H167" s="330"/>
      <c r="I167" s="914"/>
    </row>
    <row r="168" spans="1:9" s="324" customFormat="1" ht="12.75" x14ac:dyDescent="0.2">
      <c r="A168" s="508" t="s">
        <v>2555</v>
      </c>
      <c r="B168" s="244" t="s">
        <v>607</v>
      </c>
      <c r="C168" s="62" t="s">
        <v>608</v>
      </c>
      <c r="D168" s="19" t="s">
        <v>585</v>
      </c>
      <c r="E168" s="194">
        <v>1</v>
      </c>
      <c r="F168" s="320">
        <f>VLOOKUP(B168,'BASE DE DATOS'!$A$5:$E$997,5,FALSE)</f>
        <v>336981</v>
      </c>
      <c r="G168" s="681">
        <f>1/20</f>
        <v>0.05</v>
      </c>
      <c r="H168" s="252">
        <f t="shared" si="16"/>
        <v>16849.05</v>
      </c>
      <c r="I168" s="914"/>
    </row>
    <row r="169" spans="1:9" s="324" customFormat="1" ht="12.75" x14ac:dyDescent="0.2">
      <c r="A169" s="937" t="s">
        <v>293</v>
      </c>
      <c r="B169" s="244" t="s">
        <v>269</v>
      </c>
      <c r="C169" s="474" t="s">
        <v>284</v>
      </c>
      <c r="D169" s="215" t="s">
        <v>586</v>
      </c>
      <c r="E169" s="194">
        <v>0.03</v>
      </c>
      <c r="F169" s="320">
        <f>+H168</f>
        <v>16849.05</v>
      </c>
      <c r="G169" s="684">
        <v>0</v>
      </c>
      <c r="H169" s="252">
        <f>IF(G169&gt;0,(G169*F169*E169),(F169*E169))</f>
        <v>505.47149999999993</v>
      </c>
      <c r="I169" s="914"/>
    </row>
    <row r="170" spans="1:9" s="102" customFormat="1" ht="14.25" x14ac:dyDescent="0.2">
      <c r="A170" s="937"/>
      <c r="B170" s="244" t="s">
        <v>657</v>
      </c>
      <c r="C170" s="474" t="s">
        <v>3928</v>
      </c>
      <c r="D170" s="215" t="s">
        <v>614</v>
      </c>
      <c r="E170" s="194">
        <v>1</v>
      </c>
      <c r="F170" s="320">
        <f>VLOOKUP(B170,'BASE DE DATOS'!$A$5:$E$997,5,FALSE)</f>
        <v>180000</v>
      </c>
      <c r="G170" s="684">
        <f>1/20</f>
        <v>0.05</v>
      </c>
      <c r="H170" s="252">
        <f>IF(G170&gt;0,(G170*F170*E170),(F170*E170))</f>
        <v>9000</v>
      </c>
      <c r="I170" s="917"/>
    </row>
    <row r="171" spans="1:9" s="324" customFormat="1" thickBot="1" x14ac:dyDescent="0.25">
      <c r="A171" s="938"/>
      <c r="B171" s="543" t="s">
        <v>631</v>
      </c>
      <c r="C171" s="75" t="s">
        <v>370</v>
      </c>
      <c r="D171" s="49" t="s">
        <v>614</v>
      </c>
      <c r="E171" s="195">
        <v>1</v>
      </c>
      <c r="F171" s="355">
        <f>VLOOKUP(B171,'BASE DE DATOS'!$A$5:$E$997,5,FALSE)</f>
        <v>166600</v>
      </c>
      <c r="G171" s="682">
        <f>1/20</f>
        <v>0.05</v>
      </c>
      <c r="H171" s="255">
        <f t="shared" si="16"/>
        <v>8330</v>
      </c>
      <c r="I171" s="914"/>
    </row>
    <row r="172" spans="1:9" s="41" customFormat="1" ht="17.25" x14ac:dyDescent="0.2">
      <c r="A172" s="67" t="s">
        <v>1120</v>
      </c>
      <c r="B172" s="526"/>
      <c r="C172" s="325" t="s">
        <v>543</v>
      </c>
      <c r="D172" s="326" t="s">
        <v>3225</v>
      </c>
      <c r="E172" s="414"/>
      <c r="F172" s="357">
        <f>ROUND(SUM(H172:H178),0)</f>
        <v>18503</v>
      </c>
      <c r="G172" s="683"/>
      <c r="H172" s="330"/>
      <c r="I172" s="914"/>
    </row>
    <row r="173" spans="1:9" s="324" customFormat="1" ht="12.75" x14ac:dyDescent="0.2">
      <c r="A173" s="508" t="s">
        <v>2555</v>
      </c>
      <c r="B173" s="244" t="s">
        <v>644</v>
      </c>
      <c r="C173" s="62" t="s">
        <v>645</v>
      </c>
      <c r="D173" s="19" t="s">
        <v>585</v>
      </c>
      <c r="E173" s="194">
        <v>1</v>
      </c>
      <c r="F173" s="320">
        <f>VLOOKUP(B173,'BASE DE DATOS'!$A$5:$E$997,5,FALSE)</f>
        <v>248302</v>
      </c>
      <c r="G173" s="681">
        <f>1/320</f>
        <v>3.1250000000000002E-3</v>
      </c>
      <c r="H173" s="252">
        <f t="shared" si="16"/>
        <v>775.94375000000002</v>
      </c>
      <c r="I173" s="914"/>
    </row>
    <row r="174" spans="1:9" s="324" customFormat="1" ht="12.75" x14ac:dyDescent="0.2">
      <c r="A174" s="988" t="s">
        <v>293</v>
      </c>
      <c r="B174" s="244" t="s">
        <v>615</v>
      </c>
      <c r="C174" s="62" t="s">
        <v>1974</v>
      </c>
      <c r="D174" s="19" t="s">
        <v>614</v>
      </c>
      <c r="E174" s="194">
        <v>1</v>
      </c>
      <c r="F174" s="320">
        <f>VLOOKUP(B174,'BASE DE DATOS'!$A$5:$E$997,5,FALSE)</f>
        <v>238000</v>
      </c>
      <c r="G174" s="681">
        <v>2.5000000000000001E-2</v>
      </c>
      <c r="H174" s="252">
        <f t="shared" si="16"/>
        <v>5950</v>
      </c>
      <c r="I174" s="914"/>
    </row>
    <row r="175" spans="1:9" s="324" customFormat="1" ht="12.75" x14ac:dyDescent="0.2">
      <c r="A175" s="988"/>
      <c r="B175" s="244" t="s">
        <v>626</v>
      </c>
      <c r="C175" s="62" t="s">
        <v>2183</v>
      </c>
      <c r="D175" s="19" t="s">
        <v>614</v>
      </c>
      <c r="E175" s="194">
        <v>1</v>
      </c>
      <c r="F175" s="320">
        <f>VLOOKUP(B175,'BASE DE DATOS'!$A$5:$E$997,5,FALSE)</f>
        <v>104125</v>
      </c>
      <c r="G175" s="681">
        <f>1/40</f>
        <v>2.5000000000000001E-2</v>
      </c>
      <c r="H175" s="252">
        <f>IF(G175&gt;0,(G175*F175*E175),(F175*E175))</f>
        <v>2603.125</v>
      </c>
      <c r="I175" s="914"/>
    </row>
    <row r="176" spans="1:9" s="324" customFormat="1" ht="12.75" x14ac:dyDescent="0.2">
      <c r="A176" s="988"/>
      <c r="B176" s="244" t="s">
        <v>623</v>
      </c>
      <c r="C176" s="62" t="s">
        <v>383</v>
      </c>
      <c r="D176" s="19" t="s">
        <v>614</v>
      </c>
      <c r="E176" s="194">
        <v>1</v>
      </c>
      <c r="F176" s="320">
        <f>VLOOKUP(B176,'BASE DE DATOS'!$A$5:$E$997,5,FALSE)</f>
        <v>165410</v>
      </c>
      <c r="G176" s="681">
        <v>2.5000000000000001E-2</v>
      </c>
      <c r="H176" s="252">
        <f t="shared" si="16"/>
        <v>4135.25</v>
      </c>
      <c r="I176" s="914"/>
    </row>
    <row r="177" spans="1:9" s="324" customFormat="1" ht="12.75" x14ac:dyDescent="0.2">
      <c r="A177" s="988"/>
      <c r="B177" s="244" t="s">
        <v>269</v>
      </c>
      <c r="C177" s="474" t="s">
        <v>284</v>
      </c>
      <c r="D177" s="215" t="s">
        <v>586</v>
      </c>
      <c r="E177" s="194">
        <v>0.05</v>
      </c>
      <c r="F177" s="320">
        <f>+H173</f>
        <v>775.94375000000002</v>
      </c>
      <c r="G177" s="684">
        <v>0</v>
      </c>
      <c r="H177" s="252">
        <f>IF(G177&gt;0,(G177*F177*E177),(F177*E177))</f>
        <v>38.797187500000007</v>
      </c>
      <c r="I177" s="914"/>
    </row>
    <row r="178" spans="1:9" s="324" customFormat="1" ht="26.25" thickBot="1" x14ac:dyDescent="0.25">
      <c r="A178" s="1008"/>
      <c r="B178" s="543" t="s">
        <v>624</v>
      </c>
      <c r="C178" s="75" t="s">
        <v>2184</v>
      </c>
      <c r="D178" s="49" t="s">
        <v>614</v>
      </c>
      <c r="E178" s="195">
        <v>1</v>
      </c>
      <c r="F178" s="355">
        <f>VLOOKUP(B178,'BASE DE DATOS'!$A$5:$E$997,5,FALSE)</f>
        <v>200000</v>
      </c>
      <c r="G178" s="682">
        <f>1/40</f>
        <v>2.5000000000000001E-2</v>
      </c>
      <c r="H178" s="255">
        <f t="shared" si="16"/>
        <v>5000</v>
      </c>
      <c r="I178" s="914"/>
    </row>
    <row r="179" spans="1:9" s="41" customFormat="1" ht="17.25" x14ac:dyDescent="0.2">
      <c r="A179" s="67" t="s">
        <v>1121</v>
      </c>
      <c r="B179" s="526"/>
      <c r="C179" s="325" t="s">
        <v>2571</v>
      </c>
      <c r="D179" s="326" t="s">
        <v>3225</v>
      </c>
      <c r="E179" s="414"/>
      <c r="F179" s="357">
        <f>ROUND(SUM(H179:H188),0)</f>
        <v>166235</v>
      </c>
      <c r="G179" s="683"/>
      <c r="H179" s="330"/>
      <c r="I179" s="914"/>
    </row>
    <row r="180" spans="1:9" s="324" customFormat="1" ht="14.25" x14ac:dyDescent="0.2">
      <c r="A180" s="502" t="s">
        <v>382</v>
      </c>
      <c r="B180" s="244" t="s">
        <v>1598</v>
      </c>
      <c r="C180" s="62" t="s">
        <v>622</v>
      </c>
      <c r="D180" s="19" t="s">
        <v>285</v>
      </c>
      <c r="E180" s="194">
        <v>1</v>
      </c>
      <c r="F180" s="320">
        <f>VLOOKUP(B180,'BASE DE DATOS'!$A$5:$E$997,5,FALSE)</f>
        <v>93750</v>
      </c>
      <c r="G180" s="681">
        <v>1.3</v>
      </c>
      <c r="H180" s="252">
        <f t="shared" si="16"/>
        <v>121875</v>
      </c>
      <c r="I180" s="914"/>
    </row>
    <row r="181" spans="1:9" s="324" customFormat="1" ht="14.25" x14ac:dyDescent="0.2">
      <c r="A181" s="946" t="s">
        <v>3252</v>
      </c>
      <c r="B181" s="244" t="s">
        <v>1115</v>
      </c>
      <c r="C181" s="62" t="s">
        <v>134</v>
      </c>
      <c r="D181" s="19" t="s">
        <v>285</v>
      </c>
      <c r="E181" s="194">
        <v>1</v>
      </c>
      <c r="F181" s="320">
        <f>F162</f>
        <v>20811</v>
      </c>
      <c r="G181" s="681">
        <v>0</v>
      </c>
      <c r="H181" s="252">
        <f t="shared" si="16"/>
        <v>20811</v>
      </c>
      <c r="I181" s="914"/>
    </row>
    <row r="182" spans="1:9" s="324" customFormat="1" ht="14.25" x14ac:dyDescent="0.2">
      <c r="A182" s="946"/>
      <c r="B182" s="374" t="s">
        <v>711</v>
      </c>
      <c r="C182" s="62" t="s">
        <v>140</v>
      </c>
      <c r="D182" s="19" t="s">
        <v>285</v>
      </c>
      <c r="E182" s="194">
        <v>1</v>
      </c>
      <c r="F182" s="320">
        <f>CONSTRUCCION!F199</f>
        <v>5046</v>
      </c>
      <c r="G182" s="681">
        <v>0</v>
      </c>
      <c r="H182" s="252">
        <f t="shared" si="16"/>
        <v>5046</v>
      </c>
      <c r="I182" s="914"/>
    </row>
    <row r="183" spans="1:9" s="324" customFormat="1" ht="12.75" x14ac:dyDescent="0.2">
      <c r="A183" s="508" t="s">
        <v>2555</v>
      </c>
      <c r="B183" s="244" t="s">
        <v>644</v>
      </c>
      <c r="C183" s="62" t="s">
        <v>645</v>
      </c>
      <c r="D183" s="19" t="s">
        <v>585</v>
      </c>
      <c r="E183" s="194">
        <v>1</v>
      </c>
      <c r="F183" s="320">
        <f>VLOOKUP(B183,'BASE DE DATOS'!$A$5:$E$997,5,FALSE)</f>
        <v>248302</v>
      </c>
      <c r="G183" s="681">
        <f>1/320</f>
        <v>3.1250000000000002E-3</v>
      </c>
      <c r="H183" s="252">
        <f t="shared" si="16"/>
        <v>775.94375000000002</v>
      </c>
      <c r="I183" s="914"/>
    </row>
    <row r="184" spans="1:9" s="324" customFormat="1" ht="12.75" x14ac:dyDescent="0.2">
      <c r="A184" s="988" t="s">
        <v>293</v>
      </c>
      <c r="B184" s="244" t="s">
        <v>615</v>
      </c>
      <c r="C184" s="62" t="s">
        <v>1974</v>
      </c>
      <c r="D184" s="19" t="s">
        <v>614</v>
      </c>
      <c r="E184" s="194">
        <v>1</v>
      </c>
      <c r="F184" s="320">
        <f>VLOOKUP(B184,'BASE DE DATOS'!$A$5:$E$997,5,FALSE)</f>
        <v>238000</v>
      </c>
      <c r="G184" s="681">
        <v>2.5000000000000001E-2</v>
      </c>
      <c r="H184" s="252">
        <f t="shared" si="16"/>
        <v>5950</v>
      </c>
      <c r="I184" s="914"/>
    </row>
    <row r="185" spans="1:9" s="324" customFormat="1" ht="12.75" x14ac:dyDescent="0.2">
      <c r="A185" s="988"/>
      <c r="B185" s="244" t="s">
        <v>626</v>
      </c>
      <c r="C185" s="62" t="s">
        <v>2183</v>
      </c>
      <c r="D185" s="19" t="s">
        <v>614</v>
      </c>
      <c r="E185" s="194">
        <v>1</v>
      </c>
      <c r="F185" s="320">
        <f>VLOOKUP(B185,'BASE DE DATOS'!$A$5:$E$997,5,FALSE)</f>
        <v>104125</v>
      </c>
      <c r="G185" s="681">
        <f>1/40</f>
        <v>2.5000000000000001E-2</v>
      </c>
      <c r="H185" s="252">
        <f>IF(G185&gt;0,(G185*F185*E185),(F185*E185))</f>
        <v>2603.125</v>
      </c>
      <c r="I185" s="914"/>
    </row>
    <row r="186" spans="1:9" s="324" customFormat="1" ht="12.75" x14ac:dyDescent="0.2">
      <c r="A186" s="988"/>
      <c r="B186" s="244" t="s">
        <v>623</v>
      </c>
      <c r="C186" s="62" t="s">
        <v>383</v>
      </c>
      <c r="D186" s="19" t="s">
        <v>614</v>
      </c>
      <c r="E186" s="194">
        <v>1</v>
      </c>
      <c r="F186" s="320">
        <f>VLOOKUP(B186,'BASE DE DATOS'!$A$5:$E$997,5,FALSE)</f>
        <v>165410</v>
      </c>
      <c r="G186" s="681">
        <v>2.5000000000000001E-2</v>
      </c>
      <c r="H186" s="252">
        <f t="shared" si="16"/>
        <v>4135.25</v>
      </c>
      <c r="I186" s="914"/>
    </row>
    <row r="187" spans="1:9" s="324" customFormat="1" ht="12.75" x14ac:dyDescent="0.2">
      <c r="A187" s="988"/>
      <c r="B187" s="244" t="s">
        <v>269</v>
      </c>
      <c r="C187" s="474" t="s">
        <v>284</v>
      </c>
      <c r="D187" s="215" t="s">
        <v>586</v>
      </c>
      <c r="E187" s="194">
        <v>0.05</v>
      </c>
      <c r="F187" s="320">
        <f>+H183</f>
        <v>775.94375000000002</v>
      </c>
      <c r="G187" s="684">
        <v>0</v>
      </c>
      <c r="H187" s="252">
        <f>IF(G187&gt;0,(G187*F187*E187),(F187*E187))</f>
        <v>38.797187500000007</v>
      </c>
      <c r="I187" s="914"/>
    </row>
    <row r="188" spans="1:9" s="324" customFormat="1" ht="26.25" thickBot="1" x14ac:dyDescent="0.25">
      <c r="A188" s="1008"/>
      <c r="B188" s="543" t="s">
        <v>624</v>
      </c>
      <c r="C188" s="75" t="s">
        <v>2184</v>
      </c>
      <c r="D188" s="49" t="s">
        <v>614</v>
      </c>
      <c r="E188" s="195">
        <v>1</v>
      </c>
      <c r="F188" s="355">
        <f>VLOOKUP(B188,'BASE DE DATOS'!$A$5:$E$997,5,FALSE)</f>
        <v>200000</v>
      </c>
      <c r="G188" s="682">
        <f>1/40</f>
        <v>2.5000000000000001E-2</v>
      </c>
      <c r="H188" s="255">
        <f t="shared" si="16"/>
        <v>5000</v>
      </c>
      <c r="I188" s="914"/>
    </row>
    <row r="189" spans="1:9" s="42" customFormat="1" ht="60" x14ac:dyDescent="0.2">
      <c r="A189" s="458" t="s">
        <v>1122</v>
      </c>
      <c r="B189" s="529"/>
      <c r="C189" s="388" t="s">
        <v>3907</v>
      </c>
      <c r="D189" s="389" t="s">
        <v>3251</v>
      </c>
      <c r="E189" s="395"/>
      <c r="F189" s="391">
        <f>ROUND(SUM(H189:H197),0)</f>
        <v>68545</v>
      </c>
      <c r="G189" s="392"/>
      <c r="H189" s="393"/>
      <c r="I189" s="913"/>
    </row>
    <row r="190" spans="1:9" customFormat="1" ht="25.5" x14ac:dyDescent="0.2">
      <c r="A190" s="936" t="s">
        <v>382</v>
      </c>
      <c r="B190" s="241" t="s">
        <v>1278</v>
      </c>
      <c r="C190" s="670" t="s">
        <v>1890</v>
      </c>
      <c r="D190" s="136" t="s">
        <v>285</v>
      </c>
      <c r="E190" s="196">
        <v>0.15</v>
      </c>
      <c r="F190" s="23">
        <f>VLOOKUP(B190,'BASE DE DATOS'!$A$5:$E$997,5,FALSE)</f>
        <v>26610</v>
      </c>
      <c r="G190" s="104">
        <v>1.55</v>
      </c>
      <c r="H190" s="252">
        <f t="shared" ref="H190:H197" si="17">IF(G190&gt;0,(G190*F190*E190),(F190*E190))</f>
        <v>6186.8249999999998</v>
      </c>
      <c r="I190" s="913"/>
    </row>
    <row r="191" spans="1:9" customFormat="1" ht="12.75" x14ac:dyDescent="0.2">
      <c r="A191" s="936"/>
      <c r="B191" s="241" t="s">
        <v>1279</v>
      </c>
      <c r="C191" s="3" t="s">
        <v>349</v>
      </c>
      <c r="D191" s="2" t="s">
        <v>617</v>
      </c>
      <c r="E191" s="114">
        <v>27</v>
      </c>
      <c r="F191" s="23">
        <f>VLOOKUP(B191,'BASE DE DATOS'!$A$5:$E$997,5,FALSE)</f>
        <v>19</v>
      </c>
      <c r="G191" s="104">
        <v>0</v>
      </c>
      <c r="H191" s="252">
        <f t="shared" si="17"/>
        <v>513</v>
      </c>
      <c r="I191" s="913"/>
    </row>
    <row r="192" spans="1:9" customFormat="1" ht="14.25" x14ac:dyDescent="0.2">
      <c r="A192" s="936"/>
      <c r="B192" s="241" t="s">
        <v>1521</v>
      </c>
      <c r="C192" s="44" t="s">
        <v>1963</v>
      </c>
      <c r="D192" s="136" t="s">
        <v>285</v>
      </c>
      <c r="E192" s="196">
        <v>0.15</v>
      </c>
      <c r="F192" s="23">
        <f>VLOOKUP(B192,'BASE DE DATOS'!$A$5:$E$997,5,FALSE)</f>
        <v>77345</v>
      </c>
      <c r="G192" s="104">
        <v>1.45</v>
      </c>
      <c r="H192" s="252">
        <f t="shared" si="17"/>
        <v>16822.537499999999</v>
      </c>
      <c r="I192" s="913"/>
    </row>
    <row r="193" spans="1:9" customFormat="1" ht="12.75" x14ac:dyDescent="0.2">
      <c r="A193" s="947" t="s">
        <v>2555</v>
      </c>
      <c r="B193" s="241" t="s">
        <v>607</v>
      </c>
      <c r="C193" s="3" t="s">
        <v>608</v>
      </c>
      <c r="D193" s="2" t="s">
        <v>585</v>
      </c>
      <c r="E193" s="114">
        <v>1</v>
      </c>
      <c r="F193" s="23">
        <f>VLOOKUP(B193,'BASE DE DATOS'!$A$5:$E$997,5,FALSE)</f>
        <v>336981</v>
      </c>
      <c r="G193" s="104">
        <f>1/10</f>
        <v>0.1</v>
      </c>
      <c r="H193" s="252">
        <f t="shared" si="17"/>
        <v>33698.1</v>
      </c>
      <c r="I193" s="913"/>
    </row>
    <row r="194" spans="1:9" customFormat="1" ht="12.75" x14ac:dyDescent="0.2">
      <c r="A194" s="947"/>
      <c r="B194" s="241" t="s">
        <v>266</v>
      </c>
      <c r="C194" s="3" t="s">
        <v>283</v>
      </c>
      <c r="D194" s="2" t="s">
        <v>586</v>
      </c>
      <c r="E194" s="114">
        <v>0.15</v>
      </c>
      <c r="F194" s="23">
        <f>H193</f>
        <v>33698.1</v>
      </c>
      <c r="G194" s="104">
        <v>0</v>
      </c>
      <c r="H194" s="252">
        <f t="shared" si="17"/>
        <v>5054.7149999999992</v>
      </c>
      <c r="I194" s="913"/>
    </row>
    <row r="195" spans="1:9" customFormat="1" ht="14.25" customHeight="1" x14ac:dyDescent="0.2">
      <c r="A195" s="944" t="s">
        <v>293</v>
      </c>
      <c r="B195" s="241" t="s">
        <v>625</v>
      </c>
      <c r="C195" s="218" t="s">
        <v>385</v>
      </c>
      <c r="D195" s="219" t="s">
        <v>614</v>
      </c>
      <c r="E195" s="114">
        <v>1</v>
      </c>
      <c r="F195" s="220">
        <f>VLOOKUP(B195,'BASE DE DATOS'!$A$5:$E$997,5,FALSE)</f>
        <v>90000</v>
      </c>
      <c r="G195" s="187">
        <f>1/100</f>
        <v>0.01</v>
      </c>
      <c r="H195" s="252">
        <f t="shared" si="17"/>
        <v>900</v>
      </c>
      <c r="I195" s="913"/>
    </row>
    <row r="196" spans="1:9" customFormat="1" ht="12.75" x14ac:dyDescent="0.2">
      <c r="A196" s="944"/>
      <c r="B196" s="241" t="s">
        <v>269</v>
      </c>
      <c r="C196" s="218" t="s">
        <v>284</v>
      </c>
      <c r="D196" s="219" t="s">
        <v>586</v>
      </c>
      <c r="E196" s="114">
        <v>0.1</v>
      </c>
      <c r="F196" s="220">
        <f>H193</f>
        <v>33698.1</v>
      </c>
      <c r="G196" s="187">
        <v>0</v>
      </c>
      <c r="H196" s="252">
        <f t="shared" si="17"/>
        <v>3369.81</v>
      </c>
      <c r="I196" s="913"/>
    </row>
    <row r="197" spans="1:9" customFormat="1" ht="13.5" thickBot="1" x14ac:dyDescent="0.25">
      <c r="A197" s="945"/>
      <c r="B197" s="530" t="s">
        <v>624</v>
      </c>
      <c r="C197" s="88" t="s">
        <v>384</v>
      </c>
      <c r="D197" s="89" t="s">
        <v>614</v>
      </c>
      <c r="E197" s="193">
        <v>1</v>
      </c>
      <c r="F197" s="90">
        <f>VLOOKUP(B197,'BASE DE DATOS'!$A$5:$E$997,5,FALSE)</f>
        <v>200000</v>
      </c>
      <c r="G197" s="153">
        <f>1/100</f>
        <v>0.01</v>
      </c>
      <c r="H197" s="255">
        <f t="shared" si="17"/>
        <v>2000</v>
      </c>
      <c r="I197" s="913"/>
    </row>
    <row r="198" spans="1:9" s="41" customFormat="1" ht="17.25" x14ac:dyDescent="0.2">
      <c r="A198" s="67" t="s">
        <v>1123</v>
      </c>
      <c r="B198" s="526"/>
      <c r="C198" s="325" t="s">
        <v>389</v>
      </c>
      <c r="D198" s="326" t="s">
        <v>3225</v>
      </c>
      <c r="E198" s="414"/>
      <c r="F198" s="357">
        <f>ROUND(SUM(H198:H211),0)</f>
        <v>129997</v>
      </c>
      <c r="G198" s="683"/>
      <c r="H198" s="330"/>
      <c r="I198" s="914"/>
    </row>
    <row r="199" spans="1:9" s="102" customFormat="1" ht="25.5" x14ac:dyDescent="0.2">
      <c r="A199" s="939" t="s">
        <v>295</v>
      </c>
      <c r="B199" s="244" t="s">
        <v>1278</v>
      </c>
      <c r="C199" s="62" t="s">
        <v>1890</v>
      </c>
      <c r="D199" s="19" t="s">
        <v>285</v>
      </c>
      <c r="E199" s="194">
        <v>1</v>
      </c>
      <c r="F199" s="320">
        <f>VLOOKUP(B199,'BASE DE DATOS'!$A$5:$E$997,5,FALSE)</f>
        <v>26610</v>
      </c>
      <c r="G199" s="681">
        <v>1.3</v>
      </c>
      <c r="H199" s="252">
        <f>IF(G199&gt;0,(G199*F199*E199),(F199*E199))</f>
        <v>34593</v>
      </c>
      <c r="I199" s="917"/>
    </row>
    <row r="200" spans="1:9" s="102" customFormat="1" ht="12.75" x14ac:dyDescent="0.2">
      <c r="A200" s="939"/>
      <c r="B200" s="545" t="s">
        <v>1282</v>
      </c>
      <c r="C200" s="76" t="s">
        <v>604</v>
      </c>
      <c r="D200" s="59" t="s">
        <v>406</v>
      </c>
      <c r="E200" s="194">
        <v>0.4</v>
      </c>
      <c r="F200" s="320">
        <f>VLOOKUP(B200,'BASE DE DATOS'!$A$5:$E$997,5,FALSE)</f>
        <v>7790</v>
      </c>
      <c r="G200" s="681">
        <v>1.05</v>
      </c>
      <c r="H200" s="252">
        <f>IF(G200&gt;0,(G200*F200*E200),(F200*E200))</f>
        <v>3271.8</v>
      </c>
      <c r="I200" s="917"/>
    </row>
    <row r="201" spans="1:9" s="102" customFormat="1" ht="12.75" x14ac:dyDescent="0.2">
      <c r="A201" s="939"/>
      <c r="B201" s="244" t="s">
        <v>1367</v>
      </c>
      <c r="C201" s="62" t="s">
        <v>592</v>
      </c>
      <c r="D201" s="19" t="s">
        <v>405</v>
      </c>
      <c r="E201" s="194">
        <v>1</v>
      </c>
      <c r="F201" s="320">
        <f>VLOOKUP(B201,'BASE DE DATOS'!$A$5:$E$997,5,FALSE)</f>
        <v>6534</v>
      </c>
      <c r="G201" s="681">
        <v>0</v>
      </c>
      <c r="H201" s="252">
        <f>IF(G201&gt;0,(G201*F201*E201),(F201*E201))</f>
        <v>6534</v>
      </c>
      <c r="I201" s="917"/>
    </row>
    <row r="202" spans="1:9" s="324" customFormat="1" ht="15.6" customHeight="1" x14ac:dyDescent="0.2">
      <c r="A202" s="939"/>
      <c r="B202" s="545" t="s">
        <v>1882</v>
      </c>
      <c r="C202" s="62" t="s">
        <v>640</v>
      </c>
      <c r="D202" s="19" t="s">
        <v>288</v>
      </c>
      <c r="E202" s="194">
        <v>5.5</v>
      </c>
      <c r="F202" s="320">
        <f>VLOOKUP(B202,'BASE DE DATOS'!$A$5:$E$997,5,FALSE)</f>
        <v>7727</v>
      </c>
      <c r="G202" s="681">
        <v>1.03</v>
      </c>
      <c r="H202" s="252">
        <f t="shared" si="16"/>
        <v>43773.455000000002</v>
      </c>
      <c r="I202" s="914"/>
    </row>
    <row r="203" spans="1:9" s="102" customFormat="1" ht="12.75" x14ac:dyDescent="0.2">
      <c r="A203" s="939"/>
      <c r="B203" s="244" t="s">
        <v>1418</v>
      </c>
      <c r="C203" s="62" t="s">
        <v>591</v>
      </c>
      <c r="D203" s="19" t="s">
        <v>411</v>
      </c>
      <c r="E203" s="194">
        <v>0.04</v>
      </c>
      <c r="F203" s="320">
        <f>VLOOKUP(B203,'BASE DE DATOS'!$A$5:$E$997,5,FALSE)</f>
        <v>5250</v>
      </c>
      <c r="G203" s="681">
        <v>0</v>
      </c>
      <c r="H203" s="252">
        <f>IF(G203&gt;0,(G203*F203*E203),(F203*E203))</f>
        <v>210</v>
      </c>
      <c r="I203" s="917"/>
    </row>
    <row r="204" spans="1:9" s="102" customFormat="1" ht="12.75" x14ac:dyDescent="0.2">
      <c r="A204" s="939"/>
      <c r="B204" s="244" t="s">
        <v>1558</v>
      </c>
      <c r="C204" s="62" t="s">
        <v>603</v>
      </c>
      <c r="D204" s="19" t="s">
        <v>590</v>
      </c>
      <c r="E204" s="194">
        <v>0.2</v>
      </c>
      <c r="F204" s="320">
        <f>VLOOKUP(B204,'BASE DE DATOS'!$A$5:$E$997,5,FALSE)</f>
        <v>5650</v>
      </c>
      <c r="G204" s="681">
        <v>0</v>
      </c>
      <c r="H204" s="252">
        <f t="shared" si="16"/>
        <v>1130</v>
      </c>
      <c r="I204" s="917"/>
    </row>
    <row r="205" spans="1:9" s="102" customFormat="1" ht="12.75" x14ac:dyDescent="0.2">
      <c r="A205" s="939"/>
      <c r="B205" s="244" t="s">
        <v>1711</v>
      </c>
      <c r="C205" s="62" t="s">
        <v>632</v>
      </c>
      <c r="D205" s="19" t="s">
        <v>405</v>
      </c>
      <c r="E205" s="194">
        <v>2</v>
      </c>
      <c r="F205" s="320">
        <f>VLOOKUP(B205,'BASE DE DATOS'!$A$5:$E$997,5,FALSE)</f>
        <v>10991</v>
      </c>
      <c r="G205" s="681">
        <v>0</v>
      </c>
      <c r="H205" s="252">
        <f>IF(G205&gt;0,(G205*F205*E205),(F205*E205))</f>
        <v>21982</v>
      </c>
      <c r="I205" s="917"/>
    </row>
    <row r="206" spans="1:9" s="102" customFormat="1" ht="12.75" x14ac:dyDescent="0.2">
      <c r="A206" s="508" t="s">
        <v>2555</v>
      </c>
      <c r="B206" s="244" t="s">
        <v>644</v>
      </c>
      <c r="C206" s="62" t="s">
        <v>645</v>
      </c>
      <c r="D206" s="19" t="s">
        <v>585</v>
      </c>
      <c r="E206" s="194">
        <v>1</v>
      </c>
      <c r="F206" s="320">
        <f>VLOOKUP(B206,'BASE DE DATOS'!$A$5:$E$997,5,FALSE)</f>
        <v>248302</v>
      </c>
      <c r="G206" s="681">
        <f>1/320</f>
        <v>3.1250000000000002E-3</v>
      </c>
      <c r="H206" s="252">
        <f t="shared" si="16"/>
        <v>775.94375000000002</v>
      </c>
      <c r="I206" s="917"/>
    </row>
    <row r="207" spans="1:9" s="102" customFormat="1" ht="12.75" x14ac:dyDescent="0.2">
      <c r="A207" s="988" t="s">
        <v>293</v>
      </c>
      <c r="B207" s="244" t="s">
        <v>615</v>
      </c>
      <c r="C207" s="62" t="s">
        <v>1974</v>
      </c>
      <c r="D207" s="19" t="s">
        <v>614</v>
      </c>
      <c r="E207" s="194">
        <v>1</v>
      </c>
      <c r="F207" s="320">
        <f>VLOOKUP(B207,'BASE DE DATOS'!$A$5:$E$997,5,FALSE)</f>
        <v>238000</v>
      </c>
      <c r="G207" s="681">
        <v>2.5000000000000001E-2</v>
      </c>
      <c r="H207" s="252">
        <f t="shared" si="16"/>
        <v>5950</v>
      </c>
      <c r="I207" s="917"/>
    </row>
    <row r="208" spans="1:9" s="102" customFormat="1" ht="12.75" x14ac:dyDescent="0.2">
      <c r="A208" s="988"/>
      <c r="B208" s="244" t="s">
        <v>626</v>
      </c>
      <c r="C208" s="62" t="s">
        <v>2183</v>
      </c>
      <c r="D208" s="19" t="s">
        <v>614</v>
      </c>
      <c r="E208" s="194">
        <v>1</v>
      </c>
      <c r="F208" s="320">
        <f>VLOOKUP(B208,'BASE DE DATOS'!$A$5:$E$997,5,FALSE)</f>
        <v>104125</v>
      </c>
      <c r="G208" s="681">
        <f>1/40</f>
        <v>2.5000000000000001E-2</v>
      </c>
      <c r="H208" s="252">
        <f>IF(G208&gt;0,(G208*F208*E208),(F208*E208))</f>
        <v>2603.125</v>
      </c>
      <c r="I208" s="917"/>
    </row>
    <row r="209" spans="1:9" s="102" customFormat="1" ht="12.75" x14ac:dyDescent="0.2">
      <c r="A209" s="988"/>
      <c r="B209" s="244" t="s">
        <v>623</v>
      </c>
      <c r="C209" s="62" t="s">
        <v>383</v>
      </c>
      <c r="D209" s="19" t="s">
        <v>614</v>
      </c>
      <c r="E209" s="194">
        <v>1</v>
      </c>
      <c r="F209" s="320">
        <f>VLOOKUP(B209,'BASE DE DATOS'!$A$5:$E$997,5,FALSE)</f>
        <v>165410</v>
      </c>
      <c r="G209" s="681">
        <v>2.5000000000000001E-2</v>
      </c>
      <c r="H209" s="252">
        <f t="shared" si="16"/>
        <v>4135.25</v>
      </c>
      <c r="I209" s="917"/>
    </row>
    <row r="210" spans="1:9" s="102" customFormat="1" ht="12.75" x14ac:dyDescent="0.2">
      <c r="A210" s="988"/>
      <c r="B210" s="244" t="s">
        <v>269</v>
      </c>
      <c r="C210" s="474" t="s">
        <v>284</v>
      </c>
      <c r="D210" s="215" t="s">
        <v>586</v>
      </c>
      <c r="E210" s="194">
        <v>0.05</v>
      </c>
      <c r="F210" s="320">
        <f>+H206</f>
        <v>775.94375000000002</v>
      </c>
      <c r="G210" s="684">
        <v>0</v>
      </c>
      <c r="H210" s="252">
        <f>IF(G210&gt;0,(G210*F210*E210),(F210*E210))</f>
        <v>38.797187500000007</v>
      </c>
      <c r="I210" s="917"/>
    </row>
    <row r="211" spans="1:9" s="102" customFormat="1" ht="26.25" thickBot="1" x14ac:dyDescent="0.25">
      <c r="A211" s="1008"/>
      <c r="B211" s="543" t="s">
        <v>624</v>
      </c>
      <c r="C211" s="75" t="s">
        <v>2184</v>
      </c>
      <c r="D211" s="49" t="s">
        <v>614</v>
      </c>
      <c r="E211" s="195">
        <v>1</v>
      </c>
      <c r="F211" s="355">
        <f>VLOOKUP(B211,'BASE DE DATOS'!$A$5:$E$997,5,FALSE)</f>
        <v>200000</v>
      </c>
      <c r="G211" s="682">
        <f>1/40</f>
        <v>2.5000000000000001E-2</v>
      </c>
      <c r="H211" s="255">
        <f t="shared" si="16"/>
        <v>5000</v>
      </c>
      <c r="I211" s="917"/>
    </row>
    <row r="212" spans="1:9" s="339" customFormat="1" ht="17.25" x14ac:dyDescent="0.2">
      <c r="A212" s="67" t="s">
        <v>3792</v>
      </c>
      <c r="B212" s="526"/>
      <c r="C212" s="325" t="s">
        <v>392</v>
      </c>
      <c r="D212" s="326" t="s">
        <v>3225</v>
      </c>
      <c r="E212" s="414"/>
      <c r="F212" s="357">
        <f>ROUND(SUM(H212:H227),0)</f>
        <v>237976</v>
      </c>
      <c r="G212" s="683"/>
      <c r="H212" s="330"/>
      <c r="I212" s="917"/>
    </row>
    <row r="213" spans="1:9" s="324" customFormat="1" ht="12.75" x14ac:dyDescent="0.2">
      <c r="A213" s="1013" t="s">
        <v>295</v>
      </c>
      <c r="B213" s="545" t="s">
        <v>1282</v>
      </c>
      <c r="C213" s="76" t="s">
        <v>604</v>
      </c>
      <c r="D213" s="59" t="s">
        <v>406</v>
      </c>
      <c r="E213" s="194">
        <v>0.4</v>
      </c>
      <c r="F213" s="320">
        <f>VLOOKUP(B213,'BASE DE DATOS'!$A$5:$E$997,5,FALSE)</f>
        <v>7790</v>
      </c>
      <c r="G213" s="681">
        <v>1.05</v>
      </c>
      <c r="H213" s="252">
        <f>IF(G213&gt;0,(G213*F213*E213),(F213*E213))</f>
        <v>3271.8</v>
      </c>
      <c r="I213" s="914"/>
    </row>
    <row r="214" spans="1:9" s="324" customFormat="1" ht="12.75" x14ac:dyDescent="0.2">
      <c r="A214" s="1013"/>
      <c r="B214" s="244" t="s">
        <v>1367</v>
      </c>
      <c r="C214" s="62" t="s">
        <v>592</v>
      </c>
      <c r="D214" s="19" t="s">
        <v>405</v>
      </c>
      <c r="E214" s="194">
        <v>1</v>
      </c>
      <c r="F214" s="320">
        <f>VLOOKUP(B214,'BASE DE DATOS'!$A$5:$E$997,5,FALSE)</f>
        <v>6534</v>
      </c>
      <c r="G214" s="681">
        <v>0</v>
      </c>
      <c r="H214" s="252">
        <f>IF(G214&gt;0,(G214*F214*E214),(F214*E214))</f>
        <v>6534</v>
      </c>
      <c r="I214" s="914"/>
    </row>
    <row r="215" spans="1:9" s="102" customFormat="1" ht="15.6" customHeight="1" x14ac:dyDescent="0.2">
      <c r="A215" s="1013"/>
      <c r="B215" s="545" t="s">
        <v>1882</v>
      </c>
      <c r="C215" s="62" t="s">
        <v>640</v>
      </c>
      <c r="D215" s="19" t="s">
        <v>288</v>
      </c>
      <c r="E215" s="194">
        <v>5.25</v>
      </c>
      <c r="F215" s="320">
        <f>VLOOKUP(B215,'BASE DE DATOS'!$A$5:$E$997,5,FALSE)</f>
        <v>7727</v>
      </c>
      <c r="G215" s="681">
        <v>1.05</v>
      </c>
      <c r="H215" s="252">
        <f t="shared" si="16"/>
        <v>42595.087500000001</v>
      </c>
      <c r="I215" s="917"/>
    </row>
    <row r="216" spans="1:9" s="324" customFormat="1" ht="12.75" x14ac:dyDescent="0.2">
      <c r="A216" s="1013"/>
      <c r="B216" s="244" t="s">
        <v>1418</v>
      </c>
      <c r="C216" s="62" t="s">
        <v>591</v>
      </c>
      <c r="D216" s="19" t="s">
        <v>411</v>
      </c>
      <c r="E216" s="194">
        <v>0.04</v>
      </c>
      <c r="F216" s="320">
        <f>VLOOKUP(B216,'BASE DE DATOS'!$A$5:$E$997,5,FALSE)</f>
        <v>5250</v>
      </c>
      <c r="G216" s="681">
        <v>0</v>
      </c>
      <c r="H216" s="252">
        <f>IF(G216&gt;0,(G216*F216*E216),(F216*E216))</f>
        <v>210</v>
      </c>
      <c r="I216" s="914"/>
    </row>
    <row r="217" spans="1:9" s="324" customFormat="1" ht="12.75" x14ac:dyDescent="0.2">
      <c r="A217" s="1013"/>
      <c r="B217" s="244" t="s">
        <v>1558</v>
      </c>
      <c r="C217" s="62" t="s">
        <v>603</v>
      </c>
      <c r="D217" s="19" t="s">
        <v>590</v>
      </c>
      <c r="E217" s="194">
        <v>0.2</v>
      </c>
      <c r="F217" s="320">
        <f>VLOOKUP(B217,'BASE DE DATOS'!$A$5:$E$997,5,FALSE)</f>
        <v>5650</v>
      </c>
      <c r="G217" s="681">
        <v>0</v>
      </c>
      <c r="H217" s="252">
        <f t="shared" si="16"/>
        <v>1130</v>
      </c>
      <c r="I217" s="914"/>
    </row>
    <row r="218" spans="1:9" s="324" customFormat="1" ht="12.75" x14ac:dyDescent="0.2">
      <c r="A218" s="1013"/>
      <c r="B218" s="244" t="s">
        <v>1711</v>
      </c>
      <c r="C218" s="62" t="s">
        <v>632</v>
      </c>
      <c r="D218" s="19" t="s">
        <v>405</v>
      </c>
      <c r="E218" s="194">
        <v>1.5</v>
      </c>
      <c r="F218" s="320">
        <f>VLOOKUP(B218,'BASE DE DATOS'!$A$5:$E$997,5,FALSE)</f>
        <v>10991</v>
      </c>
      <c r="G218" s="681">
        <v>0</v>
      </c>
      <c r="H218" s="252">
        <f>IF(G218&gt;0,(G218*F218*E218),(F218*E218))</f>
        <v>16486.5</v>
      </c>
      <c r="I218" s="914"/>
    </row>
    <row r="219" spans="1:9" s="324" customFormat="1" ht="14.25" x14ac:dyDescent="0.2">
      <c r="A219" s="1013"/>
      <c r="B219" s="244" t="s">
        <v>1598</v>
      </c>
      <c r="C219" s="62" t="s">
        <v>622</v>
      </c>
      <c r="D219" s="19" t="s">
        <v>285</v>
      </c>
      <c r="E219" s="194">
        <v>1</v>
      </c>
      <c r="F219" s="320">
        <f>VLOOKUP(B219,'BASE DE DATOS'!$A$5:$E$997,5,FALSE)</f>
        <v>93750</v>
      </c>
      <c r="G219" s="681">
        <v>1.3</v>
      </c>
      <c r="H219" s="252">
        <f>IF(G219&gt;0,(G219*F219*E219),(F219*E219))</f>
        <v>121875</v>
      </c>
      <c r="I219" s="914"/>
    </row>
    <row r="220" spans="1:9" s="324" customFormat="1" ht="14.25" x14ac:dyDescent="0.2">
      <c r="A220" s="1055" t="s">
        <v>3252</v>
      </c>
      <c r="B220" s="244" t="s">
        <v>1118</v>
      </c>
      <c r="C220" s="62" t="s">
        <v>134</v>
      </c>
      <c r="D220" s="19" t="s">
        <v>285</v>
      </c>
      <c r="E220" s="194">
        <v>1</v>
      </c>
      <c r="F220" s="320">
        <f>F162</f>
        <v>20811</v>
      </c>
      <c r="G220" s="681">
        <v>0</v>
      </c>
      <c r="H220" s="252">
        <f t="shared" si="16"/>
        <v>20811</v>
      </c>
      <c r="I220" s="914"/>
    </row>
    <row r="221" spans="1:9" s="324" customFormat="1" ht="14.25" x14ac:dyDescent="0.2">
      <c r="A221" s="1055"/>
      <c r="B221" s="374" t="s">
        <v>711</v>
      </c>
      <c r="C221" s="62" t="s">
        <v>140</v>
      </c>
      <c r="D221" s="19" t="s">
        <v>285</v>
      </c>
      <c r="E221" s="194">
        <v>1.3</v>
      </c>
      <c r="F221" s="320">
        <f>CONSTRUCCION!F199</f>
        <v>5046</v>
      </c>
      <c r="G221" s="681">
        <v>0</v>
      </c>
      <c r="H221" s="252">
        <f t="shared" si="16"/>
        <v>6559.8</v>
      </c>
      <c r="I221" s="914"/>
    </row>
    <row r="222" spans="1:9" s="324" customFormat="1" ht="12.75" x14ac:dyDescent="0.2">
      <c r="A222" s="508" t="s">
        <v>2555</v>
      </c>
      <c r="B222" s="244" t="s">
        <v>644</v>
      </c>
      <c r="C222" s="62" t="s">
        <v>645</v>
      </c>
      <c r="D222" s="19" t="s">
        <v>585</v>
      </c>
      <c r="E222" s="194">
        <v>1</v>
      </c>
      <c r="F222" s="320">
        <f>VLOOKUP(B222,'BASE DE DATOS'!$A$5:$E$997,5,FALSE)</f>
        <v>248302</v>
      </c>
      <c r="G222" s="681">
        <f>1/320</f>
        <v>3.1250000000000002E-3</v>
      </c>
      <c r="H222" s="252">
        <f t="shared" si="16"/>
        <v>775.94375000000002</v>
      </c>
      <c r="I222" s="914"/>
    </row>
    <row r="223" spans="1:9" s="324" customFormat="1" ht="12.75" x14ac:dyDescent="0.2">
      <c r="A223" s="1056" t="s">
        <v>293</v>
      </c>
      <c r="B223" s="244" t="s">
        <v>615</v>
      </c>
      <c r="C223" s="62" t="s">
        <v>1974</v>
      </c>
      <c r="D223" s="19" t="s">
        <v>614</v>
      </c>
      <c r="E223" s="194">
        <v>1</v>
      </c>
      <c r="F223" s="320">
        <f>VLOOKUP(B223,'BASE DE DATOS'!$A$5:$E$997,5,FALSE)</f>
        <v>238000</v>
      </c>
      <c r="G223" s="681">
        <v>2.5000000000000001E-2</v>
      </c>
      <c r="H223" s="252">
        <f t="shared" si="16"/>
        <v>5950</v>
      </c>
      <c r="I223" s="914"/>
    </row>
    <row r="224" spans="1:9" s="324" customFormat="1" ht="12.75" x14ac:dyDescent="0.2">
      <c r="A224" s="1056"/>
      <c r="B224" s="244" t="s">
        <v>626</v>
      </c>
      <c r="C224" s="62" t="s">
        <v>2183</v>
      </c>
      <c r="D224" s="19" t="s">
        <v>614</v>
      </c>
      <c r="E224" s="194">
        <v>1</v>
      </c>
      <c r="F224" s="320">
        <f>VLOOKUP(B224,'BASE DE DATOS'!$A$5:$E$997,5,FALSE)</f>
        <v>104125</v>
      </c>
      <c r="G224" s="681">
        <f>1/40</f>
        <v>2.5000000000000001E-2</v>
      </c>
      <c r="H224" s="252">
        <f>IF(G224&gt;0,(G224*F224*E224),(F224*E224))</f>
        <v>2603.125</v>
      </c>
      <c r="I224" s="914"/>
    </row>
    <row r="225" spans="1:9" s="324" customFormat="1" ht="12.75" x14ac:dyDescent="0.2">
      <c r="A225" s="1056"/>
      <c r="B225" s="244" t="s">
        <v>623</v>
      </c>
      <c r="C225" s="62" t="s">
        <v>383</v>
      </c>
      <c r="D225" s="19" t="s">
        <v>614</v>
      </c>
      <c r="E225" s="194">
        <v>1</v>
      </c>
      <c r="F225" s="320">
        <f>VLOOKUP(B225,'BASE DE DATOS'!$A$5:$E$997,5,FALSE)</f>
        <v>165410</v>
      </c>
      <c r="G225" s="681">
        <v>2.5000000000000001E-2</v>
      </c>
      <c r="H225" s="252">
        <f t="shared" si="16"/>
        <v>4135.25</v>
      </c>
      <c r="I225" s="914"/>
    </row>
    <row r="226" spans="1:9" s="324" customFormat="1" ht="12.75" x14ac:dyDescent="0.2">
      <c r="A226" s="1056"/>
      <c r="B226" s="244" t="s">
        <v>269</v>
      </c>
      <c r="C226" s="474" t="s">
        <v>284</v>
      </c>
      <c r="D226" s="215" t="s">
        <v>586</v>
      </c>
      <c r="E226" s="194">
        <v>0.05</v>
      </c>
      <c r="F226" s="320">
        <f>+H222</f>
        <v>775.94375000000002</v>
      </c>
      <c r="G226" s="684">
        <v>0</v>
      </c>
      <c r="H226" s="252">
        <f>IF(G226&gt;0,(G226*F226*E226),(F226*E226))</f>
        <v>38.797187500000007</v>
      </c>
      <c r="I226" s="914"/>
    </row>
    <row r="227" spans="1:9" s="324" customFormat="1" ht="26.25" thickBot="1" x14ac:dyDescent="0.25">
      <c r="A227" s="1057"/>
      <c r="B227" s="543" t="s">
        <v>624</v>
      </c>
      <c r="C227" s="75" t="s">
        <v>2184</v>
      </c>
      <c r="D227" s="49" t="s">
        <v>614</v>
      </c>
      <c r="E227" s="195">
        <v>1</v>
      </c>
      <c r="F227" s="355">
        <f>VLOOKUP(B227,'BASE DE DATOS'!$A$5:$E$997,5,FALSE)</f>
        <v>200000</v>
      </c>
      <c r="G227" s="682">
        <f>1/40</f>
        <v>2.5000000000000001E-2</v>
      </c>
      <c r="H227" s="255">
        <f t="shared" si="16"/>
        <v>5000</v>
      </c>
      <c r="I227" s="914"/>
    </row>
    <row r="228" spans="1:9" s="41" customFormat="1" ht="17.25" x14ac:dyDescent="0.2">
      <c r="A228" s="67" t="s">
        <v>3258</v>
      </c>
      <c r="B228" s="526"/>
      <c r="C228" s="325" t="s">
        <v>117</v>
      </c>
      <c r="D228" s="326" t="s">
        <v>3225</v>
      </c>
      <c r="E228" s="414"/>
      <c r="F228" s="357">
        <f>ROUND(SUM(H228:H236),0)</f>
        <v>191705</v>
      </c>
      <c r="G228" s="683"/>
      <c r="H228" s="330"/>
      <c r="I228" s="914"/>
    </row>
    <row r="229" spans="1:9" s="324" customFormat="1" ht="14.25" x14ac:dyDescent="0.2">
      <c r="A229" s="936" t="s">
        <v>382</v>
      </c>
      <c r="B229" s="545" t="s">
        <v>1409</v>
      </c>
      <c r="C229" s="76" t="s">
        <v>42</v>
      </c>
      <c r="D229" s="19" t="s">
        <v>288</v>
      </c>
      <c r="E229" s="194">
        <v>5.25</v>
      </c>
      <c r="F229" s="320">
        <f>VLOOKUP(B229,'BASE DE DATOS'!$A$5:$E$997,5,FALSE)</f>
        <v>9416</v>
      </c>
      <c r="G229" s="681">
        <v>1.05</v>
      </c>
      <c r="H229" s="252">
        <f t="shared" si="16"/>
        <v>51905.700000000004</v>
      </c>
      <c r="I229" s="914"/>
    </row>
    <row r="230" spans="1:9" s="324" customFormat="1" ht="14.25" x14ac:dyDescent="0.2">
      <c r="A230" s="936"/>
      <c r="B230" s="244" t="s">
        <v>1598</v>
      </c>
      <c r="C230" s="62" t="s">
        <v>622</v>
      </c>
      <c r="D230" s="19" t="s">
        <v>285</v>
      </c>
      <c r="E230" s="194">
        <v>1</v>
      </c>
      <c r="F230" s="320">
        <f>VLOOKUP(B230,'BASE DE DATOS'!$A$5:$E$997,5,FALSE)</f>
        <v>93750</v>
      </c>
      <c r="G230" s="681">
        <v>1.3</v>
      </c>
      <c r="H230" s="252">
        <f t="shared" si="16"/>
        <v>121875</v>
      </c>
      <c r="I230" s="914"/>
    </row>
    <row r="231" spans="1:9" s="324" customFormat="1" ht="12.75" x14ac:dyDescent="0.2">
      <c r="A231" s="508" t="s">
        <v>2555</v>
      </c>
      <c r="B231" s="545" t="s">
        <v>607</v>
      </c>
      <c r="C231" s="76" t="s">
        <v>608</v>
      </c>
      <c r="D231" s="59" t="s">
        <v>585</v>
      </c>
      <c r="E231" s="194">
        <v>1</v>
      </c>
      <c r="F231" s="320">
        <f>VLOOKUP(B231,'BASE DE DATOS'!$A$5:$E$997,5,FALSE)</f>
        <v>336981</v>
      </c>
      <c r="G231" s="681">
        <f>1/150</f>
        <v>6.6666666666666671E-3</v>
      </c>
      <c r="H231" s="252">
        <f t="shared" si="16"/>
        <v>2246.54</v>
      </c>
      <c r="I231" s="914"/>
    </row>
    <row r="232" spans="1:9" s="324" customFormat="1" ht="12.75" x14ac:dyDescent="0.2">
      <c r="A232" s="954" t="s">
        <v>293</v>
      </c>
      <c r="B232" s="244" t="s">
        <v>615</v>
      </c>
      <c r="C232" s="62" t="s">
        <v>1974</v>
      </c>
      <c r="D232" s="19" t="s">
        <v>614</v>
      </c>
      <c r="E232" s="194">
        <v>1</v>
      </c>
      <c r="F232" s="320">
        <f>VLOOKUP(B232,'BASE DE DATOS'!$A$5:$E$997,5,FALSE)</f>
        <v>238000</v>
      </c>
      <c r="G232" s="688">
        <v>2.1999999999999999E-2</v>
      </c>
      <c r="H232" s="252">
        <f t="shared" si="16"/>
        <v>5236</v>
      </c>
      <c r="I232" s="914"/>
    </row>
    <row r="233" spans="1:9" s="324" customFormat="1" ht="12.75" x14ac:dyDescent="0.2">
      <c r="A233" s="954"/>
      <c r="B233" s="244" t="s">
        <v>626</v>
      </c>
      <c r="C233" s="62" t="s">
        <v>2556</v>
      </c>
      <c r="D233" s="19" t="s">
        <v>614</v>
      </c>
      <c r="E233" s="194">
        <v>1</v>
      </c>
      <c r="F233" s="320">
        <f>VLOOKUP(B233,'BASE DE DATOS'!$A$5:$E$997,5,FALSE)</f>
        <v>104125</v>
      </c>
      <c r="G233" s="688">
        <v>2.1999999999999999E-2</v>
      </c>
      <c r="H233" s="252">
        <f>IF(G233&gt;0,(G233*F233*E233),(F233*E233))</f>
        <v>2290.75</v>
      </c>
      <c r="I233" s="914"/>
    </row>
    <row r="234" spans="1:9" s="324" customFormat="1" ht="12.75" x14ac:dyDescent="0.2">
      <c r="A234" s="954"/>
      <c r="B234" s="244" t="s">
        <v>623</v>
      </c>
      <c r="C234" s="62" t="s">
        <v>383</v>
      </c>
      <c r="D234" s="19" t="s">
        <v>614</v>
      </c>
      <c r="E234" s="194">
        <v>1</v>
      </c>
      <c r="F234" s="320">
        <f>VLOOKUP(B234,'BASE DE DATOS'!$A$5:$E$997,5,FALSE)</f>
        <v>165410</v>
      </c>
      <c r="G234" s="688">
        <v>2.1999999999999999E-2</v>
      </c>
      <c r="H234" s="252">
        <f t="shared" si="16"/>
        <v>3639.02</v>
      </c>
      <c r="I234" s="914"/>
    </row>
    <row r="235" spans="1:9" s="324" customFormat="1" ht="12.75" x14ac:dyDescent="0.2">
      <c r="A235" s="954"/>
      <c r="B235" s="244" t="s">
        <v>269</v>
      </c>
      <c r="C235" s="474" t="s">
        <v>284</v>
      </c>
      <c r="D235" s="215" t="s">
        <v>586</v>
      </c>
      <c r="E235" s="194">
        <v>0.05</v>
      </c>
      <c r="F235" s="320">
        <f>+H231</f>
        <v>2246.54</v>
      </c>
      <c r="G235" s="684">
        <v>0</v>
      </c>
      <c r="H235" s="252">
        <f t="shared" ref="H235" si="18">IF(G235&gt;0,(G235*F235*E235),(F235*E235))</f>
        <v>112.327</v>
      </c>
      <c r="I235" s="914"/>
    </row>
    <row r="236" spans="1:9" s="324" customFormat="1" ht="26.25" thickBot="1" x14ac:dyDescent="0.25">
      <c r="A236" s="955"/>
      <c r="B236" s="543" t="s">
        <v>624</v>
      </c>
      <c r="C236" s="75" t="s">
        <v>2185</v>
      </c>
      <c r="D236" s="49" t="s">
        <v>614</v>
      </c>
      <c r="E236" s="195">
        <v>1</v>
      </c>
      <c r="F236" s="355">
        <f>VLOOKUP(B236,'BASE DE DATOS'!$A$5:$E$997,5,FALSE)</f>
        <v>200000</v>
      </c>
      <c r="G236" s="690">
        <v>2.1999999999999999E-2</v>
      </c>
      <c r="H236" s="255">
        <f t="shared" si="16"/>
        <v>4400</v>
      </c>
      <c r="I236" s="914"/>
    </row>
    <row r="237" spans="1:9" s="41" customFormat="1" ht="17.25" x14ac:dyDescent="0.2">
      <c r="A237" s="67" t="s">
        <v>3793</v>
      </c>
      <c r="B237" s="539"/>
      <c r="C237" s="332" t="s">
        <v>2186</v>
      </c>
      <c r="D237" s="333" t="s">
        <v>3261</v>
      </c>
      <c r="E237" s="414"/>
      <c r="F237" s="357">
        <f>ROUND(SUM(H237:H245),0)</f>
        <v>40361</v>
      </c>
      <c r="G237" s="683"/>
      <c r="H237" s="340"/>
      <c r="I237" s="914"/>
    </row>
    <row r="238" spans="1:9" s="324" customFormat="1" ht="12.75" x14ac:dyDescent="0.2">
      <c r="A238" s="936" t="s">
        <v>382</v>
      </c>
      <c r="B238" s="244" t="s">
        <v>1279</v>
      </c>
      <c r="C238" s="62" t="s">
        <v>349</v>
      </c>
      <c r="D238" s="19" t="s">
        <v>617</v>
      </c>
      <c r="E238" s="198">
        <v>5</v>
      </c>
      <c r="F238" s="320">
        <f>VLOOKUP(B238,'BASE DE DATOS'!$A$5:$E$997,5,FALSE)</f>
        <v>19</v>
      </c>
      <c r="G238" s="681">
        <v>1</v>
      </c>
      <c r="H238" s="252">
        <f>IF(G238&gt;0,(G238*F238*E238),(F238*E238))</f>
        <v>95</v>
      </c>
      <c r="I238" s="914"/>
    </row>
    <row r="239" spans="1:9" s="324" customFormat="1" ht="12.75" x14ac:dyDescent="0.2">
      <c r="A239" s="936"/>
      <c r="B239" s="244" t="s">
        <v>1783</v>
      </c>
      <c r="C239" s="62" t="s">
        <v>3839</v>
      </c>
      <c r="D239" s="19" t="s">
        <v>411</v>
      </c>
      <c r="E239" s="198">
        <v>2.86</v>
      </c>
      <c r="F239" s="320">
        <f>VLOOKUP(B239,'BASE DE DATOS'!$A$5:$E$997,5,FALSE)</f>
        <v>4300</v>
      </c>
      <c r="G239" s="681">
        <v>0</v>
      </c>
      <c r="H239" s="252">
        <f t="shared" ref="H239:H245" si="19">IF(G239&gt;0,(G239*F239*E239),(F239*E239))</f>
        <v>12298</v>
      </c>
      <c r="I239" s="914"/>
    </row>
    <row r="240" spans="1:9" s="324" customFormat="1" ht="12.75" x14ac:dyDescent="0.2">
      <c r="A240" s="936"/>
      <c r="B240" s="244" t="s">
        <v>1382</v>
      </c>
      <c r="C240" s="62" t="s">
        <v>636</v>
      </c>
      <c r="D240" s="19" t="s">
        <v>411</v>
      </c>
      <c r="E240" s="198">
        <v>3</v>
      </c>
      <c r="F240" s="320">
        <f>VLOOKUP(B240,'BASE DE DATOS'!$A$5:$E$997,5,FALSE)</f>
        <v>4900</v>
      </c>
      <c r="G240" s="681">
        <v>0</v>
      </c>
      <c r="H240" s="252">
        <f t="shared" si="19"/>
        <v>14700</v>
      </c>
      <c r="I240" s="914"/>
    </row>
    <row r="241" spans="1:9" s="324" customFormat="1" ht="12.75" x14ac:dyDescent="0.2">
      <c r="A241" s="936"/>
      <c r="B241" s="244" t="s">
        <v>2557</v>
      </c>
      <c r="C241" s="62" t="s">
        <v>255</v>
      </c>
      <c r="D241" s="19" t="s">
        <v>590</v>
      </c>
      <c r="E241" s="198">
        <v>0.04</v>
      </c>
      <c r="F241" s="320">
        <f>VLOOKUP(B241,'BASE DE DATOS'!$A$5:$E$997,5,FALSE)</f>
        <v>32400</v>
      </c>
      <c r="G241" s="681">
        <v>0</v>
      </c>
      <c r="H241" s="252">
        <f t="shared" si="19"/>
        <v>1296</v>
      </c>
      <c r="I241" s="914"/>
    </row>
    <row r="242" spans="1:9" s="102" customFormat="1" ht="14.25" x14ac:dyDescent="0.2">
      <c r="A242" s="936"/>
      <c r="B242" s="244" t="s">
        <v>1598</v>
      </c>
      <c r="C242" s="62" t="s">
        <v>622</v>
      </c>
      <c r="D242" s="19" t="s">
        <v>285</v>
      </c>
      <c r="E242" s="198">
        <v>0.1</v>
      </c>
      <c r="F242" s="320">
        <f>VLOOKUP(B242,'BASE DE DATOS'!$A$5:$E$997,5,FALSE)</f>
        <v>93750</v>
      </c>
      <c r="G242" s="681">
        <v>1.05</v>
      </c>
      <c r="H242" s="252">
        <f>IF(G242&gt;0,(G242*F242*E242),(F242*E242))</f>
        <v>9843.75</v>
      </c>
      <c r="I242" s="917"/>
    </row>
    <row r="243" spans="1:9" s="324" customFormat="1" ht="12.75" x14ac:dyDescent="0.2">
      <c r="A243" s="979" t="s">
        <v>2555</v>
      </c>
      <c r="B243" s="244" t="s">
        <v>583</v>
      </c>
      <c r="C243" s="62" t="s">
        <v>584</v>
      </c>
      <c r="D243" s="19" t="s">
        <v>585</v>
      </c>
      <c r="E243" s="198">
        <v>1</v>
      </c>
      <c r="F243" s="320">
        <f>VLOOKUP(B243,'BASE DE DATOS'!$A$5:$E$997,5,FALSE)</f>
        <v>88679</v>
      </c>
      <c r="G243" s="681">
        <f>1/100*2</f>
        <v>0.02</v>
      </c>
      <c r="H243" s="252">
        <f t="shared" si="19"/>
        <v>1773.58</v>
      </c>
      <c r="I243" s="914"/>
    </row>
    <row r="244" spans="1:9" s="324" customFormat="1" ht="12.75" x14ac:dyDescent="0.2">
      <c r="A244" s="979"/>
      <c r="B244" s="244" t="s">
        <v>266</v>
      </c>
      <c r="C244" s="62" t="s">
        <v>3821</v>
      </c>
      <c r="D244" s="19" t="s">
        <v>268</v>
      </c>
      <c r="E244" s="198">
        <v>0.1</v>
      </c>
      <c r="F244" s="320">
        <f>+H243</f>
        <v>1773.58</v>
      </c>
      <c r="G244" s="681">
        <v>0</v>
      </c>
      <c r="H244" s="252">
        <f t="shared" si="19"/>
        <v>177.358</v>
      </c>
      <c r="I244" s="914"/>
    </row>
    <row r="245" spans="1:9" s="324" customFormat="1" ht="13.5" thickBot="1" x14ac:dyDescent="0.25">
      <c r="A245" s="504" t="s">
        <v>293</v>
      </c>
      <c r="B245" s="543" t="s">
        <v>269</v>
      </c>
      <c r="C245" s="169" t="s">
        <v>284</v>
      </c>
      <c r="D245" s="112" t="s">
        <v>586</v>
      </c>
      <c r="E245" s="206">
        <v>0.1</v>
      </c>
      <c r="F245" s="321">
        <f>+H243</f>
        <v>1773.58</v>
      </c>
      <c r="G245" s="686">
        <v>0</v>
      </c>
      <c r="H245" s="255">
        <f t="shared" si="19"/>
        <v>177.358</v>
      </c>
      <c r="I245" s="914"/>
    </row>
    <row r="246" spans="1:9" s="339" customFormat="1" ht="30" x14ac:dyDescent="0.2">
      <c r="A246" s="67" t="s">
        <v>3929</v>
      </c>
      <c r="B246" s="541"/>
      <c r="C246" s="332" t="s">
        <v>2187</v>
      </c>
      <c r="D246" s="333" t="s">
        <v>3261</v>
      </c>
      <c r="E246" s="426"/>
      <c r="F246" s="328">
        <f>ROUND(SUM(H246:H253),0)</f>
        <v>82733</v>
      </c>
      <c r="G246" s="683"/>
      <c r="H246" s="340"/>
      <c r="I246" s="917"/>
    </row>
    <row r="247" spans="1:9" s="324" customFormat="1" ht="27" x14ac:dyDescent="0.2">
      <c r="A247" s="502" t="s">
        <v>382</v>
      </c>
      <c r="B247" s="244" t="s">
        <v>1762</v>
      </c>
      <c r="C247" s="62" t="s">
        <v>3902</v>
      </c>
      <c r="D247" s="19" t="s">
        <v>406</v>
      </c>
      <c r="E247" s="198">
        <v>2.1</v>
      </c>
      <c r="F247" s="320">
        <f>VLOOKUP(B247,'BASE DE DATOS'!$A$5:$E$997,5,FALSE)</f>
        <v>6547.8199052132695</v>
      </c>
      <c r="G247" s="681">
        <v>1</v>
      </c>
      <c r="H247" s="252">
        <f t="shared" ref="H247:H253" si="20">IF(G247&gt;0,(G247*F247*E247),(F247*E247))</f>
        <v>13750.421800947866</v>
      </c>
      <c r="I247" s="914"/>
    </row>
    <row r="248" spans="1:9" s="324" customFormat="1" ht="14.25" x14ac:dyDescent="0.2">
      <c r="A248" s="946" t="s">
        <v>3252</v>
      </c>
      <c r="B248" s="244" t="s">
        <v>810</v>
      </c>
      <c r="C248" s="62" t="s">
        <v>2146</v>
      </c>
      <c r="D248" s="19" t="s">
        <v>285</v>
      </c>
      <c r="E248" s="198">
        <v>0.1</v>
      </c>
      <c r="F248" s="320">
        <f>CONSTRUCCION!F90</f>
        <v>525897</v>
      </c>
      <c r="G248" s="681">
        <v>1.05</v>
      </c>
      <c r="H248" s="252">
        <f t="shared" si="20"/>
        <v>55219.184999999998</v>
      </c>
      <c r="I248" s="914"/>
    </row>
    <row r="249" spans="1:9" s="324" customFormat="1" ht="12.75" x14ac:dyDescent="0.2">
      <c r="A249" s="946"/>
      <c r="B249" s="244" t="s">
        <v>814</v>
      </c>
      <c r="C249" s="62" t="s">
        <v>2149</v>
      </c>
      <c r="D249" s="19" t="s">
        <v>406</v>
      </c>
      <c r="E249" s="198">
        <v>1.1000000000000001</v>
      </c>
      <c r="F249" s="320">
        <f>CONSTRUCCION!F118</f>
        <v>7440</v>
      </c>
      <c r="G249" s="681">
        <v>1</v>
      </c>
      <c r="H249" s="252">
        <f t="shared" si="20"/>
        <v>8184.0000000000009</v>
      </c>
      <c r="I249" s="914"/>
    </row>
    <row r="250" spans="1:9" s="324" customFormat="1" ht="12.75" x14ac:dyDescent="0.2">
      <c r="A250" s="508" t="s">
        <v>2555</v>
      </c>
      <c r="B250" s="244" t="s">
        <v>605</v>
      </c>
      <c r="C250" s="62" t="s">
        <v>606</v>
      </c>
      <c r="D250" s="19" t="s">
        <v>585</v>
      </c>
      <c r="E250" s="198">
        <v>1</v>
      </c>
      <c r="F250" s="320">
        <f>VLOOKUP(B250,'BASE DE DATOS'!$A$5:$E$997,5,FALSE)</f>
        <v>673962</v>
      </c>
      <c r="G250" s="681">
        <f>1/150</f>
        <v>6.6666666666666671E-3</v>
      </c>
      <c r="H250" s="252">
        <f t="shared" si="20"/>
        <v>4493.08</v>
      </c>
      <c r="I250" s="914"/>
    </row>
    <row r="251" spans="1:9" s="324" customFormat="1" ht="25.5" x14ac:dyDescent="0.2">
      <c r="A251" s="937" t="s">
        <v>293</v>
      </c>
      <c r="B251" s="244" t="s">
        <v>649</v>
      </c>
      <c r="C251" s="62" t="s">
        <v>2165</v>
      </c>
      <c r="D251" s="19" t="s">
        <v>585</v>
      </c>
      <c r="E251" s="198">
        <v>1</v>
      </c>
      <c r="F251" s="320">
        <f>VLOOKUP(B251,'BASE DE DATOS'!$A$5:$E$997,5,FALSE)</f>
        <v>378333.33333333331</v>
      </c>
      <c r="G251" s="681">
        <f>1/1000</f>
        <v>1E-3</v>
      </c>
      <c r="H251" s="252">
        <f>IF(G251&gt;0,(G251*F251*E251),(F251*E251))</f>
        <v>378.33333333333331</v>
      </c>
      <c r="I251" s="914"/>
    </row>
    <row r="252" spans="1:9" s="324" customFormat="1" ht="12.75" x14ac:dyDescent="0.2">
      <c r="A252" s="937"/>
      <c r="B252" s="244" t="s">
        <v>340</v>
      </c>
      <c r="C252" s="62" t="s">
        <v>259</v>
      </c>
      <c r="D252" s="19" t="s">
        <v>410</v>
      </c>
      <c r="E252" s="198">
        <v>1</v>
      </c>
      <c r="F252" s="320">
        <f>VLOOKUP(B252,'BASE DE DATOS'!$A$5:$E$997,5,FALSE)</f>
        <v>48300</v>
      </c>
      <c r="G252" s="681">
        <f>1/100</f>
        <v>0.01</v>
      </c>
      <c r="H252" s="252">
        <f t="shared" si="20"/>
        <v>483</v>
      </c>
      <c r="I252" s="914"/>
    </row>
    <row r="253" spans="1:9" s="324" customFormat="1" ht="13.5" thickBot="1" x14ac:dyDescent="0.25">
      <c r="A253" s="938"/>
      <c r="B253" s="543" t="s">
        <v>269</v>
      </c>
      <c r="C253" s="169" t="s">
        <v>284</v>
      </c>
      <c r="D253" s="112" t="s">
        <v>586</v>
      </c>
      <c r="E253" s="206">
        <v>0.05</v>
      </c>
      <c r="F253" s="321">
        <f>+H250</f>
        <v>4493.08</v>
      </c>
      <c r="G253" s="686">
        <v>0</v>
      </c>
      <c r="H253" s="255">
        <f t="shared" si="20"/>
        <v>224.654</v>
      </c>
      <c r="I253" s="914"/>
    </row>
    <row r="254" spans="1:9" s="41" customFormat="1" ht="17.25" x14ac:dyDescent="0.2">
      <c r="A254" s="67" t="s">
        <v>1107</v>
      </c>
      <c r="B254" s="550"/>
      <c r="C254" s="325" t="s">
        <v>469</v>
      </c>
      <c r="D254" s="326" t="s">
        <v>3251</v>
      </c>
      <c r="E254" s="679"/>
      <c r="F254" s="328">
        <f>ROUND(SUM(H254:H256),0)</f>
        <v>7258</v>
      </c>
      <c r="G254" s="683"/>
      <c r="H254" s="330"/>
      <c r="I254" s="914"/>
    </row>
    <row r="255" spans="1:9" s="102" customFormat="1" ht="14.25" x14ac:dyDescent="0.2">
      <c r="A255" s="502" t="s">
        <v>382</v>
      </c>
      <c r="B255" s="244" t="s">
        <v>1410</v>
      </c>
      <c r="C255" s="62" t="s">
        <v>634</v>
      </c>
      <c r="D255" s="19" t="s">
        <v>288</v>
      </c>
      <c r="E255" s="194">
        <v>1</v>
      </c>
      <c r="F255" s="320">
        <f>VLOOKUP(B255,'BASE DE DATOS'!$A$5:$E$997,5,FALSE)</f>
        <v>2971</v>
      </c>
      <c r="G255" s="681">
        <v>1.05</v>
      </c>
      <c r="H255" s="252">
        <f t="shared" ref="H255:H260" si="21">IF(G255&gt;0,(G255*F255*E255),(F255*E255))</f>
        <v>3119.55</v>
      </c>
      <c r="I255" s="917"/>
    </row>
    <row r="256" spans="1:9" s="324" customFormat="1" ht="13.5" thickBot="1" x14ac:dyDescent="0.25">
      <c r="A256" s="512" t="s">
        <v>2555</v>
      </c>
      <c r="B256" s="543" t="s">
        <v>331</v>
      </c>
      <c r="C256" s="169" t="s">
        <v>332</v>
      </c>
      <c r="D256" s="112" t="s">
        <v>585</v>
      </c>
      <c r="E256" s="201">
        <v>1</v>
      </c>
      <c r="F256" s="320">
        <f>VLOOKUP(B256,'BASE DE DATOS'!$A$5:$E$997,5,FALSE)</f>
        <v>124151</v>
      </c>
      <c r="G256" s="686">
        <f>1/30</f>
        <v>3.3333333333333333E-2</v>
      </c>
      <c r="H256" s="255">
        <f t="shared" si="21"/>
        <v>4138.3666666666668</v>
      </c>
      <c r="I256" s="914"/>
    </row>
    <row r="257" spans="1:9" s="339" customFormat="1" ht="62.25" x14ac:dyDescent="0.2">
      <c r="A257" s="67" t="s">
        <v>3930</v>
      </c>
      <c r="B257" s="541"/>
      <c r="C257" s="332" t="s">
        <v>3260</v>
      </c>
      <c r="D257" s="333" t="s">
        <v>3259</v>
      </c>
      <c r="E257" s="426"/>
      <c r="F257" s="328">
        <f>ROUND(SUM(H257:H260),0)</f>
        <v>33432</v>
      </c>
      <c r="G257" s="683"/>
      <c r="H257" s="340"/>
      <c r="I257" s="917">
        <v>17</v>
      </c>
    </row>
    <row r="258" spans="1:9" s="38" customFormat="1" ht="12.75" x14ac:dyDescent="0.2">
      <c r="A258" s="947" t="s">
        <v>3674</v>
      </c>
      <c r="B258" s="241" t="s">
        <v>587</v>
      </c>
      <c r="C258" s="3" t="s">
        <v>588</v>
      </c>
      <c r="D258" s="2" t="s">
        <v>585</v>
      </c>
      <c r="E258" s="114">
        <v>1</v>
      </c>
      <c r="F258" s="23">
        <f>VLOOKUP(B258,'BASE DE DATOS'!$A$5:$E$997,5,FALSE)</f>
        <v>514339</v>
      </c>
      <c r="G258" s="104">
        <f>1/20</f>
        <v>0.05</v>
      </c>
      <c r="H258" s="252">
        <f t="shared" si="21"/>
        <v>25716.95</v>
      </c>
      <c r="I258" s="913"/>
    </row>
    <row r="259" spans="1:9" s="38" customFormat="1" ht="12.75" x14ac:dyDescent="0.2">
      <c r="A259" s="947"/>
      <c r="B259" s="241" t="s">
        <v>266</v>
      </c>
      <c r="C259" s="3" t="s">
        <v>283</v>
      </c>
      <c r="D259" s="2" t="s">
        <v>586</v>
      </c>
      <c r="E259" s="114">
        <v>0.1</v>
      </c>
      <c r="F259" s="23">
        <f>+H258</f>
        <v>25716.95</v>
      </c>
      <c r="G259" s="104">
        <v>0</v>
      </c>
      <c r="H259" s="252">
        <f t="shared" si="21"/>
        <v>2571.6950000000002</v>
      </c>
      <c r="I259" s="913"/>
    </row>
    <row r="260" spans="1:9" s="38" customFormat="1" ht="13.5" thickBot="1" x14ac:dyDescent="0.25">
      <c r="A260" s="506" t="s">
        <v>293</v>
      </c>
      <c r="B260" s="241" t="s">
        <v>269</v>
      </c>
      <c r="C260" s="3" t="s">
        <v>284</v>
      </c>
      <c r="D260" s="2" t="s">
        <v>586</v>
      </c>
      <c r="E260" s="114">
        <v>0.2</v>
      </c>
      <c r="F260" s="23">
        <f>H258</f>
        <v>25716.95</v>
      </c>
      <c r="G260" s="104">
        <v>0</v>
      </c>
      <c r="H260" s="252">
        <f t="shared" si="21"/>
        <v>5143.3900000000003</v>
      </c>
      <c r="I260" s="913"/>
    </row>
    <row r="261" spans="1:9" s="41" customFormat="1" ht="15.75" thickBot="1" x14ac:dyDescent="0.25">
      <c r="A261" s="1059" t="s">
        <v>2210</v>
      </c>
      <c r="B261" s="1060"/>
      <c r="C261" s="1060"/>
      <c r="D261" s="1060"/>
      <c r="E261" s="1060"/>
      <c r="F261" s="1060"/>
      <c r="G261" s="1060"/>
      <c r="H261" s="1061"/>
      <c r="I261" s="914"/>
    </row>
    <row r="262" spans="1:9" s="41" customFormat="1" ht="45.75" thickBot="1" x14ac:dyDescent="0.25">
      <c r="A262" s="510" t="s">
        <v>2044</v>
      </c>
      <c r="B262" s="346" t="s">
        <v>265</v>
      </c>
      <c r="C262" s="74" t="s">
        <v>402</v>
      </c>
      <c r="D262" s="347" t="s">
        <v>346</v>
      </c>
      <c r="E262" s="192" t="s">
        <v>2173</v>
      </c>
      <c r="F262" s="162" t="s">
        <v>404</v>
      </c>
      <c r="G262" s="290" t="s">
        <v>281</v>
      </c>
      <c r="H262" s="73" t="s">
        <v>282</v>
      </c>
      <c r="I262" s="914"/>
    </row>
    <row r="263" spans="1:9" s="41" customFormat="1" ht="17.25" x14ac:dyDescent="0.2">
      <c r="A263" s="69" t="s">
        <v>1124</v>
      </c>
      <c r="B263" s="79"/>
      <c r="C263" s="365" t="s">
        <v>3589</v>
      </c>
      <c r="D263" s="366" t="s">
        <v>3225</v>
      </c>
      <c r="E263" s="426"/>
      <c r="F263" s="367">
        <f>ROUND(SUM(H263:H270),0)</f>
        <v>181604</v>
      </c>
      <c r="G263" s="691"/>
      <c r="H263" s="368"/>
      <c r="I263" s="914"/>
    </row>
    <row r="264" spans="1:9" s="324" customFormat="1" ht="12.75" x14ac:dyDescent="0.2">
      <c r="A264" s="936" t="s">
        <v>382</v>
      </c>
      <c r="B264" s="243" t="s">
        <v>1279</v>
      </c>
      <c r="C264" s="62" t="s">
        <v>349</v>
      </c>
      <c r="D264" s="19" t="s">
        <v>617</v>
      </c>
      <c r="E264" s="194">
        <v>24</v>
      </c>
      <c r="F264" s="320">
        <f>VLOOKUP(B264,'BASE DE DATOS'!$A$5:$E$997,5,FALSE)</f>
        <v>19</v>
      </c>
      <c r="G264" s="681">
        <v>1</v>
      </c>
      <c r="H264" s="252">
        <f>IF(G264&gt;0,(G264*F264*E264),(F264*E264))</f>
        <v>456</v>
      </c>
      <c r="I264" s="914"/>
    </row>
    <row r="265" spans="1:9" s="324" customFormat="1" ht="14.25" x14ac:dyDescent="0.2">
      <c r="A265" s="936"/>
      <c r="B265" s="243" t="s">
        <v>1492</v>
      </c>
      <c r="C265" s="62" t="s">
        <v>3727</v>
      </c>
      <c r="D265" s="19" t="s">
        <v>285</v>
      </c>
      <c r="E265" s="194">
        <v>1</v>
      </c>
      <c r="F265" s="320">
        <f>VLOOKUP(B265,'BASE DE DATOS'!$A$5:$E$997,5,FALSE)</f>
        <v>115000</v>
      </c>
      <c r="G265" s="681">
        <v>1.25</v>
      </c>
      <c r="H265" s="252">
        <f t="shared" ref="H265:H270" si="22">IF(G265&gt;0,(G265*F265*E265),(F265*E265))</f>
        <v>143750</v>
      </c>
      <c r="I265" s="914"/>
    </row>
    <row r="266" spans="1:9" s="324" customFormat="1" ht="12.75" x14ac:dyDescent="0.2">
      <c r="A266" s="508" t="s">
        <v>2555</v>
      </c>
      <c r="B266" s="243" t="s">
        <v>607</v>
      </c>
      <c r="C266" s="62" t="s">
        <v>608</v>
      </c>
      <c r="D266" s="19" t="s">
        <v>585</v>
      </c>
      <c r="E266" s="194">
        <v>1</v>
      </c>
      <c r="F266" s="320">
        <f>VLOOKUP(B266,'BASE DE DATOS'!$A$5:$E$997,5,FALSE)</f>
        <v>336981</v>
      </c>
      <c r="G266" s="681">
        <v>0.05</v>
      </c>
      <c r="H266" s="252">
        <f t="shared" si="22"/>
        <v>16849.05</v>
      </c>
      <c r="I266" s="914"/>
    </row>
    <row r="267" spans="1:9" s="324" customFormat="1" ht="12.75" x14ac:dyDescent="0.2">
      <c r="A267" s="988" t="s">
        <v>293</v>
      </c>
      <c r="B267" s="243" t="s">
        <v>626</v>
      </c>
      <c r="C267" s="62" t="s">
        <v>627</v>
      </c>
      <c r="D267" s="19" t="s">
        <v>614</v>
      </c>
      <c r="E267" s="194">
        <v>1</v>
      </c>
      <c r="F267" s="320">
        <f>VLOOKUP(B267,'BASE DE DATOS'!$A$5:$E$997,5,FALSE)</f>
        <v>104125</v>
      </c>
      <c r="G267" s="681">
        <v>0.05</v>
      </c>
      <c r="H267" s="252">
        <f>IF(G267&gt;0,(G267*F267*E267),(F267*E267))</f>
        <v>5206.25</v>
      </c>
      <c r="I267" s="914"/>
    </row>
    <row r="268" spans="1:9" s="324" customFormat="1" ht="12.75" x14ac:dyDescent="0.2">
      <c r="A268" s="988"/>
      <c r="B268" s="243" t="s">
        <v>625</v>
      </c>
      <c r="C268" s="62" t="s">
        <v>385</v>
      </c>
      <c r="D268" s="19" t="s">
        <v>614</v>
      </c>
      <c r="E268" s="194">
        <v>1</v>
      </c>
      <c r="F268" s="320">
        <f>VLOOKUP(B268,'BASE DE DATOS'!$A$5:$E$997,5,FALSE)</f>
        <v>90000</v>
      </c>
      <c r="G268" s="681">
        <v>0.05</v>
      </c>
      <c r="H268" s="252">
        <f>IF(G268&gt;0,(G268*F268*E268),(F268*E268))</f>
        <v>4500</v>
      </c>
      <c r="I268" s="914"/>
    </row>
    <row r="269" spans="1:9" s="324" customFormat="1" ht="12.75" x14ac:dyDescent="0.2">
      <c r="A269" s="988"/>
      <c r="B269" s="243" t="s">
        <v>269</v>
      </c>
      <c r="C269" s="474" t="s">
        <v>284</v>
      </c>
      <c r="D269" s="215" t="s">
        <v>586</v>
      </c>
      <c r="E269" s="198">
        <v>0.05</v>
      </c>
      <c r="F269" s="320">
        <f>+H266</f>
        <v>16849.05</v>
      </c>
      <c r="G269" s="684">
        <v>0</v>
      </c>
      <c r="H269" s="252">
        <f>IF(G269&gt;0,(G269*F269*E269),(F269*E269))</f>
        <v>842.45249999999999</v>
      </c>
      <c r="I269" s="914"/>
    </row>
    <row r="270" spans="1:9" s="324" customFormat="1" ht="13.5" thickBot="1" x14ac:dyDescent="0.25">
      <c r="A270" s="1008"/>
      <c r="B270" s="242" t="s">
        <v>624</v>
      </c>
      <c r="C270" s="75" t="s">
        <v>384</v>
      </c>
      <c r="D270" s="49" t="s">
        <v>614</v>
      </c>
      <c r="E270" s="195">
        <v>1</v>
      </c>
      <c r="F270" s="355">
        <f>VLOOKUP(B270,'BASE DE DATOS'!$A$5:$E$997,5,FALSE)</f>
        <v>200000</v>
      </c>
      <c r="G270" s="682">
        <v>0.05</v>
      </c>
      <c r="H270" s="255">
        <f t="shared" si="22"/>
        <v>10000</v>
      </c>
      <c r="I270" s="914"/>
    </row>
    <row r="271" spans="1:9" s="41" customFormat="1" ht="17.25" x14ac:dyDescent="0.2">
      <c r="A271" s="67" t="s">
        <v>1125</v>
      </c>
      <c r="B271" s="249"/>
      <c r="C271" s="325" t="s">
        <v>3590</v>
      </c>
      <c r="D271" s="326" t="s">
        <v>3225</v>
      </c>
      <c r="E271" s="414"/>
      <c r="F271" s="357">
        <f>ROUND(SUM(H271:H278),0)</f>
        <v>185743</v>
      </c>
      <c r="G271" s="683"/>
      <c r="H271" s="330"/>
      <c r="I271" s="914"/>
    </row>
    <row r="272" spans="1:9" s="324" customFormat="1" ht="12.75" x14ac:dyDescent="0.2">
      <c r="A272" s="936" t="s">
        <v>382</v>
      </c>
      <c r="B272" s="243" t="s">
        <v>1279</v>
      </c>
      <c r="C272" s="62" t="s">
        <v>349</v>
      </c>
      <c r="D272" s="19" t="s">
        <v>617</v>
      </c>
      <c r="E272" s="194">
        <v>24</v>
      </c>
      <c r="F272" s="320">
        <f>VLOOKUP(B272,'BASE DE DATOS'!$A$5:$E$997,5,FALSE)</f>
        <v>19</v>
      </c>
      <c r="G272" s="681">
        <v>1</v>
      </c>
      <c r="H272" s="252">
        <f>IF(G272&gt;0,(G272*F272*E272),(F272*E272))</f>
        <v>456</v>
      </c>
      <c r="I272" s="914"/>
    </row>
    <row r="273" spans="1:9" s="324" customFormat="1" ht="14.25" x14ac:dyDescent="0.2">
      <c r="A273" s="936"/>
      <c r="B273" s="243" t="s">
        <v>1490</v>
      </c>
      <c r="C273" s="62" t="s">
        <v>1906</v>
      </c>
      <c r="D273" s="19" t="s">
        <v>285</v>
      </c>
      <c r="E273" s="194">
        <v>1</v>
      </c>
      <c r="F273" s="320">
        <f>VLOOKUP(B273,'BASE DE DATOS'!$A$5:$E$997,5,FALSE)</f>
        <v>118311</v>
      </c>
      <c r="G273" s="681">
        <v>1.25</v>
      </c>
      <c r="H273" s="252">
        <f t="shared" ref="H273:H278" si="23">IF(G273&gt;0,(G273*F273*E273),(F273*E273))</f>
        <v>147888.75</v>
      </c>
      <c r="I273" s="914"/>
    </row>
    <row r="274" spans="1:9" s="324" customFormat="1" ht="12.75" x14ac:dyDescent="0.2">
      <c r="A274" s="508" t="s">
        <v>2555</v>
      </c>
      <c r="B274" s="243" t="s">
        <v>607</v>
      </c>
      <c r="C274" s="62" t="s">
        <v>608</v>
      </c>
      <c r="D274" s="19" t="s">
        <v>585</v>
      </c>
      <c r="E274" s="194">
        <v>1</v>
      </c>
      <c r="F274" s="320">
        <f>VLOOKUP(B274,'BASE DE DATOS'!$A$5:$E$997,5,FALSE)</f>
        <v>336981</v>
      </c>
      <c r="G274" s="681">
        <v>0.05</v>
      </c>
      <c r="H274" s="252">
        <f t="shared" si="23"/>
        <v>16849.05</v>
      </c>
      <c r="I274" s="914"/>
    </row>
    <row r="275" spans="1:9" s="324" customFormat="1" ht="12.75" x14ac:dyDescent="0.2">
      <c r="A275" s="988" t="s">
        <v>293</v>
      </c>
      <c r="B275" s="243" t="s">
        <v>626</v>
      </c>
      <c r="C275" s="62" t="s">
        <v>627</v>
      </c>
      <c r="D275" s="19" t="s">
        <v>614</v>
      </c>
      <c r="E275" s="194">
        <v>1</v>
      </c>
      <c r="F275" s="320">
        <f>VLOOKUP(B275,'BASE DE DATOS'!$A$5:$E$997,5,FALSE)</f>
        <v>104125</v>
      </c>
      <c r="G275" s="681">
        <v>0.05</v>
      </c>
      <c r="H275" s="252">
        <f>IF(G275&gt;0,(G275*F275*E275),(F275*E275))</f>
        <v>5206.25</v>
      </c>
      <c r="I275" s="914"/>
    </row>
    <row r="276" spans="1:9" s="324" customFormat="1" ht="12.75" x14ac:dyDescent="0.2">
      <c r="A276" s="988"/>
      <c r="B276" s="243" t="s">
        <v>625</v>
      </c>
      <c r="C276" s="62" t="s">
        <v>385</v>
      </c>
      <c r="D276" s="19" t="s">
        <v>614</v>
      </c>
      <c r="E276" s="194">
        <v>1</v>
      </c>
      <c r="F276" s="320">
        <f>VLOOKUP(B276,'BASE DE DATOS'!$A$5:$E$997,5,FALSE)</f>
        <v>90000</v>
      </c>
      <c r="G276" s="681">
        <v>0.05</v>
      </c>
      <c r="H276" s="252">
        <f>IF(G276&gt;0,(G276*F276*E276),(F276*E276))</f>
        <v>4500</v>
      </c>
      <c r="I276" s="914"/>
    </row>
    <row r="277" spans="1:9" s="102" customFormat="1" ht="12.75" x14ac:dyDescent="0.2">
      <c r="A277" s="988"/>
      <c r="B277" s="243" t="s">
        <v>269</v>
      </c>
      <c r="C277" s="474" t="s">
        <v>284</v>
      </c>
      <c r="D277" s="215" t="s">
        <v>586</v>
      </c>
      <c r="E277" s="194">
        <v>0.05</v>
      </c>
      <c r="F277" s="320">
        <f>+H274</f>
        <v>16849.05</v>
      </c>
      <c r="G277" s="684">
        <v>1</v>
      </c>
      <c r="H277" s="252">
        <f>IF(G277&gt;0,(G277*F277*E277),(F277*E277))</f>
        <v>842.45249999999999</v>
      </c>
      <c r="I277" s="917"/>
    </row>
    <row r="278" spans="1:9" s="324" customFormat="1" ht="13.5" thickBot="1" x14ac:dyDescent="0.25">
      <c r="A278" s="1008"/>
      <c r="B278" s="242" t="s">
        <v>624</v>
      </c>
      <c r="C278" s="75" t="s">
        <v>384</v>
      </c>
      <c r="D278" s="49" t="s">
        <v>614</v>
      </c>
      <c r="E278" s="195">
        <v>1</v>
      </c>
      <c r="F278" s="355">
        <f>VLOOKUP(B278,'BASE DE DATOS'!$A$5:$E$997,5,FALSE)</f>
        <v>200000</v>
      </c>
      <c r="G278" s="682">
        <v>0.05</v>
      </c>
      <c r="H278" s="255">
        <f t="shared" si="23"/>
        <v>10000</v>
      </c>
      <c r="I278" s="914"/>
    </row>
    <row r="279" spans="1:9" s="41" customFormat="1" ht="30" x14ac:dyDescent="0.2">
      <c r="A279" s="67" t="s">
        <v>1218</v>
      </c>
      <c r="B279" s="348"/>
      <c r="C279" s="332" t="s">
        <v>3591</v>
      </c>
      <c r="D279" s="333" t="s">
        <v>3259</v>
      </c>
      <c r="E279" s="414"/>
      <c r="F279" s="357">
        <f>ROUND(SUM(H279:H286),0)</f>
        <v>191658</v>
      </c>
      <c r="G279" s="683"/>
      <c r="H279" s="340"/>
      <c r="I279" s="914"/>
    </row>
    <row r="280" spans="1:9" s="324" customFormat="1" ht="12.75" x14ac:dyDescent="0.2">
      <c r="A280" s="936" t="s">
        <v>382</v>
      </c>
      <c r="B280" s="243" t="s">
        <v>1279</v>
      </c>
      <c r="C280" s="62" t="s">
        <v>349</v>
      </c>
      <c r="D280" s="19" t="s">
        <v>617</v>
      </c>
      <c r="E280" s="198">
        <v>24</v>
      </c>
      <c r="F280" s="320">
        <f>VLOOKUP(B280,'BASE DE DATOS'!$A$5:$E$997,5,FALSE)</f>
        <v>19</v>
      </c>
      <c r="G280" s="681">
        <v>1</v>
      </c>
      <c r="H280" s="252">
        <f>IF(G280&gt;0,(G280*F280*E280),(F280*E280))</f>
        <v>456</v>
      </c>
      <c r="I280" s="914"/>
    </row>
    <row r="281" spans="1:9" s="324" customFormat="1" ht="14.25" x14ac:dyDescent="0.2">
      <c r="A281" s="936"/>
      <c r="B281" s="243" t="s">
        <v>1490</v>
      </c>
      <c r="C281" s="62" t="s">
        <v>1906</v>
      </c>
      <c r="D281" s="19" t="s">
        <v>285</v>
      </c>
      <c r="E281" s="198">
        <v>1</v>
      </c>
      <c r="F281" s="320">
        <f>VLOOKUP(B281,'BASE DE DATOS'!$A$5:$E$997,5,FALSE)</f>
        <v>118311</v>
      </c>
      <c r="G281" s="681">
        <v>1.3</v>
      </c>
      <c r="H281" s="252">
        <f t="shared" ref="H281:H286" si="24">IF(G281&gt;0,(G281*F281*E281),(F281*E281))</f>
        <v>153804.30000000002</v>
      </c>
      <c r="I281" s="914"/>
    </row>
    <row r="282" spans="1:9" s="324" customFormat="1" ht="12.75" x14ac:dyDescent="0.2">
      <c r="A282" s="508" t="s">
        <v>2555</v>
      </c>
      <c r="B282" s="243" t="s">
        <v>607</v>
      </c>
      <c r="C282" s="62" t="s">
        <v>608</v>
      </c>
      <c r="D282" s="19" t="s">
        <v>585</v>
      </c>
      <c r="E282" s="194">
        <v>1</v>
      </c>
      <c r="F282" s="320">
        <f>VLOOKUP(B282,'BASE DE DATOS'!$A$5:$E$997,5,FALSE)</f>
        <v>336981</v>
      </c>
      <c r="G282" s="681">
        <v>0.05</v>
      </c>
      <c r="H282" s="252">
        <f t="shared" si="24"/>
        <v>16849.05</v>
      </c>
      <c r="I282" s="914"/>
    </row>
    <row r="283" spans="1:9" s="324" customFormat="1" ht="12.75" x14ac:dyDescent="0.2">
      <c r="A283" s="988" t="s">
        <v>293</v>
      </c>
      <c r="B283" s="243" t="s">
        <v>626</v>
      </c>
      <c r="C283" s="62" t="s">
        <v>627</v>
      </c>
      <c r="D283" s="19" t="s">
        <v>614</v>
      </c>
      <c r="E283" s="198">
        <v>1</v>
      </c>
      <c r="F283" s="320">
        <f>VLOOKUP(B283,'BASE DE DATOS'!$A$5:$E$997,5,FALSE)</f>
        <v>104125</v>
      </c>
      <c r="G283" s="681">
        <v>0.05</v>
      </c>
      <c r="H283" s="252">
        <f>IF(G283&gt;0,(G283*F283*E283),(F283*E283))</f>
        <v>5206.25</v>
      </c>
      <c r="I283" s="914"/>
    </row>
    <row r="284" spans="1:9" s="324" customFormat="1" ht="12.75" x14ac:dyDescent="0.2">
      <c r="A284" s="988"/>
      <c r="B284" s="243" t="s">
        <v>625</v>
      </c>
      <c r="C284" s="62" t="s">
        <v>385</v>
      </c>
      <c r="D284" s="19" t="s">
        <v>614</v>
      </c>
      <c r="E284" s="198">
        <v>1</v>
      </c>
      <c r="F284" s="320">
        <f>VLOOKUP(B284,'BASE DE DATOS'!$A$5:$E$997,5,FALSE)</f>
        <v>90000</v>
      </c>
      <c r="G284" s="681">
        <v>0.05</v>
      </c>
      <c r="H284" s="252">
        <f>IF(G284&gt;0,(G284*F284*E284),(F284*E284))</f>
        <v>4500</v>
      </c>
      <c r="I284" s="914"/>
    </row>
    <row r="285" spans="1:9" s="102" customFormat="1" ht="12.75" x14ac:dyDescent="0.2">
      <c r="A285" s="988"/>
      <c r="B285" s="243" t="s">
        <v>269</v>
      </c>
      <c r="C285" s="474" t="s">
        <v>284</v>
      </c>
      <c r="D285" s="215" t="s">
        <v>586</v>
      </c>
      <c r="E285" s="194">
        <v>0.05</v>
      </c>
      <c r="F285" s="320">
        <f>+H282</f>
        <v>16849.05</v>
      </c>
      <c r="G285" s="684">
        <v>0</v>
      </c>
      <c r="H285" s="252">
        <f>IF(G285&gt;0,(G285*F285*E285),(F285*E285))</f>
        <v>842.45249999999999</v>
      </c>
      <c r="I285" s="917"/>
    </row>
    <row r="286" spans="1:9" s="324" customFormat="1" ht="13.5" thickBot="1" x14ac:dyDescent="0.25">
      <c r="A286" s="1008"/>
      <c r="B286" s="242" t="s">
        <v>624</v>
      </c>
      <c r="C286" s="75" t="s">
        <v>384</v>
      </c>
      <c r="D286" s="49" t="s">
        <v>614</v>
      </c>
      <c r="E286" s="199">
        <v>1</v>
      </c>
      <c r="F286" s="355">
        <f>VLOOKUP(B286,'BASE DE DATOS'!$A$5:$E$997,5,FALSE)</f>
        <v>200000</v>
      </c>
      <c r="G286" s="682">
        <v>0.05</v>
      </c>
      <c r="H286" s="255">
        <f t="shared" si="24"/>
        <v>10000</v>
      </c>
      <c r="I286" s="914"/>
    </row>
    <row r="287" spans="1:9" s="41" customFormat="1" ht="27" customHeight="1" x14ac:dyDescent="0.2">
      <c r="A287" s="67" t="s">
        <v>1126</v>
      </c>
      <c r="B287" s="78"/>
      <c r="C287" s="325" t="s">
        <v>3592</v>
      </c>
      <c r="D287" s="326" t="s">
        <v>3225</v>
      </c>
      <c r="E287" s="414"/>
      <c r="F287" s="357">
        <f>ROUND(SUM(H287:H294),0)</f>
        <v>68416</v>
      </c>
      <c r="G287" s="683"/>
      <c r="H287" s="330"/>
      <c r="I287" s="914"/>
    </row>
    <row r="288" spans="1:9" s="324" customFormat="1" ht="29.25" customHeight="1" x14ac:dyDescent="0.2">
      <c r="A288" s="936" t="s">
        <v>382</v>
      </c>
      <c r="B288" s="243" t="s">
        <v>1278</v>
      </c>
      <c r="C288" s="62" t="s">
        <v>1890</v>
      </c>
      <c r="D288" s="19" t="s">
        <v>285</v>
      </c>
      <c r="E288" s="194">
        <v>1</v>
      </c>
      <c r="F288" s="320">
        <f>VLOOKUP(B288,'BASE DE DATOS'!$A$5:$E$997,5,FALSE)</f>
        <v>26610</v>
      </c>
      <c r="G288" s="681">
        <v>1.25</v>
      </c>
      <c r="H288" s="252">
        <f t="shared" ref="H288:H294" si="25">IF(G288&gt;0,(G288*F288*E288),(F288*E288))</f>
        <v>33262.5</v>
      </c>
      <c r="I288" s="914"/>
    </row>
    <row r="289" spans="1:9" s="324" customFormat="1" ht="12.75" x14ac:dyDescent="0.2">
      <c r="A289" s="936"/>
      <c r="B289" s="243" t="s">
        <v>1279</v>
      </c>
      <c r="C289" s="62" t="s">
        <v>349</v>
      </c>
      <c r="D289" s="19" t="s">
        <v>617</v>
      </c>
      <c r="E289" s="194">
        <v>24</v>
      </c>
      <c r="F289" s="320">
        <f>VLOOKUP(B289,'BASE DE DATOS'!$A$5:$E$997,5,FALSE)</f>
        <v>19</v>
      </c>
      <c r="G289" s="681">
        <v>1</v>
      </c>
      <c r="H289" s="252">
        <f t="shared" si="25"/>
        <v>456</v>
      </c>
      <c r="I289" s="914"/>
    </row>
    <row r="290" spans="1:9" s="324" customFormat="1" ht="12.75" x14ac:dyDescent="0.2">
      <c r="A290" s="508" t="s">
        <v>2555</v>
      </c>
      <c r="B290" s="243" t="s">
        <v>607</v>
      </c>
      <c r="C290" s="62" t="s">
        <v>608</v>
      </c>
      <c r="D290" s="19" t="s">
        <v>585</v>
      </c>
      <c r="E290" s="194">
        <v>1</v>
      </c>
      <c r="F290" s="320">
        <f>VLOOKUP(B290,'BASE DE DATOS'!$A$5:$E$997,5,FALSE)</f>
        <v>336981</v>
      </c>
      <c r="G290" s="681">
        <v>0.05</v>
      </c>
      <c r="H290" s="252">
        <f t="shared" si="25"/>
        <v>16849.05</v>
      </c>
      <c r="I290" s="914"/>
    </row>
    <row r="291" spans="1:9" s="324" customFormat="1" ht="12.75" x14ac:dyDescent="0.2">
      <c r="A291" s="988" t="s">
        <v>293</v>
      </c>
      <c r="B291" s="243" t="s">
        <v>626</v>
      </c>
      <c r="C291" s="62" t="s">
        <v>627</v>
      </c>
      <c r="D291" s="19" t="s">
        <v>614</v>
      </c>
      <c r="E291" s="194">
        <v>1</v>
      </c>
      <c r="F291" s="320">
        <f>VLOOKUP(B291,'BASE DE DATOS'!$A$5:$E$997,5,FALSE)</f>
        <v>104125</v>
      </c>
      <c r="G291" s="681">
        <v>0.05</v>
      </c>
      <c r="H291" s="252">
        <f>IF(G291&gt;0,(G291*F291*E291),(F291*E291))</f>
        <v>5206.25</v>
      </c>
      <c r="I291" s="914"/>
    </row>
    <row r="292" spans="1:9" s="324" customFormat="1" ht="12.75" x14ac:dyDescent="0.2">
      <c r="A292" s="988"/>
      <c r="B292" s="243" t="s">
        <v>625</v>
      </c>
      <c r="C292" s="62" t="s">
        <v>385</v>
      </c>
      <c r="D292" s="19" t="s">
        <v>614</v>
      </c>
      <c r="E292" s="194">
        <v>1</v>
      </c>
      <c r="F292" s="320">
        <f>VLOOKUP(B292,'BASE DE DATOS'!$A$5:$E$997,5,FALSE)</f>
        <v>90000</v>
      </c>
      <c r="G292" s="681">
        <v>0.02</v>
      </c>
      <c r="H292" s="252">
        <f>IF(G292&gt;0,(G292*F292*E292),(F292*E292))</f>
        <v>1800</v>
      </c>
      <c r="I292" s="914"/>
    </row>
    <row r="293" spans="1:9" s="324" customFormat="1" ht="12.75" x14ac:dyDescent="0.2">
      <c r="A293" s="988"/>
      <c r="B293" s="243" t="s">
        <v>269</v>
      </c>
      <c r="C293" s="474" t="s">
        <v>284</v>
      </c>
      <c r="D293" s="215" t="s">
        <v>586</v>
      </c>
      <c r="E293" s="194">
        <v>0.05</v>
      </c>
      <c r="F293" s="320">
        <f>+H290</f>
        <v>16849.05</v>
      </c>
      <c r="G293" s="684">
        <v>1</v>
      </c>
      <c r="H293" s="252">
        <f>IF(G293&gt;0,(G293*F293*E293),(F293*E293))</f>
        <v>842.45249999999999</v>
      </c>
      <c r="I293" s="914"/>
    </row>
    <row r="294" spans="1:9" s="324" customFormat="1" ht="13.5" thickBot="1" x14ac:dyDescent="0.25">
      <c r="A294" s="1008"/>
      <c r="B294" s="242" t="s">
        <v>624</v>
      </c>
      <c r="C294" s="75" t="s">
        <v>384</v>
      </c>
      <c r="D294" s="49" t="s">
        <v>614</v>
      </c>
      <c r="E294" s="195">
        <v>1</v>
      </c>
      <c r="F294" s="355">
        <f>VLOOKUP(B294,'BASE DE DATOS'!$A$5:$E$997,5,FALSE)</f>
        <v>200000</v>
      </c>
      <c r="G294" s="682">
        <v>0.05</v>
      </c>
      <c r="H294" s="255">
        <f t="shared" si="25"/>
        <v>10000</v>
      </c>
      <c r="I294" s="914"/>
    </row>
    <row r="295" spans="1:9" s="41" customFormat="1" ht="30" x14ac:dyDescent="0.2">
      <c r="A295" s="67" t="s">
        <v>1127</v>
      </c>
      <c r="B295" s="249"/>
      <c r="C295" s="325" t="s">
        <v>3593</v>
      </c>
      <c r="D295" s="326" t="s">
        <v>3225</v>
      </c>
      <c r="E295" s="414"/>
      <c r="F295" s="357">
        <f>ROUND(SUM(H295:H302),0)</f>
        <v>71116</v>
      </c>
      <c r="G295" s="683"/>
      <c r="H295" s="330"/>
      <c r="I295" s="914"/>
    </row>
    <row r="296" spans="1:9" s="324" customFormat="1" ht="25.5" x14ac:dyDescent="0.2">
      <c r="A296" s="936" t="s">
        <v>382</v>
      </c>
      <c r="B296" s="243" t="s">
        <v>1278</v>
      </c>
      <c r="C296" s="62" t="s">
        <v>1890</v>
      </c>
      <c r="D296" s="19" t="s">
        <v>285</v>
      </c>
      <c r="E296" s="194">
        <v>1</v>
      </c>
      <c r="F296" s="320">
        <f>VLOOKUP(B296,'BASE DE DATOS'!$A$5:$E$997,5,FALSE)</f>
        <v>26610</v>
      </c>
      <c r="G296" s="681">
        <v>1.25</v>
      </c>
      <c r="H296" s="252">
        <f t="shared" ref="H296:H310" si="26">IF(G296&gt;0,(G296*F296*E296),(F296*E296))</f>
        <v>33262.5</v>
      </c>
      <c r="I296" s="914"/>
    </row>
    <row r="297" spans="1:9" s="324" customFormat="1" ht="12.75" x14ac:dyDescent="0.2">
      <c r="A297" s="936"/>
      <c r="B297" s="243" t="s">
        <v>1279</v>
      </c>
      <c r="C297" s="62" t="s">
        <v>349</v>
      </c>
      <c r="D297" s="19" t="s">
        <v>617</v>
      </c>
      <c r="E297" s="194">
        <v>24</v>
      </c>
      <c r="F297" s="320">
        <f>VLOOKUP(B297,'BASE DE DATOS'!$A$5:$E$997,5,FALSE)</f>
        <v>19</v>
      </c>
      <c r="G297" s="681">
        <v>1</v>
      </c>
      <c r="H297" s="252">
        <f t="shared" si="26"/>
        <v>456</v>
      </c>
      <c r="I297" s="914"/>
    </row>
    <row r="298" spans="1:9" s="324" customFormat="1" ht="12.75" x14ac:dyDescent="0.2">
      <c r="A298" s="508" t="s">
        <v>2555</v>
      </c>
      <c r="B298" s="243" t="s">
        <v>607</v>
      </c>
      <c r="C298" s="62" t="s">
        <v>608</v>
      </c>
      <c r="D298" s="19" t="s">
        <v>585</v>
      </c>
      <c r="E298" s="194">
        <v>1</v>
      </c>
      <c r="F298" s="320">
        <f>VLOOKUP(B298,'BASE DE DATOS'!$A$5:$E$997,5,FALSE)</f>
        <v>336981</v>
      </c>
      <c r="G298" s="681">
        <f>1/20</f>
        <v>0.05</v>
      </c>
      <c r="H298" s="252">
        <f t="shared" si="26"/>
        <v>16849.05</v>
      </c>
      <c r="I298" s="914"/>
    </row>
    <row r="299" spans="1:9" s="324" customFormat="1" ht="12.75" x14ac:dyDescent="0.2">
      <c r="A299" s="988" t="s">
        <v>293</v>
      </c>
      <c r="B299" s="243" t="s">
        <v>626</v>
      </c>
      <c r="C299" s="62" t="s">
        <v>627</v>
      </c>
      <c r="D299" s="19" t="s">
        <v>614</v>
      </c>
      <c r="E299" s="194">
        <v>1</v>
      </c>
      <c r="F299" s="320">
        <f>VLOOKUP(B299,'BASE DE DATOS'!$A$5:$E$997,5,FALSE)</f>
        <v>104125</v>
      </c>
      <c r="G299" s="681">
        <v>0.05</v>
      </c>
      <c r="H299" s="252">
        <f>IF(G299&gt;0,(G299*F299*E299),(F299*E299))</f>
        <v>5206.25</v>
      </c>
      <c r="I299" s="914"/>
    </row>
    <row r="300" spans="1:9" s="324" customFormat="1" ht="12.75" x14ac:dyDescent="0.2">
      <c r="A300" s="988"/>
      <c r="B300" s="243" t="s">
        <v>625</v>
      </c>
      <c r="C300" s="62" t="s">
        <v>385</v>
      </c>
      <c r="D300" s="19" t="s">
        <v>614</v>
      </c>
      <c r="E300" s="194">
        <v>1</v>
      </c>
      <c r="F300" s="320">
        <f>VLOOKUP(B300,'BASE DE DATOS'!$A$5:$E$997,5,FALSE)</f>
        <v>90000</v>
      </c>
      <c r="G300" s="681">
        <v>0.05</v>
      </c>
      <c r="H300" s="252">
        <f>IF(G300&gt;0,(G300*F300*E300),(F300*E300))</f>
        <v>4500</v>
      </c>
      <c r="I300" s="914"/>
    </row>
    <row r="301" spans="1:9" s="324" customFormat="1" ht="12.75" x14ac:dyDescent="0.2">
      <c r="A301" s="988"/>
      <c r="B301" s="243" t="s">
        <v>269</v>
      </c>
      <c r="C301" s="474" t="s">
        <v>284</v>
      </c>
      <c r="D301" s="215" t="s">
        <v>586</v>
      </c>
      <c r="E301" s="194">
        <v>0.05</v>
      </c>
      <c r="F301" s="320">
        <f>+H298</f>
        <v>16849.05</v>
      </c>
      <c r="G301" s="684">
        <v>1</v>
      </c>
      <c r="H301" s="252">
        <f>IF(G301&gt;0,(G301*F301*E301),(F301*E301))</f>
        <v>842.45249999999999</v>
      </c>
      <c r="I301" s="914"/>
    </row>
    <row r="302" spans="1:9" s="324" customFormat="1" ht="13.5" thickBot="1" x14ac:dyDescent="0.25">
      <c r="A302" s="1008"/>
      <c r="B302" s="242" t="s">
        <v>624</v>
      </c>
      <c r="C302" s="75" t="s">
        <v>384</v>
      </c>
      <c r="D302" s="49" t="s">
        <v>614</v>
      </c>
      <c r="E302" s="195">
        <v>1</v>
      </c>
      <c r="F302" s="355">
        <f>VLOOKUP(B302,'BASE DE DATOS'!$A$5:$E$997,5,FALSE)</f>
        <v>200000</v>
      </c>
      <c r="G302" s="682">
        <v>0.05</v>
      </c>
      <c r="H302" s="255">
        <f t="shared" si="26"/>
        <v>10000</v>
      </c>
      <c r="I302" s="914"/>
    </row>
    <row r="303" spans="1:9" s="41" customFormat="1" ht="17.25" x14ac:dyDescent="0.2">
      <c r="A303" s="67" t="s">
        <v>1128</v>
      </c>
      <c r="B303" s="249"/>
      <c r="C303" s="358" t="s">
        <v>2643</v>
      </c>
      <c r="D303" s="369" t="s">
        <v>3251</v>
      </c>
      <c r="E303" s="414"/>
      <c r="F303" s="357">
        <f>ROUND(SUM(H303:H307),0)</f>
        <v>25094</v>
      </c>
      <c r="G303" s="683"/>
      <c r="H303" s="370"/>
      <c r="I303" s="914"/>
    </row>
    <row r="304" spans="1:9" s="324" customFormat="1" ht="14.25" x14ac:dyDescent="0.2">
      <c r="A304" s="502" t="s">
        <v>382</v>
      </c>
      <c r="B304" s="243" t="s">
        <v>1492</v>
      </c>
      <c r="C304" s="62" t="s">
        <v>3727</v>
      </c>
      <c r="D304" s="19" t="s">
        <v>285</v>
      </c>
      <c r="E304" s="194">
        <v>0.1</v>
      </c>
      <c r="F304" s="320">
        <f>VLOOKUP(B304,'BASE DE DATOS'!$A$5:$E$997,5,FALSE)</f>
        <v>115000</v>
      </c>
      <c r="G304" s="681">
        <v>1.3</v>
      </c>
      <c r="H304" s="252">
        <f t="shared" si="26"/>
        <v>14950</v>
      </c>
      <c r="I304" s="914"/>
    </row>
    <row r="305" spans="1:9" s="324" customFormat="1" ht="12.75" x14ac:dyDescent="0.2">
      <c r="A305" s="508" t="s">
        <v>2555</v>
      </c>
      <c r="B305" s="243" t="s">
        <v>587</v>
      </c>
      <c r="C305" s="62" t="s">
        <v>588</v>
      </c>
      <c r="D305" s="19" t="s">
        <v>585</v>
      </c>
      <c r="E305" s="194">
        <v>1</v>
      </c>
      <c r="F305" s="320">
        <f>VLOOKUP(B305,'BASE DE DATOS'!$A$5:$E$997,5,FALSE)</f>
        <v>514339</v>
      </c>
      <c r="G305" s="681">
        <f>1/60</f>
        <v>1.6666666666666666E-2</v>
      </c>
      <c r="H305" s="252">
        <f t="shared" si="26"/>
        <v>8572.3166666666657</v>
      </c>
      <c r="I305" s="914"/>
    </row>
    <row r="306" spans="1:9" s="324" customFormat="1" ht="12.75" x14ac:dyDescent="0.2">
      <c r="A306" s="937" t="s">
        <v>293</v>
      </c>
      <c r="B306" s="243" t="s">
        <v>269</v>
      </c>
      <c r="C306" s="62" t="s">
        <v>284</v>
      </c>
      <c r="D306" s="19" t="s">
        <v>586</v>
      </c>
      <c r="E306" s="194">
        <v>0.1</v>
      </c>
      <c r="F306" s="320">
        <f>+H305</f>
        <v>8572.3166666666657</v>
      </c>
      <c r="G306" s="681">
        <v>0</v>
      </c>
      <c r="H306" s="252">
        <f t="shared" si="26"/>
        <v>857.23166666666657</v>
      </c>
      <c r="I306" s="914"/>
    </row>
    <row r="307" spans="1:9" s="324" customFormat="1" ht="13.5" thickBot="1" x14ac:dyDescent="0.25">
      <c r="A307" s="938"/>
      <c r="B307" s="242" t="s">
        <v>621</v>
      </c>
      <c r="C307" s="169" t="s">
        <v>360</v>
      </c>
      <c r="D307" s="112" t="s">
        <v>585</v>
      </c>
      <c r="E307" s="201">
        <v>1</v>
      </c>
      <c r="F307" s="321">
        <f>VLOOKUP(B307,'BASE DE DATOS'!$A$5:$E$997,5,FALSE)</f>
        <v>71400</v>
      </c>
      <c r="G307" s="686">
        <f>1/100</f>
        <v>0.01</v>
      </c>
      <c r="H307" s="255">
        <f t="shared" si="26"/>
        <v>714</v>
      </c>
      <c r="I307" s="914"/>
    </row>
    <row r="308" spans="1:9" s="41" customFormat="1" ht="30" x14ac:dyDescent="0.2">
      <c r="A308" s="67" t="s">
        <v>1907</v>
      </c>
      <c r="B308" s="348"/>
      <c r="C308" s="325" t="s">
        <v>524</v>
      </c>
      <c r="D308" s="333" t="s">
        <v>525</v>
      </c>
      <c r="E308" s="426"/>
      <c r="F308" s="357">
        <f>ROUND(SUM(H308:H310),0)</f>
        <v>2377359</v>
      </c>
      <c r="G308" s="683"/>
      <c r="H308" s="370"/>
      <c r="I308" s="914">
        <v>7</v>
      </c>
    </row>
    <row r="309" spans="1:9" s="324" customFormat="1" ht="12.75" x14ac:dyDescent="0.2">
      <c r="A309" s="508" t="s">
        <v>2555</v>
      </c>
      <c r="B309" s="243" t="s">
        <v>331</v>
      </c>
      <c r="C309" s="62" t="s">
        <v>2189</v>
      </c>
      <c r="D309" s="19" t="s">
        <v>585</v>
      </c>
      <c r="E309" s="194">
        <v>1</v>
      </c>
      <c r="F309" s="320">
        <f>VLOOKUP(B309,'BASE DE DATOS'!$A$5:$E$997,5,FALSE)</f>
        <v>124151</v>
      </c>
      <c r="G309" s="681">
        <f>1/0.7</f>
        <v>1.4285714285714286</v>
      </c>
      <c r="H309" s="252">
        <f t="shared" si="26"/>
        <v>177358.57142857142</v>
      </c>
      <c r="I309" s="914"/>
    </row>
    <row r="310" spans="1:9" s="324" customFormat="1" ht="13.5" thickBot="1" x14ac:dyDescent="0.25">
      <c r="A310" s="504" t="s">
        <v>293</v>
      </c>
      <c r="B310" s="242" t="s">
        <v>624</v>
      </c>
      <c r="C310" s="169" t="s">
        <v>377</v>
      </c>
      <c r="D310" s="112" t="s">
        <v>614</v>
      </c>
      <c r="E310" s="201">
        <v>11</v>
      </c>
      <c r="F310" s="321">
        <f>VLOOKUP(B310,'BASE DE DATOS'!$A$5:$E$997,5,FALSE)</f>
        <v>200000</v>
      </c>
      <c r="G310" s="686">
        <v>0</v>
      </c>
      <c r="H310" s="252">
        <f t="shared" si="26"/>
        <v>2200000</v>
      </c>
      <c r="I310" s="914"/>
    </row>
    <row r="311" spans="1:9" s="41" customFormat="1" ht="15.75" thickBot="1" x14ac:dyDescent="0.25">
      <c r="A311" s="950" t="s">
        <v>2211</v>
      </c>
      <c r="B311" s="951"/>
      <c r="C311" s="951"/>
      <c r="D311" s="951"/>
      <c r="E311" s="951"/>
      <c r="F311" s="1043"/>
      <c r="G311" s="951"/>
      <c r="H311" s="952"/>
      <c r="I311" s="914"/>
    </row>
    <row r="312" spans="1:9" s="41" customFormat="1" ht="45.75" thickBot="1" x14ac:dyDescent="0.25">
      <c r="A312" s="510" t="s">
        <v>2044</v>
      </c>
      <c r="B312" s="346" t="s">
        <v>265</v>
      </c>
      <c r="C312" s="74" t="s">
        <v>402</v>
      </c>
      <c r="D312" s="347" t="s">
        <v>346</v>
      </c>
      <c r="E312" s="192" t="s">
        <v>2173</v>
      </c>
      <c r="F312" s="349" t="s">
        <v>404</v>
      </c>
      <c r="G312" s="290" t="s">
        <v>281</v>
      </c>
      <c r="H312" s="73" t="s">
        <v>282</v>
      </c>
      <c r="I312" s="914"/>
    </row>
    <row r="313" spans="1:9" s="41" customFormat="1" ht="18" thickTop="1" x14ac:dyDescent="0.2">
      <c r="A313" s="67" t="s">
        <v>1129</v>
      </c>
      <c r="B313" s="80"/>
      <c r="C313" s="363" t="s">
        <v>3249</v>
      </c>
      <c r="D313" s="369" t="s">
        <v>3251</v>
      </c>
      <c r="E313" s="426"/>
      <c r="F313" s="371">
        <f>ROUND(SUM(H313:H321),0)</f>
        <v>90801</v>
      </c>
      <c r="G313" s="687"/>
      <c r="H313" s="364"/>
      <c r="I313" s="914"/>
    </row>
    <row r="314" spans="1:9" s="324" customFormat="1" ht="14.25" x14ac:dyDescent="0.2">
      <c r="A314" s="936" t="s">
        <v>382</v>
      </c>
      <c r="B314" s="545" t="s">
        <v>1411</v>
      </c>
      <c r="C314" s="76" t="s">
        <v>113</v>
      </c>
      <c r="D314" s="59" t="s">
        <v>2008</v>
      </c>
      <c r="E314" s="194">
        <v>1</v>
      </c>
      <c r="F314" s="320">
        <f>VLOOKUP(B314,'BASE DE DATOS'!$A$5:$E$997,5,FALSE)</f>
        <v>2025</v>
      </c>
      <c r="G314" s="681">
        <v>1.1000000000000001</v>
      </c>
      <c r="H314" s="252">
        <f>IF(G314&gt;0,(G314*F314*E314),(F314*E314))</f>
        <v>2227.5</v>
      </c>
      <c r="I314" s="914"/>
    </row>
    <row r="315" spans="1:9" s="324" customFormat="1" ht="14.25" x14ac:dyDescent="0.2">
      <c r="A315" s="936"/>
      <c r="B315" s="545" t="s">
        <v>1496</v>
      </c>
      <c r="C315" s="76" t="s">
        <v>3726</v>
      </c>
      <c r="D315" s="19" t="s">
        <v>285</v>
      </c>
      <c r="E315" s="194">
        <v>7.0000000000000007E-2</v>
      </c>
      <c r="F315" s="320">
        <f>VLOOKUP(B315,'BASE DE DATOS'!$A$5:$E$997,5,FALSE)</f>
        <v>857237</v>
      </c>
      <c r="G315" s="681">
        <v>1.25</v>
      </c>
      <c r="H315" s="252">
        <f t="shared" ref="H315:H321" si="27">IF(G315&gt;0,(G315*F315*E315),(F315*E315))</f>
        <v>75008.237500000003</v>
      </c>
      <c r="I315" s="914"/>
    </row>
    <row r="316" spans="1:9" s="324" customFormat="1" ht="14.25" x14ac:dyDescent="0.2">
      <c r="A316" s="505" t="s">
        <v>2044</v>
      </c>
      <c r="B316" s="374" t="str">
        <f>A347</f>
        <v>2-04-06</v>
      </c>
      <c r="C316" s="307" t="s">
        <v>474</v>
      </c>
      <c r="D316" s="59" t="s">
        <v>2008</v>
      </c>
      <c r="E316" s="194">
        <v>1</v>
      </c>
      <c r="F316" s="320">
        <f>F347</f>
        <v>9359</v>
      </c>
      <c r="G316" s="681">
        <v>0</v>
      </c>
      <c r="H316" s="252">
        <f t="shared" si="27"/>
        <v>9359</v>
      </c>
      <c r="I316" s="914"/>
    </row>
    <row r="317" spans="1:9" s="324" customFormat="1" ht="12.75" x14ac:dyDescent="0.2">
      <c r="A317" s="508" t="s">
        <v>2555</v>
      </c>
      <c r="B317" s="244" t="s">
        <v>271</v>
      </c>
      <c r="C317" s="62" t="s">
        <v>272</v>
      </c>
      <c r="D317" s="19" t="s">
        <v>585</v>
      </c>
      <c r="E317" s="194">
        <v>1</v>
      </c>
      <c r="F317" s="320">
        <f>VLOOKUP(B317,'BASE DE DATOS'!$A$5:$E$997,5,FALSE)</f>
        <v>1312454</v>
      </c>
      <c r="G317" s="681">
        <f>1/450</f>
        <v>2.2222222222222222E-3</v>
      </c>
      <c r="H317" s="252">
        <f t="shared" si="27"/>
        <v>2916.5644444444442</v>
      </c>
      <c r="I317" s="914"/>
    </row>
    <row r="318" spans="1:9" s="324" customFormat="1" ht="12.75" x14ac:dyDescent="0.2">
      <c r="A318" s="1041" t="s">
        <v>293</v>
      </c>
      <c r="B318" s="244" t="s">
        <v>625</v>
      </c>
      <c r="C318" s="62" t="s">
        <v>385</v>
      </c>
      <c r="D318" s="19" t="s">
        <v>614</v>
      </c>
      <c r="E318" s="194">
        <v>1</v>
      </c>
      <c r="F318" s="320">
        <f>VLOOKUP(B318,'BASE DE DATOS'!$A$5:$E$997,5,FALSE)</f>
        <v>90000</v>
      </c>
      <c r="G318" s="681">
        <f>1/430</f>
        <v>2.3255813953488372E-3</v>
      </c>
      <c r="H318" s="252">
        <f>IF(G318&gt;0,(G318*F318*E318),(F318*E318))</f>
        <v>209.30232558139534</v>
      </c>
      <c r="I318" s="914"/>
    </row>
    <row r="319" spans="1:9" s="324" customFormat="1" ht="12.75" x14ac:dyDescent="0.2">
      <c r="A319" s="1041"/>
      <c r="B319" s="545" t="s">
        <v>623</v>
      </c>
      <c r="C319" s="76" t="s">
        <v>357</v>
      </c>
      <c r="D319" s="59" t="s">
        <v>614</v>
      </c>
      <c r="E319" s="198">
        <v>1</v>
      </c>
      <c r="F319" s="320">
        <f>VLOOKUP(B319,'BASE DE DATOS'!$A$5:$E$997,5,FALSE)</f>
        <v>165410</v>
      </c>
      <c r="G319" s="681">
        <f>1/430</f>
        <v>2.3255813953488372E-3</v>
      </c>
      <c r="H319" s="252">
        <f>IF(G319&gt;0,(G319*F319*E319),(F319*E319))</f>
        <v>384.67441860465118</v>
      </c>
      <c r="I319" s="914"/>
    </row>
    <row r="320" spans="1:9" s="324" customFormat="1" ht="12.75" x14ac:dyDescent="0.2">
      <c r="A320" s="1041"/>
      <c r="B320" s="244" t="s">
        <v>207</v>
      </c>
      <c r="C320" s="474" t="s">
        <v>208</v>
      </c>
      <c r="D320" s="215" t="s">
        <v>614</v>
      </c>
      <c r="E320" s="194">
        <v>1</v>
      </c>
      <c r="F320" s="320">
        <f>VLOOKUP(B320,'BASE DE DATOS'!$A$5:$E$997,5,FALSE)</f>
        <v>173872.266</v>
      </c>
      <c r="G320" s="684">
        <f>1/430</f>
        <v>2.3255813953488372E-3</v>
      </c>
      <c r="H320" s="252">
        <f>IF(G320&gt;0,(G320*F320*E320),(F320*E320))</f>
        <v>404.35410697674416</v>
      </c>
      <c r="I320" s="914"/>
    </row>
    <row r="321" spans="1:9" s="324" customFormat="1" ht="13.5" thickBot="1" x14ac:dyDescent="0.25">
      <c r="A321" s="1042"/>
      <c r="B321" s="543" t="s">
        <v>269</v>
      </c>
      <c r="C321" s="75" t="s">
        <v>284</v>
      </c>
      <c r="D321" s="49" t="s">
        <v>586</v>
      </c>
      <c r="E321" s="195">
        <v>0.1</v>
      </c>
      <c r="F321" s="355">
        <f>+H317</f>
        <v>2916.5644444444442</v>
      </c>
      <c r="G321" s="682">
        <v>0</v>
      </c>
      <c r="H321" s="255">
        <f t="shared" si="27"/>
        <v>291.65644444444445</v>
      </c>
      <c r="I321" s="914"/>
    </row>
    <row r="322" spans="1:9" s="41" customFormat="1" ht="30" x14ac:dyDescent="0.2">
      <c r="A322" s="67" t="s">
        <v>1130</v>
      </c>
      <c r="B322" s="541"/>
      <c r="C322" s="332" t="s">
        <v>3594</v>
      </c>
      <c r="D322" s="333" t="s">
        <v>3259</v>
      </c>
      <c r="E322" s="414"/>
      <c r="F322" s="357">
        <f>ROUND(SUM(H322:H328),0)</f>
        <v>1143652</v>
      </c>
      <c r="G322" s="683"/>
      <c r="H322" s="340"/>
      <c r="I322" s="914"/>
    </row>
    <row r="323" spans="1:9" s="324" customFormat="1" ht="14.25" x14ac:dyDescent="0.2">
      <c r="A323" s="502" t="s">
        <v>382</v>
      </c>
      <c r="B323" s="244" t="s">
        <v>1496</v>
      </c>
      <c r="C323" s="62" t="s">
        <v>3726</v>
      </c>
      <c r="D323" s="19" t="s">
        <v>285</v>
      </c>
      <c r="E323" s="194">
        <v>1</v>
      </c>
      <c r="F323" s="320">
        <f>VLOOKUP(B323,'BASE DE DATOS'!$A$5:$E$997,5,FALSE)</f>
        <v>857237</v>
      </c>
      <c r="G323" s="681">
        <v>1.25</v>
      </c>
      <c r="H323" s="252">
        <f t="shared" ref="H323:H328" si="28">IF(G323&gt;0,(G323*F323*E323),(F323*E323))</f>
        <v>1071546.25</v>
      </c>
      <c r="I323" s="914"/>
    </row>
    <row r="324" spans="1:9" s="324" customFormat="1" ht="12.75" x14ac:dyDescent="0.2">
      <c r="A324" s="508" t="s">
        <v>2555</v>
      </c>
      <c r="B324" s="244" t="s">
        <v>271</v>
      </c>
      <c r="C324" s="62" t="s">
        <v>272</v>
      </c>
      <c r="D324" s="19" t="s">
        <v>585</v>
      </c>
      <c r="E324" s="194">
        <v>1</v>
      </c>
      <c r="F324" s="320">
        <f>VLOOKUP(B324,'BASE DE DATOS'!$A$5:$E$997,5,FALSE)</f>
        <v>1312454</v>
      </c>
      <c r="G324" s="681">
        <f>1/30</f>
        <v>3.3333333333333333E-2</v>
      </c>
      <c r="H324" s="252">
        <f t="shared" si="28"/>
        <v>43748.466666666667</v>
      </c>
      <c r="I324" s="914"/>
    </row>
    <row r="325" spans="1:9" s="324" customFormat="1" ht="12.75" x14ac:dyDescent="0.2">
      <c r="A325" s="988" t="s">
        <v>293</v>
      </c>
      <c r="B325" s="244" t="s">
        <v>625</v>
      </c>
      <c r="C325" s="62" t="s">
        <v>385</v>
      </c>
      <c r="D325" s="19" t="s">
        <v>614</v>
      </c>
      <c r="E325" s="194">
        <v>1</v>
      </c>
      <c r="F325" s="320">
        <f>VLOOKUP(B325,'BASE DE DATOS'!$A$5:$E$997,5,FALSE)</f>
        <v>90000</v>
      </c>
      <c r="G325" s="681">
        <f>1/15</f>
        <v>6.6666666666666666E-2</v>
      </c>
      <c r="H325" s="252">
        <f>IF(G325&gt;0,(G325*F325*E325),(F325*E325))</f>
        <v>6000</v>
      </c>
      <c r="I325" s="914"/>
    </row>
    <row r="326" spans="1:9" s="324" customFormat="1" ht="12.75" x14ac:dyDescent="0.2">
      <c r="A326" s="988"/>
      <c r="B326" s="545" t="s">
        <v>623</v>
      </c>
      <c r="C326" s="76" t="s">
        <v>357</v>
      </c>
      <c r="D326" s="59" t="s">
        <v>614</v>
      </c>
      <c r="E326" s="198">
        <v>1</v>
      </c>
      <c r="F326" s="320">
        <f>VLOOKUP(B326,'BASE DE DATOS'!$A$5:$E$997,5,FALSE)</f>
        <v>165410</v>
      </c>
      <c r="G326" s="681">
        <f>1/15</f>
        <v>6.6666666666666666E-2</v>
      </c>
      <c r="H326" s="252">
        <f>IF(G326&gt;0,(G326*F326*E326),(F326*E326))</f>
        <v>11027.333333333334</v>
      </c>
      <c r="I326" s="914"/>
    </row>
    <row r="327" spans="1:9" s="324" customFormat="1" ht="12.75" x14ac:dyDescent="0.2">
      <c r="A327" s="988"/>
      <c r="B327" s="244" t="s">
        <v>207</v>
      </c>
      <c r="C327" s="474" t="s">
        <v>208</v>
      </c>
      <c r="D327" s="215" t="s">
        <v>614</v>
      </c>
      <c r="E327" s="194">
        <v>1</v>
      </c>
      <c r="F327" s="320">
        <f>VLOOKUP(B327,'BASE DE DATOS'!$A$5:$E$997,5,FALSE)</f>
        <v>173872.266</v>
      </c>
      <c r="G327" s="684">
        <f>1/25</f>
        <v>0.04</v>
      </c>
      <c r="H327" s="252">
        <f>IF(G327&gt;0,(G327*F327*E327),(F327*E327))</f>
        <v>6954.8906400000005</v>
      </c>
      <c r="I327" s="914"/>
    </row>
    <row r="328" spans="1:9" s="324" customFormat="1" ht="13.5" thickBot="1" x14ac:dyDescent="0.25">
      <c r="A328" s="1008"/>
      <c r="B328" s="543" t="s">
        <v>269</v>
      </c>
      <c r="C328" s="75" t="s">
        <v>284</v>
      </c>
      <c r="D328" s="49" t="s">
        <v>586</v>
      </c>
      <c r="E328" s="195">
        <v>0.1</v>
      </c>
      <c r="F328" s="355">
        <f>+H324</f>
        <v>43748.466666666667</v>
      </c>
      <c r="G328" s="682">
        <v>0</v>
      </c>
      <c r="H328" s="255">
        <f t="shared" si="28"/>
        <v>4374.8466666666673</v>
      </c>
      <c r="I328" s="914"/>
    </row>
    <row r="329" spans="1:9" s="41" customFormat="1" ht="17.25" x14ac:dyDescent="0.2">
      <c r="A329" s="67" t="s">
        <v>1131</v>
      </c>
      <c r="B329" s="541"/>
      <c r="C329" s="332" t="s">
        <v>3595</v>
      </c>
      <c r="D329" s="333" t="s">
        <v>3259</v>
      </c>
      <c r="E329" s="414"/>
      <c r="F329" s="357">
        <f>ROUND(SUM(H329:H335),0)</f>
        <v>1164432</v>
      </c>
      <c r="G329" s="683"/>
      <c r="H329" s="340"/>
      <c r="I329" s="914"/>
    </row>
    <row r="330" spans="1:9" s="324" customFormat="1" ht="14.25" x14ac:dyDescent="0.2">
      <c r="A330" s="502" t="s">
        <v>382</v>
      </c>
      <c r="B330" s="545" t="s">
        <v>1496</v>
      </c>
      <c r="C330" s="76" t="s">
        <v>3726</v>
      </c>
      <c r="D330" s="59" t="s">
        <v>56</v>
      </c>
      <c r="E330" s="194">
        <v>1</v>
      </c>
      <c r="F330" s="320">
        <f>VLOOKUP(B330,'BASE DE DATOS'!$A$5:$E$997,5,FALSE)</f>
        <v>857237</v>
      </c>
      <c r="G330" s="681">
        <v>1.25</v>
      </c>
      <c r="H330" s="252">
        <f t="shared" ref="H330:H335" si="29">IF(G330&gt;0,(G330*F330*E330),(F330*E330))</f>
        <v>1071546.25</v>
      </c>
      <c r="I330" s="914"/>
    </row>
    <row r="331" spans="1:9" s="324" customFormat="1" ht="12.75" x14ac:dyDescent="0.2">
      <c r="A331" s="508" t="s">
        <v>2555</v>
      </c>
      <c r="B331" s="244" t="s">
        <v>271</v>
      </c>
      <c r="C331" s="62" t="s">
        <v>272</v>
      </c>
      <c r="D331" s="19" t="s">
        <v>585</v>
      </c>
      <c r="E331" s="194">
        <v>1</v>
      </c>
      <c r="F331" s="320">
        <f>VLOOKUP(B331,'BASE DE DATOS'!$A$5:$E$997,5,FALSE)</f>
        <v>1312454</v>
      </c>
      <c r="G331" s="681">
        <f>1/20</f>
        <v>0.05</v>
      </c>
      <c r="H331" s="252">
        <f t="shared" si="29"/>
        <v>65622.7</v>
      </c>
      <c r="I331" s="914"/>
    </row>
    <row r="332" spans="1:9" s="324" customFormat="1" ht="12.75" x14ac:dyDescent="0.2">
      <c r="A332" s="988" t="s">
        <v>293</v>
      </c>
      <c r="B332" s="244" t="s">
        <v>625</v>
      </c>
      <c r="C332" s="62" t="s">
        <v>385</v>
      </c>
      <c r="D332" s="19" t="s">
        <v>614</v>
      </c>
      <c r="E332" s="194">
        <v>1</v>
      </c>
      <c r="F332" s="320">
        <f>VLOOKUP(B332,'BASE DE DATOS'!$A$5:$E$997,5,FALSE)</f>
        <v>90000</v>
      </c>
      <c r="G332" s="681">
        <f>1/15</f>
        <v>6.6666666666666666E-2</v>
      </c>
      <c r="H332" s="252">
        <f>IF(G332&gt;0,(G332*F332*E332),(F332*E332))</f>
        <v>6000</v>
      </c>
      <c r="I332" s="914"/>
    </row>
    <row r="333" spans="1:9" s="324" customFormat="1" ht="12.75" x14ac:dyDescent="0.2">
      <c r="A333" s="988"/>
      <c r="B333" s="545" t="s">
        <v>623</v>
      </c>
      <c r="C333" s="76" t="s">
        <v>357</v>
      </c>
      <c r="D333" s="59" t="s">
        <v>614</v>
      </c>
      <c r="E333" s="198">
        <v>1</v>
      </c>
      <c r="F333" s="320">
        <f>VLOOKUP(B333,'BASE DE DATOS'!$A$5:$E$997,5,FALSE)</f>
        <v>165410</v>
      </c>
      <c r="G333" s="681">
        <f>1/15</f>
        <v>6.6666666666666666E-2</v>
      </c>
      <c r="H333" s="252">
        <f>IF(G333&gt;0,(G333*F333*E333),(F333*E333))</f>
        <v>11027.333333333334</v>
      </c>
      <c r="I333" s="914"/>
    </row>
    <row r="334" spans="1:9" s="324" customFormat="1" ht="12.75" x14ac:dyDescent="0.2">
      <c r="A334" s="988"/>
      <c r="B334" s="244" t="s">
        <v>207</v>
      </c>
      <c r="C334" s="474" t="s">
        <v>208</v>
      </c>
      <c r="D334" s="215" t="s">
        <v>614</v>
      </c>
      <c r="E334" s="194">
        <v>1</v>
      </c>
      <c r="F334" s="320">
        <f>VLOOKUP(B334,'BASE DE DATOS'!$A$5:$E$997,5,FALSE)</f>
        <v>173872.266</v>
      </c>
      <c r="G334" s="684">
        <f>1/25</f>
        <v>0.04</v>
      </c>
      <c r="H334" s="252">
        <f>IF(G334&gt;0,(G334*F334*E334),(F334*E334))</f>
        <v>6954.8906400000005</v>
      </c>
      <c r="I334" s="914"/>
    </row>
    <row r="335" spans="1:9" s="324" customFormat="1" ht="13.5" thickBot="1" x14ac:dyDescent="0.25">
      <c r="A335" s="1008"/>
      <c r="B335" s="543" t="s">
        <v>269</v>
      </c>
      <c r="C335" s="75" t="s">
        <v>284</v>
      </c>
      <c r="D335" s="49" t="s">
        <v>586</v>
      </c>
      <c r="E335" s="195">
        <v>0.05</v>
      </c>
      <c r="F335" s="355">
        <f>+H331</f>
        <v>65622.7</v>
      </c>
      <c r="G335" s="682">
        <v>0</v>
      </c>
      <c r="H335" s="255">
        <f t="shared" si="29"/>
        <v>3281.1350000000002</v>
      </c>
      <c r="I335" s="914"/>
    </row>
    <row r="336" spans="1:9" s="41" customFormat="1" ht="30" x14ac:dyDescent="0.2">
      <c r="A336" s="67" t="s">
        <v>1132</v>
      </c>
      <c r="B336" s="541"/>
      <c r="C336" s="358" t="s">
        <v>2644</v>
      </c>
      <c r="D336" s="333" t="s">
        <v>3259</v>
      </c>
      <c r="E336" s="414"/>
      <c r="F336" s="357">
        <f>ROUND(SUM(H336:H340),0)</f>
        <v>1237242</v>
      </c>
      <c r="G336" s="683"/>
      <c r="H336" s="340"/>
      <c r="I336" s="914"/>
    </row>
    <row r="337" spans="1:9" s="324" customFormat="1" ht="14.25" x14ac:dyDescent="0.2">
      <c r="A337" s="502" t="s">
        <v>382</v>
      </c>
      <c r="B337" s="244" t="s">
        <v>1496</v>
      </c>
      <c r="C337" s="62" t="s">
        <v>3726</v>
      </c>
      <c r="D337" s="19" t="s">
        <v>285</v>
      </c>
      <c r="E337" s="194">
        <v>1</v>
      </c>
      <c r="F337" s="320">
        <f>VLOOKUP(B337,'BASE DE DATOS'!$A$5:$E$997,5,FALSE)</f>
        <v>857237</v>
      </c>
      <c r="G337" s="681">
        <v>1.25</v>
      </c>
      <c r="H337" s="252">
        <f t="shared" ref="H337:H340" si="30">IF(G337&gt;0,(G337*F337*E337),(F337*E337))</f>
        <v>1071546.25</v>
      </c>
      <c r="I337" s="914"/>
    </row>
    <row r="338" spans="1:9" s="324" customFormat="1" ht="12.75" x14ac:dyDescent="0.2">
      <c r="A338" s="508" t="s">
        <v>2555</v>
      </c>
      <c r="B338" s="545" t="s">
        <v>587</v>
      </c>
      <c r="C338" s="76" t="s">
        <v>588</v>
      </c>
      <c r="D338" s="59" t="s">
        <v>585</v>
      </c>
      <c r="E338" s="198">
        <v>1</v>
      </c>
      <c r="F338" s="320">
        <f>VLOOKUP(B338,'BASE DE DATOS'!$A$5:$E$997,5,FALSE)</f>
        <v>514339</v>
      </c>
      <c r="G338" s="681">
        <f>1/6</f>
        <v>0.16666666666666666</v>
      </c>
      <c r="H338" s="252">
        <f t="shared" si="30"/>
        <v>85723.166666666657</v>
      </c>
      <c r="I338" s="914"/>
    </row>
    <row r="339" spans="1:9" s="324" customFormat="1" ht="12.75" x14ac:dyDescent="0.2">
      <c r="A339" s="937" t="s">
        <v>293</v>
      </c>
      <c r="B339" s="244" t="s">
        <v>269</v>
      </c>
      <c r="C339" s="62" t="s">
        <v>284</v>
      </c>
      <c r="D339" s="19" t="s">
        <v>586</v>
      </c>
      <c r="E339" s="194">
        <v>0.1</v>
      </c>
      <c r="F339" s="320">
        <f>+H338</f>
        <v>85723.166666666657</v>
      </c>
      <c r="G339" s="681">
        <v>0</v>
      </c>
      <c r="H339" s="252">
        <f t="shared" si="30"/>
        <v>8572.3166666666657</v>
      </c>
      <c r="I339" s="914"/>
    </row>
    <row r="340" spans="1:9" s="324" customFormat="1" ht="13.5" thickBot="1" x14ac:dyDescent="0.25">
      <c r="A340" s="938"/>
      <c r="B340" s="543" t="s">
        <v>621</v>
      </c>
      <c r="C340" s="169" t="s">
        <v>360</v>
      </c>
      <c r="D340" s="112" t="s">
        <v>585</v>
      </c>
      <c r="E340" s="201">
        <v>1</v>
      </c>
      <c r="F340" s="355">
        <f>VLOOKUP(B340,'BASE DE DATOS'!$A$5:$E$997,5,FALSE)</f>
        <v>71400</v>
      </c>
      <c r="G340" s="686">
        <f>1</f>
        <v>1</v>
      </c>
      <c r="H340" s="255">
        <f t="shared" si="30"/>
        <v>71400</v>
      </c>
      <c r="I340" s="914"/>
    </row>
    <row r="341" spans="1:9" s="41" customFormat="1" ht="30" x14ac:dyDescent="0.2">
      <c r="A341" s="67" t="s">
        <v>1133</v>
      </c>
      <c r="B341" s="525"/>
      <c r="C341" s="372" t="s">
        <v>2645</v>
      </c>
      <c r="D341" s="333" t="s">
        <v>3261</v>
      </c>
      <c r="E341" s="426"/>
      <c r="F341" s="357">
        <f>ROUND(SUM(H341:H346),0)</f>
        <v>128539</v>
      </c>
      <c r="G341" s="687"/>
      <c r="H341" s="364"/>
      <c r="I341" s="914"/>
    </row>
    <row r="342" spans="1:9" s="324" customFormat="1" ht="14.25" x14ac:dyDescent="0.2">
      <c r="A342" s="502" t="s">
        <v>382</v>
      </c>
      <c r="B342" s="545" t="s">
        <v>1496</v>
      </c>
      <c r="C342" s="76" t="s">
        <v>3726</v>
      </c>
      <c r="D342" s="59" t="s">
        <v>56</v>
      </c>
      <c r="E342" s="194">
        <v>0.1</v>
      </c>
      <c r="F342" s="320">
        <f>VLOOKUP(B342,'BASE DE DATOS'!$A$5:$E$997,5,FALSE)</f>
        <v>857237</v>
      </c>
      <c r="G342" s="681">
        <v>1.25</v>
      </c>
      <c r="H342" s="252">
        <f t="shared" ref="H342:H346" si="31">IF(G342&gt;0,(G342*F342*E342),(F342*E342))</f>
        <v>107154.625</v>
      </c>
      <c r="I342" s="914"/>
    </row>
    <row r="343" spans="1:9" s="324" customFormat="1" ht="14.25" x14ac:dyDescent="0.2">
      <c r="A343" s="505" t="s">
        <v>2044</v>
      </c>
      <c r="B343" s="374" t="s">
        <v>1134</v>
      </c>
      <c r="C343" s="307" t="s">
        <v>474</v>
      </c>
      <c r="D343" s="19" t="s">
        <v>288</v>
      </c>
      <c r="E343" s="194">
        <v>1</v>
      </c>
      <c r="F343" s="320">
        <f>F347</f>
        <v>9359</v>
      </c>
      <c r="G343" s="681">
        <v>0</v>
      </c>
      <c r="H343" s="252">
        <f t="shared" si="31"/>
        <v>9359</v>
      </c>
      <c r="I343" s="914"/>
    </row>
    <row r="344" spans="1:9" s="324" customFormat="1" ht="12.75" x14ac:dyDescent="0.2">
      <c r="A344" s="508" t="s">
        <v>2555</v>
      </c>
      <c r="B344" s="244" t="s">
        <v>271</v>
      </c>
      <c r="C344" s="62" t="s">
        <v>272</v>
      </c>
      <c r="D344" s="19" t="s">
        <v>585</v>
      </c>
      <c r="E344" s="194">
        <v>1</v>
      </c>
      <c r="F344" s="320">
        <f>VLOOKUP(B344,'BASE DE DATOS'!$A$5:$E$997,5,FALSE)</f>
        <v>1312454</v>
      </c>
      <c r="G344" s="681">
        <f>1/125</f>
        <v>8.0000000000000002E-3</v>
      </c>
      <c r="H344" s="252">
        <f t="shared" si="31"/>
        <v>10499.632</v>
      </c>
      <c r="I344" s="914"/>
    </row>
    <row r="345" spans="1:9" s="324" customFormat="1" ht="12.75" x14ac:dyDescent="0.2">
      <c r="A345" s="937" t="s">
        <v>293</v>
      </c>
      <c r="B345" s="244" t="s">
        <v>269</v>
      </c>
      <c r="C345" s="62" t="s">
        <v>284</v>
      </c>
      <c r="D345" s="19" t="s">
        <v>586</v>
      </c>
      <c r="E345" s="194">
        <v>0.1</v>
      </c>
      <c r="F345" s="320">
        <f>+H344</f>
        <v>10499.632</v>
      </c>
      <c r="G345" s="681">
        <v>0</v>
      </c>
      <c r="H345" s="252">
        <f t="shared" si="31"/>
        <v>1049.9631999999999</v>
      </c>
      <c r="I345" s="914"/>
    </row>
    <row r="346" spans="1:9" s="324" customFormat="1" ht="13.5" thickBot="1" x14ac:dyDescent="0.25">
      <c r="A346" s="938"/>
      <c r="B346" s="546" t="s">
        <v>621</v>
      </c>
      <c r="C346" s="170" t="s">
        <v>355</v>
      </c>
      <c r="D346" s="112" t="s">
        <v>585</v>
      </c>
      <c r="E346" s="201">
        <v>1</v>
      </c>
      <c r="F346" s="355">
        <f>VLOOKUP(B346,'BASE DE DATOS'!$A$5:$E$997,5,FALSE)</f>
        <v>71400</v>
      </c>
      <c r="G346" s="686">
        <f>1/150</f>
        <v>6.6666666666666671E-3</v>
      </c>
      <c r="H346" s="255">
        <f t="shared" si="31"/>
        <v>476.00000000000006</v>
      </c>
      <c r="I346" s="914"/>
    </row>
    <row r="347" spans="1:9" s="41" customFormat="1" ht="17.25" x14ac:dyDescent="0.2">
      <c r="A347" s="67" t="s">
        <v>1134</v>
      </c>
      <c r="B347" s="541"/>
      <c r="C347" s="332" t="s">
        <v>474</v>
      </c>
      <c r="D347" s="333" t="s">
        <v>3261</v>
      </c>
      <c r="E347" s="426"/>
      <c r="F347" s="357">
        <f>ROUND(SUM(H347:H352),0)</f>
        <v>9359</v>
      </c>
      <c r="G347" s="683"/>
      <c r="H347" s="340"/>
      <c r="I347" s="914"/>
    </row>
    <row r="348" spans="1:9" s="324" customFormat="1" ht="12.75" x14ac:dyDescent="0.2">
      <c r="A348" s="502" t="s">
        <v>382</v>
      </c>
      <c r="B348" s="244" t="s">
        <v>1295</v>
      </c>
      <c r="C348" s="62" t="s">
        <v>691</v>
      </c>
      <c r="D348" s="19" t="s">
        <v>642</v>
      </c>
      <c r="E348" s="194">
        <v>0.31</v>
      </c>
      <c r="F348" s="320">
        <f>VLOOKUP(B348,'BASE DE DATOS'!$A$5:$E$997,5,FALSE)</f>
        <v>23980</v>
      </c>
      <c r="G348" s="681">
        <v>1</v>
      </c>
      <c r="H348" s="252">
        <f t="shared" ref="H348:H352" si="32">IF(G348&gt;0,(G348*F348*E348),(F348*E348))</f>
        <v>7433.8</v>
      </c>
      <c r="I348" s="914"/>
    </row>
    <row r="349" spans="1:9" s="324" customFormat="1" ht="12.75" x14ac:dyDescent="0.2">
      <c r="A349" s="508" t="s">
        <v>2555</v>
      </c>
      <c r="B349" s="244" t="s">
        <v>583</v>
      </c>
      <c r="C349" s="62" t="s">
        <v>584</v>
      </c>
      <c r="D349" s="138" t="s">
        <v>585</v>
      </c>
      <c r="E349" s="194">
        <v>1</v>
      </c>
      <c r="F349" s="320">
        <f>VLOOKUP(B349,'BASE DE DATOS'!$A$5:$E$997,5,FALSE)</f>
        <v>88679</v>
      </c>
      <c r="G349" s="681">
        <f>1/245*4</f>
        <v>1.6326530612244899E-2</v>
      </c>
      <c r="H349" s="252">
        <f t="shared" si="32"/>
        <v>1447.8204081632655</v>
      </c>
      <c r="I349" s="914"/>
    </row>
    <row r="350" spans="1:9" s="324" customFormat="1" ht="12.75" x14ac:dyDescent="0.2">
      <c r="A350" s="937" t="s">
        <v>293</v>
      </c>
      <c r="B350" s="244" t="s">
        <v>209</v>
      </c>
      <c r="C350" s="474" t="s">
        <v>210</v>
      </c>
      <c r="D350" s="215" t="s">
        <v>614</v>
      </c>
      <c r="E350" s="194">
        <v>1</v>
      </c>
      <c r="F350" s="320">
        <f>VLOOKUP(B350,'BASE DE DATOS'!$A$5:$E$997,5,FALSE)</f>
        <v>107100</v>
      </c>
      <c r="G350" s="684">
        <f>1/500</f>
        <v>2E-3</v>
      </c>
      <c r="H350" s="252">
        <f>IF(G350&gt;0,(G350*F350*E350),(F350*E350))</f>
        <v>214.20000000000002</v>
      </c>
      <c r="I350" s="914"/>
    </row>
    <row r="351" spans="1:9" s="324" customFormat="1" ht="14.25" x14ac:dyDescent="0.2">
      <c r="A351" s="937"/>
      <c r="B351" s="244" t="s">
        <v>1908</v>
      </c>
      <c r="C351" s="474" t="s">
        <v>1909</v>
      </c>
      <c r="D351" s="595" t="s">
        <v>56</v>
      </c>
      <c r="E351" s="194">
        <v>1</v>
      </c>
      <c r="F351" s="320">
        <f>VLOOKUP(B351,'BASE DE DATOS'!$A$5:$E$997,5,FALSE)</f>
        <v>59000</v>
      </c>
      <c r="G351" s="684">
        <f>1/500</f>
        <v>2E-3</v>
      </c>
      <c r="H351" s="252">
        <f>IF(G351&gt;0,(G351*F351*E351),(F351*E351))</f>
        <v>118</v>
      </c>
      <c r="I351" s="914"/>
    </row>
    <row r="352" spans="1:9" s="324" customFormat="1" ht="13.5" thickBot="1" x14ac:dyDescent="0.25">
      <c r="A352" s="938"/>
      <c r="B352" s="543" t="s">
        <v>269</v>
      </c>
      <c r="C352" s="75" t="s">
        <v>284</v>
      </c>
      <c r="D352" s="49" t="s">
        <v>586</v>
      </c>
      <c r="E352" s="195">
        <v>0.1</v>
      </c>
      <c r="F352" s="355">
        <f>+H349</f>
        <v>1447.8204081632655</v>
      </c>
      <c r="G352" s="682">
        <v>0</v>
      </c>
      <c r="H352" s="255">
        <f t="shared" si="32"/>
        <v>144.78204081632654</v>
      </c>
      <c r="I352" s="914"/>
    </row>
    <row r="353" spans="1:9" s="41" customFormat="1" ht="30" x14ac:dyDescent="0.2">
      <c r="A353" s="67" t="s">
        <v>1135</v>
      </c>
      <c r="B353" s="541"/>
      <c r="C353" s="325" t="s">
        <v>1966</v>
      </c>
      <c r="D353" s="333" t="s">
        <v>3261</v>
      </c>
      <c r="E353" s="414"/>
      <c r="F353" s="357">
        <f>ROUND(SUM(H353:H358),0)</f>
        <v>3482</v>
      </c>
      <c r="G353" s="683"/>
      <c r="H353" s="340"/>
      <c r="I353" s="914"/>
    </row>
    <row r="354" spans="1:9" s="324" customFormat="1" ht="12.75" x14ac:dyDescent="0.2">
      <c r="A354" s="502" t="s">
        <v>382</v>
      </c>
      <c r="B354" s="244" t="s">
        <v>1754</v>
      </c>
      <c r="C354" s="62" t="s">
        <v>1250</v>
      </c>
      <c r="D354" s="350" t="s">
        <v>590</v>
      </c>
      <c r="E354" s="692">
        <v>0.5</v>
      </c>
      <c r="F354" s="320">
        <f>VLOOKUP(B354,'BASE DE DATOS'!$A$5:$E$997,5,FALSE)</f>
        <v>12843</v>
      </c>
      <c r="G354" s="681">
        <v>0.45</v>
      </c>
      <c r="H354" s="252">
        <f t="shared" ref="H354:H357" si="33">IF(G354&gt;0,(G354*F354*E354),(F354*E354))</f>
        <v>2889.6750000000002</v>
      </c>
      <c r="I354" s="914"/>
    </row>
    <row r="355" spans="1:9" s="324" customFormat="1" ht="12.75" x14ac:dyDescent="0.2">
      <c r="A355" s="508" t="s">
        <v>2555</v>
      </c>
      <c r="B355" s="244" t="s">
        <v>583</v>
      </c>
      <c r="C355" s="62" t="s">
        <v>584</v>
      </c>
      <c r="D355" s="19" t="s">
        <v>585</v>
      </c>
      <c r="E355" s="194">
        <v>1</v>
      </c>
      <c r="F355" s="320">
        <f>VLOOKUP(B355,'BASE DE DATOS'!$A$5:$E$997,5,FALSE)</f>
        <v>88679</v>
      </c>
      <c r="G355" s="681">
        <f>1/750*2</f>
        <v>2.6666666666666666E-3</v>
      </c>
      <c r="H355" s="252">
        <f t="shared" si="33"/>
        <v>236.47733333333332</v>
      </c>
      <c r="I355" s="914"/>
    </row>
    <row r="356" spans="1:9" s="375" customFormat="1" ht="12.75" x14ac:dyDescent="0.2">
      <c r="A356" s="937" t="s">
        <v>293</v>
      </c>
      <c r="B356" s="244" t="s">
        <v>209</v>
      </c>
      <c r="C356" s="474" t="s">
        <v>210</v>
      </c>
      <c r="D356" s="215" t="s">
        <v>614</v>
      </c>
      <c r="E356" s="194">
        <v>1</v>
      </c>
      <c r="F356" s="320">
        <f>VLOOKUP(B356,'BASE DE DATOS'!$A$5:$E$997,5,FALSE)</f>
        <v>107100</v>
      </c>
      <c r="G356" s="684">
        <v>2E-3</v>
      </c>
      <c r="H356" s="252">
        <f>IF(G356&gt;0,(G356*F356*E356),(F356*E356))</f>
        <v>214.20000000000002</v>
      </c>
      <c r="I356" s="919"/>
    </row>
    <row r="357" spans="1:9" s="324" customFormat="1" ht="12.75" x14ac:dyDescent="0.2">
      <c r="A357" s="937"/>
      <c r="B357" s="244" t="s">
        <v>1908</v>
      </c>
      <c r="C357" s="474" t="s">
        <v>1909</v>
      </c>
      <c r="D357" s="215" t="s">
        <v>585</v>
      </c>
      <c r="E357" s="194">
        <v>1</v>
      </c>
      <c r="F357" s="320">
        <f>VLOOKUP(B357,'BASE DE DATOS'!$A$5:$E$997,5,FALSE)</f>
        <v>59000</v>
      </c>
      <c r="G357" s="684">
        <f>1/500</f>
        <v>2E-3</v>
      </c>
      <c r="H357" s="252">
        <f t="shared" si="33"/>
        <v>118</v>
      </c>
      <c r="I357" s="914"/>
    </row>
    <row r="358" spans="1:9" s="324" customFormat="1" ht="13.5" thickBot="1" x14ac:dyDescent="0.25">
      <c r="A358" s="938"/>
      <c r="B358" s="543" t="s">
        <v>269</v>
      </c>
      <c r="C358" s="75" t="s">
        <v>284</v>
      </c>
      <c r="D358" s="49" t="s">
        <v>586</v>
      </c>
      <c r="E358" s="195">
        <v>0.1</v>
      </c>
      <c r="F358" s="355">
        <f>+H355</f>
        <v>236.47733333333332</v>
      </c>
      <c r="G358" s="682">
        <v>0</v>
      </c>
      <c r="H358" s="255">
        <f>IF(G358&gt;0,(G358*F358*E358),(F358*E358))</f>
        <v>23.647733333333335</v>
      </c>
      <c r="I358" s="914"/>
    </row>
    <row r="359" spans="1:9" s="41" customFormat="1" ht="17.25" x14ac:dyDescent="0.2">
      <c r="A359" s="67" t="s">
        <v>1136</v>
      </c>
      <c r="B359" s="541"/>
      <c r="C359" s="332" t="s">
        <v>3730</v>
      </c>
      <c r="D359" s="333" t="s">
        <v>3261</v>
      </c>
      <c r="E359" s="414"/>
      <c r="F359" s="357">
        <f>ROUND(SUM(H359:H363),0)</f>
        <v>3703</v>
      </c>
      <c r="G359" s="683"/>
      <c r="H359" s="340"/>
      <c r="I359" s="914"/>
    </row>
    <row r="360" spans="1:9" s="324" customFormat="1" ht="25.5" customHeight="1" x14ac:dyDescent="0.2">
      <c r="A360" s="656" t="s">
        <v>382</v>
      </c>
      <c r="B360" s="244" t="s">
        <v>1379</v>
      </c>
      <c r="C360" s="659" t="s">
        <v>3917</v>
      </c>
      <c r="D360" s="19" t="s">
        <v>617</v>
      </c>
      <c r="E360" s="194">
        <v>0.5</v>
      </c>
      <c r="F360" s="320">
        <f>VLOOKUP(B360,'BASE DE DATOS'!$A$5:$E$997,5,FALSE)</f>
        <v>6587.3015873015875</v>
      </c>
      <c r="G360" s="681">
        <v>0</v>
      </c>
      <c r="H360" s="252">
        <f t="shared" ref="H360:H361" si="34">IF(G360&gt;0,(G360*F360*E360),(F360*E360))</f>
        <v>3293.6507936507937</v>
      </c>
      <c r="I360" s="914"/>
    </row>
    <row r="361" spans="1:9" s="324" customFormat="1" ht="12.75" x14ac:dyDescent="0.2">
      <c r="A361" s="657" t="s">
        <v>2555</v>
      </c>
      <c r="B361" s="244" t="s">
        <v>583</v>
      </c>
      <c r="C361" s="62" t="s">
        <v>584</v>
      </c>
      <c r="D361" s="19" t="s">
        <v>585</v>
      </c>
      <c r="E361" s="194">
        <v>1</v>
      </c>
      <c r="F361" s="320">
        <f>VLOOKUP(B361,'BASE DE DATOS'!$A$5:$E$997,5,FALSE)</f>
        <v>88679</v>
      </c>
      <c r="G361" s="681">
        <f>1/500</f>
        <v>2E-3</v>
      </c>
      <c r="H361" s="252">
        <f t="shared" si="34"/>
        <v>177.358</v>
      </c>
      <c r="I361" s="914"/>
    </row>
    <row r="362" spans="1:9" s="324" customFormat="1" ht="12.75" x14ac:dyDescent="0.2">
      <c r="A362" s="937" t="s">
        <v>293</v>
      </c>
      <c r="B362" s="244" t="s">
        <v>209</v>
      </c>
      <c r="C362" s="474" t="s">
        <v>210</v>
      </c>
      <c r="D362" s="215" t="s">
        <v>614</v>
      </c>
      <c r="E362" s="194">
        <v>1</v>
      </c>
      <c r="F362" s="320">
        <f>VLOOKUP(B362,'BASE DE DATOS'!$A$5:$E$997,5,FALSE)</f>
        <v>107100</v>
      </c>
      <c r="G362" s="684">
        <f>1/500</f>
        <v>2E-3</v>
      </c>
      <c r="H362" s="252">
        <f>IF(G362&gt;0,(G362*F362*E362),(F362*E362))</f>
        <v>214.20000000000002</v>
      </c>
      <c r="I362" s="914"/>
    </row>
    <row r="363" spans="1:9" s="324" customFormat="1" ht="13.5" thickBot="1" x14ac:dyDescent="0.25">
      <c r="A363" s="938"/>
      <c r="B363" s="543" t="s">
        <v>269</v>
      </c>
      <c r="C363" s="75" t="s">
        <v>284</v>
      </c>
      <c r="D363" s="49" t="s">
        <v>586</v>
      </c>
      <c r="E363" s="195">
        <v>0.1</v>
      </c>
      <c r="F363" s="355">
        <f>+H361</f>
        <v>177.358</v>
      </c>
      <c r="G363" s="682">
        <v>0</v>
      </c>
      <c r="H363" s="255">
        <f t="shared" ref="H363" si="35">IF(G363&gt;0,(G363*F363*E363),(F363*E363))</f>
        <v>17.735800000000001</v>
      </c>
      <c r="I363" s="914"/>
    </row>
    <row r="364" spans="1:9" s="41" customFormat="1" ht="17.25" x14ac:dyDescent="0.2">
      <c r="A364" s="67" t="s">
        <v>3729</v>
      </c>
      <c r="B364" s="541"/>
      <c r="C364" s="332" t="s">
        <v>3731</v>
      </c>
      <c r="D364" s="333" t="s">
        <v>3261</v>
      </c>
      <c r="E364" s="414"/>
      <c r="F364" s="357">
        <f>ROUND(SUM(H364:H368),0)</f>
        <v>3065</v>
      </c>
      <c r="G364" s="683"/>
      <c r="H364" s="340"/>
      <c r="I364" s="914">
        <v>9</v>
      </c>
    </row>
    <row r="365" spans="1:9" s="324" customFormat="1" ht="12.75" x14ac:dyDescent="0.2">
      <c r="A365" s="502" t="s">
        <v>382</v>
      </c>
      <c r="B365" s="244" t="s">
        <v>3710</v>
      </c>
      <c r="C365" s="62" t="s">
        <v>3728</v>
      </c>
      <c r="D365" s="19" t="s">
        <v>617</v>
      </c>
      <c r="E365" s="194">
        <v>0.5</v>
      </c>
      <c r="F365" s="320">
        <f>VLOOKUP(B365,'BASE DE DATOS'!$A$5:$E$997,5,FALSE)</f>
        <v>5311.5</v>
      </c>
      <c r="G365" s="681">
        <v>0</v>
      </c>
      <c r="H365" s="252">
        <f t="shared" ref="H365:H368" si="36">IF(G365&gt;0,(G365*F365*E365),(F365*E365))</f>
        <v>2655.75</v>
      </c>
      <c r="I365" s="914"/>
    </row>
    <row r="366" spans="1:9" s="324" customFormat="1" ht="12.75" x14ac:dyDescent="0.2">
      <c r="A366" s="508" t="s">
        <v>2555</v>
      </c>
      <c r="B366" s="244" t="s">
        <v>583</v>
      </c>
      <c r="C366" s="62" t="s">
        <v>584</v>
      </c>
      <c r="D366" s="19" t="s">
        <v>585</v>
      </c>
      <c r="E366" s="194">
        <v>1</v>
      </c>
      <c r="F366" s="320">
        <f>VLOOKUP(B366,'BASE DE DATOS'!$A$5:$E$997,5,FALSE)</f>
        <v>88679</v>
      </c>
      <c r="G366" s="681">
        <f>1/500</f>
        <v>2E-3</v>
      </c>
      <c r="H366" s="252">
        <f t="shared" si="36"/>
        <v>177.358</v>
      </c>
      <c r="I366" s="914"/>
    </row>
    <row r="367" spans="1:9" s="324" customFormat="1" ht="12.75" x14ac:dyDescent="0.2">
      <c r="A367" s="937" t="s">
        <v>293</v>
      </c>
      <c r="B367" s="244" t="s">
        <v>209</v>
      </c>
      <c r="C367" s="474" t="s">
        <v>210</v>
      </c>
      <c r="D367" s="215" t="s">
        <v>614</v>
      </c>
      <c r="E367" s="194">
        <v>1</v>
      </c>
      <c r="F367" s="320">
        <f>VLOOKUP(B367,'BASE DE DATOS'!$A$5:$E$997,5,FALSE)</f>
        <v>107100</v>
      </c>
      <c r="G367" s="684">
        <f>1/500</f>
        <v>2E-3</v>
      </c>
      <c r="H367" s="252">
        <f>IF(G367&gt;0,(G367*F367*E367),(F367*E367))</f>
        <v>214.20000000000002</v>
      </c>
      <c r="I367" s="914"/>
    </row>
    <row r="368" spans="1:9" s="324" customFormat="1" ht="13.5" thickBot="1" x14ac:dyDescent="0.25">
      <c r="A368" s="938"/>
      <c r="B368" s="543" t="s">
        <v>269</v>
      </c>
      <c r="C368" s="75" t="s">
        <v>284</v>
      </c>
      <c r="D368" s="49" t="s">
        <v>586</v>
      </c>
      <c r="E368" s="195">
        <v>0.1</v>
      </c>
      <c r="F368" s="355">
        <f>+H366</f>
        <v>177.358</v>
      </c>
      <c r="G368" s="682">
        <v>0</v>
      </c>
      <c r="H368" s="255">
        <f t="shared" si="36"/>
        <v>17.735800000000001</v>
      </c>
      <c r="I368" s="914"/>
    </row>
    <row r="369" spans="1:9" s="41" customFormat="1" ht="15.75" thickBot="1" x14ac:dyDescent="0.25">
      <c r="A369" s="950" t="s">
        <v>2213</v>
      </c>
      <c r="B369" s="951"/>
      <c r="C369" s="951"/>
      <c r="D369" s="951"/>
      <c r="E369" s="951"/>
      <c r="F369" s="957"/>
      <c r="G369" s="951"/>
      <c r="H369" s="952"/>
      <c r="I369" s="914"/>
    </row>
    <row r="370" spans="1:9" s="41" customFormat="1" ht="45.75" thickBot="1" x14ac:dyDescent="0.25">
      <c r="A370" s="510" t="s">
        <v>2044</v>
      </c>
      <c r="B370" s="346" t="s">
        <v>265</v>
      </c>
      <c r="C370" s="74" t="s">
        <v>402</v>
      </c>
      <c r="D370" s="347" t="s">
        <v>346</v>
      </c>
      <c r="E370" s="351" t="s">
        <v>2173</v>
      </c>
      <c r="F370" s="162" t="s">
        <v>404</v>
      </c>
      <c r="G370" s="352" t="s">
        <v>281</v>
      </c>
      <c r="H370" s="73" t="s">
        <v>282</v>
      </c>
      <c r="I370" s="914"/>
    </row>
    <row r="371" spans="1:9" s="41" customFormat="1" ht="45" x14ac:dyDescent="0.2">
      <c r="A371" s="67" t="s">
        <v>1091</v>
      </c>
      <c r="B371" s="551"/>
      <c r="C371" s="325" t="s">
        <v>401</v>
      </c>
      <c r="D371" s="326" t="s">
        <v>3251</v>
      </c>
      <c r="E371" s="426"/>
      <c r="F371" s="357">
        <f>ROUND(SUM(H371:H384),0)</f>
        <v>139244</v>
      </c>
      <c r="G371" s="683"/>
      <c r="H371" s="330"/>
      <c r="I371" s="914"/>
    </row>
    <row r="372" spans="1:9" s="324" customFormat="1" ht="12.75" x14ac:dyDescent="0.2">
      <c r="A372" s="936" t="s">
        <v>382</v>
      </c>
      <c r="B372" s="244" t="s">
        <v>1290</v>
      </c>
      <c r="C372" s="62" t="s">
        <v>2697</v>
      </c>
      <c r="D372" s="19" t="s">
        <v>406</v>
      </c>
      <c r="E372" s="194">
        <v>0.3</v>
      </c>
      <c r="F372" s="320">
        <f>VLOOKUP(B372,'BASE DE DATOS'!$A$5:$E$997,5,FALSE)</f>
        <v>13045</v>
      </c>
      <c r="G372" s="681">
        <v>1.03</v>
      </c>
      <c r="H372" s="252">
        <f t="shared" ref="H372:H435" si="37">IF(G372&gt;0,(G372*F372*E372),(F372*E372))</f>
        <v>4030.9049999999997</v>
      </c>
      <c r="I372" s="914"/>
    </row>
    <row r="373" spans="1:9" s="324" customFormat="1" ht="12.75" x14ac:dyDescent="0.2">
      <c r="A373" s="936"/>
      <c r="B373" s="244" t="s">
        <v>1479</v>
      </c>
      <c r="C373" s="62" t="s">
        <v>1912</v>
      </c>
      <c r="D373" s="19" t="s">
        <v>405</v>
      </c>
      <c r="E373" s="198">
        <v>1</v>
      </c>
      <c r="F373" s="320">
        <f>VLOOKUP(B373,'BASE DE DATOS'!$A$5:$E$997,5,FALSE)</f>
        <v>648</v>
      </c>
      <c r="G373" s="681">
        <v>0.1</v>
      </c>
      <c r="H373" s="252">
        <f t="shared" si="37"/>
        <v>64.8</v>
      </c>
      <c r="I373" s="914"/>
    </row>
    <row r="374" spans="1:9" s="324" customFormat="1" ht="14.25" x14ac:dyDescent="0.2">
      <c r="A374" s="948" t="s">
        <v>3252</v>
      </c>
      <c r="B374" s="244" t="s">
        <v>799</v>
      </c>
      <c r="C374" s="62" t="s">
        <v>3276</v>
      </c>
      <c r="D374" s="19" t="s">
        <v>285</v>
      </c>
      <c r="E374" s="194">
        <v>0.15</v>
      </c>
      <c r="F374" s="320">
        <f>CONSTRUCCION!F34</f>
        <v>482282</v>
      </c>
      <c r="G374" s="681">
        <v>1.05</v>
      </c>
      <c r="H374" s="252">
        <f>IF(G374&gt;0,(G374*F374*E374),(F374*E374))</f>
        <v>75959.415000000008</v>
      </c>
      <c r="I374" s="914"/>
    </row>
    <row r="375" spans="1:9" s="324" customFormat="1" ht="12.75" x14ac:dyDescent="0.2">
      <c r="A375" s="948"/>
      <c r="B375" s="244" t="s">
        <v>814</v>
      </c>
      <c r="C375" s="62" t="s">
        <v>2018</v>
      </c>
      <c r="D375" s="19" t="s">
        <v>406</v>
      </c>
      <c r="E375" s="194">
        <v>1.8</v>
      </c>
      <c r="F375" s="320">
        <f>CONSTRUCCION!F118</f>
        <v>7440</v>
      </c>
      <c r="G375" s="681">
        <v>0</v>
      </c>
      <c r="H375" s="252">
        <f>IF(G375&gt;0,(G375*F375*E375),(F375*E375))</f>
        <v>13392</v>
      </c>
      <c r="I375" s="914"/>
    </row>
    <row r="376" spans="1:9" s="324" customFormat="1" ht="12.75" x14ac:dyDescent="0.2">
      <c r="A376" s="948"/>
      <c r="B376" s="244" t="s">
        <v>1099</v>
      </c>
      <c r="C376" s="77" t="s">
        <v>54</v>
      </c>
      <c r="D376" s="19" t="s">
        <v>405</v>
      </c>
      <c r="E376" s="194">
        <v>0.64</v>
      </c>
      <c r="F376" s="320">
        <f>F60</f>
        <v>4683</v>
      </c>
      <c r="G376" s="681">
        <v>0</v>
      </c>
      <c r="H376" s="252">
        <f>IF(G376&gt;0,(G376*F376*E376),(F376*E376))</f>
        <v>2997.12</v>
      </c>
      <c r="I376" s="914"/>
    </row>
    <row r="377" spans="1:9" s="324" customFormat="1" ht="12.75" x14ac:dyDescent="0.2">
      <c r="A377" s="948"/>
      <c r="B377" s="244" t="s">
        <v>1145</v>
      </c>
      <c r="C377" s="77" t="s">
        <v>35</v>
      </c>
      <c r="D377" s="19" t="s">
        <v>405</v>
      </c>
      <c r="E377" s="194">
        <v>0.64</v>
      </c>
      <c r="F377" s="320">
        <f>F496</f>
        <v>6599</v>
      </c>
      <c r="G377" s="681">
        <v>0</v>
      </c>
      <c r="H377" s="252">
        <f t="shared" si="37"/>
        <v>4223.3599999999997</v>
      </c>
      <c r="I377" s="914"/>
    </row>
    <row r="378" spans="1:9" s="324" customFormat="1" ht="12.75" x14ac:dyDescent="0.2">
      <c r="A378" s="508" t="s">
        <v>2555</v>
      </c>
      <c r="B378" s="244" t="s">
        <v>618</v>
      </c>
      <c r="C378" s="182" t="s">
        <v>619</v>
      </c>
      <c r="D378" s="138" t="s">
        <v>585</v>
      </c>
      <c r="E378" s="194">
        <v>1</v>
      </c>
      <c r="F378" s="320">
        <f>VLOOKUP(B378,'BASE DE DATOS'!$A$5:$E$997,5,FALSE)</f>
        <v>780376</v>
      </c>
      <c r="G378" s="681">
        <v>4.4999999999999998E-2</v>
      </c>
      <c r="H378" s="252">
        <f t="shared" si="37"/>
        <v>35116.92</v>
      </c>
      <c r="I378" s="914"/>
    </row>
    <row r="379" spans="1:9" s="324" customFormat="1" ht="12.75" x14ac:dyDescent="0.2">
      <c r="A379" s="987" t="s">
        <v>293</v>
      </c>
      <c r="B379" s="244" t="s">
        <v>1910</v>
      </c>
      <c r="C379" s="62" t="s">
        <v>1911</v>
      </c>
      <c r="D379" s="138" t="s">
        <v>585</v>
      </c>
      <c r="E379" s="194">
        <v>1</v>
      </c>
      <c r="F379" s="320">
        <f>VLOOKUP(B379,'BASE DE DATOS'!$A$5:$E$997,5,FALSE)</f>
        <v>20760</v>
      </c>
      <c r="G379" s="681">
        <v>0.02</v>
      </c>
      <c r="H379" s="252">
        <f t="shared" si="37"/>
        <v>415.2</v>
      </c>
      <c r="I379" s="914"/>
    </row>
    <row r="380" spans="1:9" s="324" customFormat="1" ht="12.75" x14ac:dyDescent="0.2">
      <c r="A380" s="987"/>
      <c r="B380" s="244" t="s">
        <v>1908</v>
      </c>
      <c r="C380" s="62" t="s">
        <v>1957</v>
      </c>
      <c r="D380" s="138" t="s">
        <v>585</v>
      </c>
      <c r="E380" s="194">
        <v>1</v>
      </c>
      <c r="F380" s="320">
        <f>VLOOKUP(B380,'BASE DE DATOS'!$A$5:$E$997,5,FALSE)</f>
        <v>59000</v>
      </c>
      <c r="G380" s="681">
        <v>0.02</v>
      </c>
      <c r="H380" s="252">
        <f t="shared" si="37"/>
        <v>1180</v>
      </c>
      <c r="I380" s="914"/>
    </row>
    <row r="381" spans="1:9" s="324" customFormat="1" ht="12.75" x14ac:dyDescent="0.2">
      <c r="A381" s="987"/>
      <c r="B381" s="244" t="s">
        <v>672</v>
      </c>
      <c r="C381" s="62" t="s">
        <v>2188</v>
      </c>
      <c r="D381" s="19" t="s">
        <v>585</v>
      </c>
      <c r="E381" s="194">
        <v>1</v>
      </c>
      <c r="F381" s="320">
        <f>VLOOKUP(B381,'BASE DE DATOS'!$A$5:$E$997,5,FALSE)</f>
        <v>4400</v>
      </c>
      <c r="G381" s="681">
        <f>1/10.8</f>
        <v>9.2592592592592587E-2</v>
      </c>
      <c r="H381" s="252">
        <f>IF(G381&gt;0,(G381*F381*E381),(F381*E381))</f>
        <v>407.40740740740739</v>
      </c>
      <c r="I381" s="914"/>
    </row>
    <row r="382" spans="1:9" s="324" customFormat="1" ht="12.75" x14ac:dyDescent="0.2">
      <c r="A382" s="987"/>
      <c r="B382" s="244" t="s">
        <v>269</v>
      </c>
      <c r="C382" s="474" t="s">
        <v>284</v>
      </c>
      <c r="D382" s="215" t="s">
        <v>586</v>
      </c>
      <c r="E382" s="194">
        <v>0.05</v>
      </c>
      <c r="F382" s="320">
        <f>+H378</f>
        <v>35116.92</v>
      </c>
      <c r="G382" s="684">
        <v>0.125</v>
      </c>
      <c r="H382" s="252">
        <f>IF(G382&gt;0,(G382*F382*E382),(F382*E382))</f>
        <v>219.48075</v>
      </c>
      <c r="I382" s="914"/>
    </row>
    <row r="383" spans="1:9" s="324" customFormat="1" ht="12.75" x14ac:dyDescent="0.2">
      <c r="A383" s="987"/>
      <c r="B383" s="244" t="s">
        <v>670</v>
      </c>
      <c r="C383" s="474" t="s">
        <v>671</v>
      </c>
      <c r="D383" s="215" t="s">
        <v>585</v>
      </c>
      <c r="E383" s="194">
        <v>1</v>
      </c>
      <c r="F383" s="320">
        <f>VLOOKUP(B383,'BASE DE DATOS'!$A$5:$E$997,5,FALSE)</f>
        <v>65450</v>
      </c>
      <c r="G383" s="684">
        <f>1/100</f>
        <v>0.01</v>
      </c>
      <c r="H383" s="252">
        <f>IF(G383&gt;0,(G383*F383*E383),(F383*E383))</f>
        <v>654.5</v>
      </c>
      <c r="I383" s="914"/>
    </row>
    <row r="384" spans="1:9" s="324" customFormat="1" ht="13.5" thickBot="1" x14ac:dyDescent="0.25">
      <c r="A384" s="1044"/>
      <c r="B384" s="543" t="s">
        <v>668</v>
      </c>
      <c r="C384" s="75" t="s">
        <v>669</v>
      </c>
      <c r="D384" s="49" t="s">
        <v>585</v>
      </c>
      <c r="E384" s="195">
        <v>1</v>
      </c>
      <c r="F384" s="355">
        <f>VLOOKUP(B384,'BASE DE DATOS'!$A$5:$E$997,5,FALSE)</f>
        <v>58310</v>
      </c>
      <c r="G384" s="682">
        <f>1/100</f>
        <v>0.01</v>
      </c>
      <c r="H384" s="255">
        <f t="shared" si="37"/>
        <v>583.1</v>
      </c>
      <c r="I384" s="914"/>
    </row>
    <row r="385" spans="1:9" s="41" customFormat="1" ht="45" x14ac:dyDescent="0.2">
      <c r="A385" s="67" t="s">
        <v>1137</v>
      </c>
      <c r="B385" s="526"/>
      <c r="C385" s="325" t="s">
        <v>51</v>
      </c>
      <c r="D385" s="326" t="s">
        <v>3251</v>
      </c>
      <c r="E385" s="414"/>
      <c r="F385" s="357">
        <f>ROUND(SUM(H385:H398),0)</f>
        <v>153995</v>
      </c>
      <c r="G385" s="696"/>
      <c r="H385" s="330"/>
      <c r="I385" s="914"/>
    </row>
    <row r="386" spans="1:9" s="324" customFormat="1" ht="12.75" x14ac:dyDescent="0.2">
      <c r="A386" s="936" t="s">
        <v>382</v>
      </c>
      <c r="B386" s="244" t="s">
        <v>1290</v>
      </c>
      <c r="C386" s="62" t="s">
        <v>2697</v>
      </c>
      <c r="D386" s="19" t="s">
        <v>406</v>
      </c>
      <c r="E386" s="194">
        <f>1/5</f>
        <v>0.2</v>
      </c>
      <c r="F386" s="320">
        <f>VLOOKUP(B386,'BASE DE DATOS'!$A$5:$E$997,5,FALSE)</f>
        <v>13045</v>
      </c>
      <c r="G386" s="681">
        <v>1.03</v>
      </c>
      <c r="H386" s="252">
        <f t="shared" si="37"/>
        <v>2687.2700000000004</v>
      </c>
      <c r="I386" s="914"/>
    </row>
    <row r="387" spans="1:9" s="324" customFormat="1" ht="12.75" x14ac:dyDescent="0.2">
      <c r="A387" s="936"/>
      <c r="B387" s="244" t="s">
        <v>1479</v>
      </c>
      <c r="C387" s="62" t="s">
        <v>1912</v>
      </c>
      <c r="D387" s="19" t="s">
        <v>405</v>
      </c>
      <c r="E387" s="198">
        <v>1</v>
      </c>
      <c r="F387" s="320">
        <f>VLOOKUP(B387,'BASE DE DATOS'!$A$5:$E$997,5,FALSE)</f>
        <v>648</v>
      </c>
      <c r="G387" s="681">
        <v>0.1</v>
      </c>
      <c r="H387" s="252">
        <f t="shared" si="37"/>
        <v>64.8</v>
      </c>
      <c r="I387" s="914"/>
    </row>
    <row r="388" spans="1:9" s="324" customFormat="1" ht="14.25" x14ac:dyDescent="0.2">
      <c r="A388" s="948" t="s">
        <v>3252</v>
      </c>
      <c r="B388" s="244" t="s">
        <v>799</v>
      </c>
      <c r="C388" s="62" t="s">
        <v>3276</v>
      </c>
      <c r="D388" s="19" t="s">
        <v>285</v>
      </c>
      <c r="E388" s="194">
        <v>0.17499999999999999</v>
      </c>
      <c r="F388" s="320">
        <f>CONSTRUCCION!F34</f>
        <v>482282</v>
      </c>
      <c r="G388" s="681">
        <v>1.05</v>
      </c>
      <c r="H388" s="252">
        <f>IF(G388&gt;0,(G388*F388*E388),(F388*E388))</f>
        <v>88619.317500000005</v>
      </c>
      <c r="I388" s="914"/>
    </row>
    <row r="389" spans="1:9" s="324" customFormat="1" ht="12.75" x14ac:dyDescent="0.2">
      <c r="A389" s="948"/>
      <c r="B389" s="244" t="s">
        <v>814</v>
      </c>
      <c r="C389" s="62" t="s">
        <v>2018</v>
      </c>
      <c r="D389" s="19" t="s">
        <v>406</v>
      </c>
      <c r="E389" s="194">
        <v>1.8</v>
      </c>
      <c r="F389" s="320">
        <f>CONSTRUCCION!F118</f>
        <v>7440</v>
      </c>
      <c r="G389" s="681">
        <v>0</v>
      </c>
      <c r="H389" s="252">
        <f>IF(G389&gt;0,(G389*F389*E389),(F389*E389))</f>
        <v>13392</v>
      </c>
      <c r="I389" s="914"/>
    </row>
    <row r="390" spans="1:9" s="324" customFormat="1" ht="12.75" x14ac:dyDescent="0.2">
      <c r="A390" s="948"/>
      <c r="B390" s="244" t="s">
        <v>1099</v>
      </c>
      <c r="C390" s="77" t="s">
        <v>54</v>
      </c>
      <c r="D390" s="19" t="s">
        <v>405</v>
      </c>
      <c r="E390" s="194">
        <v>0.64</v>
      </c>
      <c r="F390" s="320">
        <f>F60</f>
        <v>4683</v>
      </c>
      <c r="G390" s="681">
        <v>0</v>
      </c>
      <c r="H390" s="252">
        <f>IF(G390&gt;0,(G390*F390*E390),(F390*E390))</f>
        <v>2997.12</v>
      </c>
      <c r="I390" s="914"/>
    </row>
    <row r="391" spans="1:9" s="324" customFormat="1" ht="12.75" x14ac:dyDescent="0.2">
      <c r="A391" s="948"/>
      <c r="B391" s="244" t="s">
        <v>1145</v>
      </c>
      <c r="C391" s="77" t="s">
        <v>35</v>
      </c>
      <c r="D391" s="19" t="s">
        <v>405</v>
      </c>
      <c r="E391" s="194">
        <v>0.64</v>
      </c>
      <c r="F391" s="320">
        <f>F496</f>
        <v>6599</v>
      </c>
      <c r="G391" s="681">
        <v>0</v>
      </c>
      <c r="H391" s="252">
        <f t="shared" si="37"/>
        <v>4223.3599999999997</v>
      </c>
      <c r="I391" s="914"/>
    </row>
    <row r="392" spans="1:9" s="324" customFormat="1" ht="12.75" x14ac:dyDescent="0.2">
      <c r="A392" s="508" t="s">
        <v>2555</v>
      </c>
      <c r="B392" s="244" t="s">
        <v>618</v>
      </c>
      <c r="C392" s="182" t="s">
        <v>619</v>
      </c>
      <c r="D392" s="138" t="s">
        <v>585</v>
      </c>
      <c r="E392" s="194">
        <v>1</v>
      </c>
      <c r="F392" s="320">
        <f>VLOOKUP(B392,'BASE DE DATOS'!$A$5:$E$997,5,FALSE)</f>
        <v>780376</v>
      </c>
      <c r="G392" s="681">
        <v>4.4999999999999998E-2</v>
      </c>
      <c r="H392" s="252">
        <f t="shared" si="37"/>
        <v>35116.92</v>
      </c>
      <c r="I392" s="914"/>
    </row>
    <row r="393" spans="1:9" s="324" customFormat="1" ht="12.75" x14ac:dyDescent="0.2">
      <c r="A393" s="987" t="s">
        <v>293</v>
      </c>
      <c r="B393" s="244" t="s">
        <v>1910</v>
      </c>
      <c r="C393" s="62" t="s">
        <v>1911</v>
      </c>
      <c r="D393" s="138" t="s">
        <v>585</v>
      </c>
      <c r="E393" s="194">
        <v>1</v>
      </c>
      <c r="F393" s="320">
        <f>VLOOKUP(B393,'BASE DE DATOS'!$A$5:$E$997,5,FALSE)</f>
        <v>20760</v>
      </c>
      <c r="G393" s="681">
        <v>0.02</v>
      </c>
      <c r="H393" s="252">
        <f t="shared" si="37"/>
        <v>415.2</v>
      </c>
      <c r="I393" s="914"/>
    </row>
    <row r="394" spans="1:9" s="324" customFormat="1" ht="12.75" x14ac:dyDescent="0.2">
      <c r="A394" s="987"/>
      <c r="B394" s="244" t="s">
        <v>1908</v>
      </c>
      <c r="C394" s="62" t="s">
        <v>1957</v>
      </c>
      <c r="D394" s="138" t="s">
        <v>585</v>
      </c>
      <c r="E394" s="194">
        <v>1</v>
      </c>
      <c r="F394" s="320">
        <f>VLOOKUP(B394,'BASE DE DATOS'!$A$5:$E$997,5,FALSE)</f>
        <v>59000</v>
      </c>
      <c r="G394" s="681">
        <v>0.02</v>
      </c>
      <c r="H394" s="252">
        <f t="shared" si="37"/>
        <v>1180</v>
      </c>
      <c r="I394" s="914"/>
    </row>
    <row r="395" spans="1:9" s="324" customFormat="1" ht="12.75" x14ac:dyDescent="0.2">
      <c r="A395" s="987"/>
      <c r="B395" s="244" t="s">
        <v>672</v>
      </c>
      <c r="C395" s="474" t="s">
        <v>400</v>
      </c>
      <c r="D395" s="215" t="s">
        <v>585</v>
      </c>
      <c r="E395" s="194">
        <v>1</v>
      </c>
      <c r="F395" s="320">
        <f>VLOOKUP(B395,'BASE DE DATOS'!$A$5:$E$997,5,FALSE)</f>
        <v>4400</v>
      </c>
      <c r="G395" s="684">
        <v>0.125</v>
      </c>
      <c r="H395" s="252">
        <f>IF(G395&gt;0,(G395*F395*E395),(F395*E395))</f>
        <v>550</v>
      </c>
      <c r="I395" s="914"/>
    </row>
    <row r="396" spans="1:9" s="324" customFormat="1" ht="12.75" x14ac:dyDescent="0.2">
      <c r="A396" s="987"/>
      <c r="B396" s="244" t="s">
        <v>269</v>
      </c>
      <c r="C396" s="474" t="s">
        <v>284</v>
      </c>
      <c r="D396" s="215" t="s">
        <v>586</v>
      </c>
      <c r="E396" s="194">
        <v>0.1</v>
      </c>
      <c r="F396" s="320">
        <f>+H392</f>
        <v>35116.92</v>
      </c>
      <c r="G396" s="684">
        <v>0</v>
      </c>
      <c r="H396" s="252">
        <f t="shared" si="37"/>
        <v>3511.692</v>
      </c>
      <c r="I396" s="914"/>
    </row>
    <row r="397" spans="1:9" s="324" customFormat="1" ht="12.75" x14ac:dyDescent="0.2">
      <c r="A397" s="987"/>
      <c r="B397" s="244" t="s">
        <v>670</v>
      </c>
      <c r="C397" s="474" t="s">
        <v>671</v>
      </c>
      <c r="D397" s="215" t="s">
        <v>585</v>
      </c>
      <c r="E397" s="194">
        <v>1</v>
      </c>
      <c r="F397" s="320">
        <f>VLOOKUP(B397,'BASE DE DATOS'!$A$5:$E$997,5,FALSE)</f>
        <v>65450</v>
      </c>
      <c r="G397" s="684">
        <f>1/100</f>
        <v>0.01</v>
      </c>
      <c r="H397" s="252">
        <f>IF(G397&gt;0,(G397*F397*E397),(F397*E397))</f>
        <v>654.5</v>
      </c>
      <c r="I397" s="914"/>
    </row>
    <row r="398" spans="1:9" s="324" customFormat="1" ht="13.5" thickBot="1" x14ac:dyDescent="0.25">
      <c r="A398" s="1044"/>
      <c r="B398" s="543" t="s">
        <v>668</v>
      </c>
      <c r="C398" s="75" t="s">
        <v>669</v>
      </c>
      <c r="D398" s="49" t="s">
        <v>585</v>
      </c>
      <c r="E398" s="195">
        <v>1</v>
      </c>
      <c r="F398" s="355">
        <f>VLOOKUP(B398,'BASE DE DATOS'!$A$5:$E$997,5,FALSE)</f>
        <v>58310</v>
      </c>
      <c r="G398" s="682">
        <f>1/100</f>
        <v>0.01</v>
      </c>
      <c r="H398" s="255">
        <f t="shared" si="37"/>
        <v>583.1</v>
      </c>
      <c r="I398" s="914"/>
    </row>
    <row r="399" spans="1:9" s="41" customFormat="1" ht="45" x14ac:dyDescent="0.2">
      <c r="A399" s="67" t="s">
        <v>1138</v>
      </c>
      <c r="B399" s="550"/>
      <c r="C399" s="325" t="s">
        <v>2157</v>
      </c>
      <c r="D399" s="326" t="s">
        <v>3251</v>
      </c>
      <c r="E399" s="414"/>
      <c r="F399" s="357">
        <f>ROUND(SUM(H399:H412),0)</f>
        <v>155836</v>
      </c>
      <c r="G399" s="683"/>
      <c r="H399" s="330"/>
      <c r="I399" s="914"/>
    </row>
    <row r="400" spans="1:9" s="324" customFormat="1" ht="12.75" x14ac:dyDescent="0.2">
      <c r="A400" s="936" t="s">
        <v>382</v>
      </c>
      <c r="B400" s="244" t="s">
        <v>1290</v>
      </c>
      <c r="C400" s="62" t="s">
        <v>2697</v>
      </c>
      <c r="D400" s="19" t="s">
        <v>406</v>
      </c>
      <c r="E400" s="194">
        <f>1/5</f>
        <v>0.2</v>
      </c>
      <c r="F400" s="320">
        <f>VLOOKUP(B400,'BASE DE DATOS'!$A$5:$E$997,5,FALSE)</f>
        <v>13045</v>
      </c>
      <c r="G400" s="681">
        <v>1.03</v>
      </c>
      <c r="H400" s="252">
        <f t="shared" si="37"/>
        <v>2687.2700000000004</v>
      </c>
      <c r="I400" s="914"/>
    </row>
    <row r="401" spans="1:9" s="324" customFormat="1" ht="13.5" thickBot="1" x14ac:dyDescent="0.25">
      <c r="A401" s="936"/>
      <c r="B401" s="244" t="s">
        <v>1479</v>
      </c>
      <c r="C401" s="62" t="s">
        <v>1912</v>
      </c>
      <c r="D401" s="19" t="s">
        <v>405</v>
      </c>
      <c r="E401" s="198">
        <v>1</v>
      </c>
      <c r="F401" s="320">
        <f>VLOOKUP(B401,'BASE DE DATOS'!$A$5:$E$997,5,FALSE)</f>
        <v>648</v>
      </c>
      <c r="G401" s="697">
        <v>1</v>
      </c>
      <c r="H401" s="252">
        <f t="shared" si="37"/>
        <v>648</v>
      </c>
      <c r="I401" s="914"/>
    </row>
    <row r="402" spans="1:9" s="324" customFormat="1" thickTop="1" x14ac:dyDescent="0.2">
      <c r="A402" s="948" t="s">
        <v>3252</v>
      </c>
      <c r="B402" s="244" t="s">
        <v>799</v>
      </c>
      <c r="C402" s="77" t="s">
        <v>3276</v>
      </c>
      <c r="D402" s="17" t="s">
        <v>285</v>
      </c>
      <c r="E402" s="194">
        <v>0.17499999999999999</v>
      </c>
      <c r="F402" s="320">
        <f>CONSTRUCCION!F34</f>
        <v>482282</v>
      </c>
      <c r="G402" s="681">
        <v>1.05</v>
      </c>
      <c r="H402" s="252">
        <f>IF(G402&gt;0,(G402*F402*E402),(F402*E402))</f>
        <v>88619.317500000005</v>
      </c>
      <c r="I402" s="914"/>
    </row>
    <row r="403" spans="1:9" s="324" customFormat="1" ht="12.75" x14ac:dyDescent="0.2">
      <c r="A403" s="948"/>
      <c r="B403" s="244" t="s">
        <v>814</v>
      </c>
      <c r="C403" s="62" t="s">
        <v>2018</v>
      </c>
      <c r="D403" s="19" t="s">
        <v>406</v>
      </c>
      <c r="E403" s="194">
        <v>2</v>
      </c>
      <c r="F403" s="320">
        <f>CONSTRUCCION!F118</f>
        <v>7440</v>
      </c>
      <c r="G403" s="681">
        <v>0</v>
      </c>
      <c r="H403" s="252">
        <f>IF(G403&gt;0,(G403*F403*E403),(F403*E403))</f>
        <v>14880</v>
      </c>
      <c r="I403" s="914"/>
    </row>
    <row r="404" spans="1:9" s="324" customFormat="1" ht="13.5" thickBot="1" x14ac:dyDescent="0.25">
      <c r="A404" s="948"/>
      <c r="B404" s="244" t="s">
        <v>1099</v>
      </c>
      <c r="C404" s="308" t="s">
        <v>54</v>
      </c>
      <c r="D404" s="30" t="s">
        <v>405</v>
      </c>
      <c r="E404" s="693">
        <v>1</v>
      </c>
      <c r="F404" s="320">
        <f>F60</f>
        <v>4683</v>
      </c>
      <c r="G404" s="697">
        <v>0</v>
      </c>
      <c r="H404" s="252">
        <f>IF(G404&gt;0,(G404*F404*E404),(F404*E404))</f>
        <v>4683</v>
      </c>
      <c r="I404" s="914"/>
    </row>
    <row r="405" spans="1:9" s="324" customFormat="1" ht="14.25" thickTop="1" thickBot="1" x14ac:dyDescent="0.25">
      <c r="A405" s="948"/>
      <c r="B405" s="244" t="s">
        <v>1145</v>
      </c>
      <c r="C405" s="77" t="s">
        <v>36</v>
      </c>
      <c r="D405" s="19" t="s">
        <v>405</v>
      </c>
      <c r="E405" s="194">
        <v>1</v>
      </c>
      <c r="F405" s="320">
        <f>F496</f>
        <v>6599</v>
      </c>
      <c r="G405" s="681">
        <v>0</v>
      </c>
      <c r="H405" s="252">
        <f t="shared" si="37"/>
        <v>6599</v>
      </c>
      <c r="I405" s="914"/>
    </row>
    <row r="406" spans="1:9" s="324" customFormat="1" ht="14.25" thickTop="1" thickBot="1" x14ac:dyDescent="0.25">
      <c r="A406" s="508" t="s">
        <v>2555</v>
      </c>
      <c r="B406" s="552" t="s">
        <v>618</v>
      </c>
      <c r="C406" s="309" t="s">
        <v>619</v>
      </c>
      <c r="D406" s="152" t="s">
        <v>585</v>
      </c>
      <c r="E406" s="694">
        <v>1</v>
      </c>
      <c r="F406" s="320">
        <f>VLOOKUP(B406,'BASE DE DATOS'!$A$5:$E$997,5,FALSE)</f>
        <v>780376</v>
      </c>
      <c r="G406" s="698">
        <v>0.04</v>
      </c>
      <c r="H406" s="252">
        <f t="shared" si="37"/>
        <v>31215.040000000001</v>
      </c>
      <c r="I406" s="914"/>
    </row>
    <row r="407" spans="1:9" s="324" customFormat="1" ht="13.5" thickTop="1" x14ac:dyDescent="0.2">
      <c r="A407" s="987" t="s">
        <v>293</v>
      </c>
      <c r="B407" s="244" t="s">
        <v>1910</v>
      </c>
      <c r="C407" s="62" t="s">
        <v>1911</v>
      </c>
      <c r="D407" s="138" t="s">
        <v>585</v>
      </c>
      <c r="E407" s="194">
        <v>1</v>
      </c>
      <c r="F407" s="320">
        <f>VLOOKUP(B407,'BASE DE DATOS'!$A$5:$E$997,5,FALSE)</f>
        <v>20760</v>
      </c>
      <c r="G407" s="681">
        <v>0.02</v>
      </c>
      <c r="H407" s="252">
        <f t="shared" si="37"/>
        <v>415.2</v>
      </c>
      <c r="I407" s="914"/>
    </row>
    <row r="408" spans="1:9" s="324" customFormat="1" ht="12.75" x14ac:dyDescent="0.2">
      <c r="A408" s="987"/>
      <c r="B408" s="244" t="s">
        <v>1908</v>
      </c>
      <c r="C408" s="62" t="s">
        <v>1957</v>
      </c>
      <c r="D408" s="138" t="s">
        <v>585</v>
      </c>
      <c r="E408" s="194">
        <v>1</v>
      </c>
      <c r="F408" s="320">
        <f>VLOOKUP(B408,'BASE DE DATOS'!$A$5:$E$997,5,FALSE)</f>
        <v>59000</v>
      </c>
      <c r="G408" s="681">
        <v>0.02</v>
      </c>
      <c r="H408" s="252">
        <f t="shared" si="37"/>
        <v>1180</v>
      </c>
      <c r="I408" s="914"/>
    </row>
    <row r="409" spans="1:9" s="324" customFormat="1" ht="12.75" x14ac:dyDescent="0.2">
      <c r="A409" s="987"/>
      <c r="B409" s="244" t="s">
        <v>672</v>
      </c>
      <c r="C409" s="474" t="s">
        <v>2188</v>
      </c>
      <c r="D409" s="215" t="s">
        <v>585</v>
      </c>
      <c r="E409" s="194">
        <v>1</v>
      </c>
      <c r="F409" s="320">
        <f>VLOOKUP(B409,'BASE DE DATOS'!$A$5:$E$997,5,FALSE)</f>
        <v>4400</v>
      </c>
      <c r="G409" s="684">
        <v>0.125</v>
      </c>
      <c r="H409" s="252">
        <f>IF(G409&gt;0,(G409*F409*E409),(F409*E409))</f>
        <v>550</v>
      </c>
      <c r="I409" s="914"/>
    </row>
    <row r="410" spans="1:9" s="324" customFormat="1" ht="12.75" x14ac:dyDescent="0.2">
      <c r="A410" s="987"/>
      <c r="B410" s="244" t="s">
        <v>269</v>
      </c>
      <c r="C410" s="474" t="s">
        <v>284</v>
      </c>
      <c r="D410" s="215" t="s">
        <v>586</v>
      </c>
      <c r="E410" s="194">
        <v>0.1</v>
      </c>
      <c r="F410" s="320">
        <f>+H406</f>
        <v>31215.040000000001</v>
      </c>
      <c r="G410" s="684">
        <v>0</v>
      </c>
      <c r="H410" s="252">
        <f t="shared" si="37"/>
        <v>3121.5040000000004</v>
      </c>
      <c r="I410" s="914"/>
    </row>
    <row r="411" spans="1:9" s="324" customFormat="1" ht="12.75" x14ac:dyDescent="0.2">
      <c r="A411" s="987"/>
      <c r="B411" s="244" t="s">
        <v>670</v>
      </c>
      <c r="C411" s="474" t="s">
        <v>671</v>
      </c>
      <c r="D411" s="215" t="s">
        <v>585</v>
      </c>
      <c r="E411" s="194">
        <v>1</v>
      </c>
      <c r="F411" s="320">
        <f>VLOOKUP(B411,'BASE DE DATOS'!$A$5:$E$997,5,FALSE)</f>
        <v>65450</v>
      </c>
      <c r="G411" s="684">
        <f>1/100</f>
        <v>0.01</v>
      </c>
      <c r="H411" s="252">
        <f>IF(G411&gt;0,(G411*F411*E411),(F411*E411))</f>
        <v>654.5</v>
      </c>
      <c r="I411" s="914"/>
    </row>
    <row r="412" spans="1:9" s="324" customFormat="1" ht="13.5" thickBot="1" x14ac:dyDescent="0.25">
      <c r="A412" s="1044"/>
      <c r="B412" s="543" t="s">
        <v>668</v>
      </c>
      <c r="C412" s="75" t="s">
        <v>669</v>
      </c>
      <c r="D412" s="49" t="s">
        <v>585</v>
      </c>
      <c r="E412" s="195">
        <v>1</v>
      </c>
      <c r="F412" s="355">
        <f>VLOOKUP(B412,'BASE DE DATOS'!$A$5:$E$997,5,FALSE)</f>
        <v>58310</v>
      </c>
      <c r="G412" s="682">
        <f>1/100</f>
        <v>0.01</v>
      </c>
      <c r="H412" s="255">
        <f t="shared" si="37"/>
        <v>583.1</v>
      </c>
      <c r="I412" s="914"/>
    </row>
    <row r="413" spans="1:9" s="41" customFormat="1" ht="45" x14ac:dyDescent="0.2">
      <c r="A413" s="67" t="s">
        <v>1139</v>
      </c>
      <c r="B413" s="550"/>
      <c r="C413" s="325" t="s">
        <v>2158</v>
      </c>
      <c r="D413" s="326" t="s">
        <v>3251</v>
      </c>
      <c r="E413" s="414"/>
      <c r="F413" s="357">
        <f>ROUND(SUM(H413:H425),0)</f>
        <v>180654</v>
      </c>
      <c r="G413" s="683"/>
      <c r="H413" s="330"/>
      <c r="I413" s="914"/>
    </row>
    <row r="414" spans="1:9" s="324" customFormat="1" ht="12.75" x14ac:dyDescent="0.2">
      <c r="A414" s="936" t="s">
        <v>382</v>
      </c>
      <c r="B414" s="244" t="s">
        <v>1290</v>
      </c>
      <c r="C414" s="62" t="s">
        <v>2697</v>
      </c>
      <c r="D414" s="19" t="s">
        <v>406</v>
      </c>
      <c r="E414" s="194">
        <f>1/5</f>
        <v>0.2</v>
      </c>
      <c r="F414" s="320">
        <f>VLOOKUP(B414,'BASE DE DATOS'!$A$5:$E$997,5,FALSE)</f>
        <v>13045</v>
      </c>
      <c r="G414" s="681">
        <v>1.03</v>
      </c>
      <c r="H414" s="252">
        <f t="shared" si="37"/>
        <v>2687.2700000000004</v>
      </c>
      <c r="I414" s="914"/>
    </row>
    <row r="415" spans="1:9" s="324" customFormat="1" ht="12.75" x14ac:dyDescent="0.2">
      <c r="A415" s="936"/>
      <c r="B415" s="244" t="s">
        <v>1479</v>
      </c>
      <c r="C415" s="62" t="s">
        <v>1912</v>
      </c>
      <c r="D415" s="19" t="s">
        <v>405</v>
      </c>
      <c r="E415" s="198">
        <v>1</v>
      </c>
      <c r="F415" s="320">
        <f>VLOOKUP(B415,'BASE DE DATOS'!$A$5:$E$997,5,FALSE)</f>
        <v>648</v>
      </c>
      <c r="G415" s="681">
        <v>0</v>
      </c>
      <c r="H415" s="252">
        <f t="shared" si="37"/>
        <v>648</v>
      </c>
      <c r="I415" s="914"/>
    </row>
    <row r="416" spans="1:9" s="324" customFormat="1" ht="14.25" x14ac:dyDescent="0.2">
      <c r="A416" s="948" t="s">
        <v>3252</v>
      </c>
      <c r="B416" s="244" t="s">
        <v>801</v>
      </c>
      <c r="C416" s="77" t="s">
        <v>3277</v>
      </c>
      <c r="D416" s="17" t="s">
        <v>285</v>
      </c>
      <c r="E416" s="194">
        <v>0.2</v>
      </c>
      <c r="F416" s="320">
        <f>CONSTRUCCION!F50</f>
        <v>563161</v>
      </c>
      <c r="G416" s="681">
        <v>1.05</v>
      </c>
      <c r="H416" s="252">
        <f>IF(G416&gt;0,(G416*F416*E416),(F416*E416))</f>
        <v>118263.81000000001</v>
      </c>
      <c r="I416" s="914"/>
    </row>
    <row r="417" spans="1:9" s="324" customFormat="1" ht="12.75" x14ac:dyDescent="0.2">
      <c r="A417" s="948"/>
      <c r="B417" s="244" t="s">
        <v>814</v>
      </c>
      <c r="C417" s="593" t="s">
        <v>2018</v>
      </c>
      <c r="D417" s="215" t="s">
        <v>406</v>
      </c>
      <c r="E417" s="194">
        <v>2.2999999999999998</v>
      </c>
      <c r="F417" s="320">
        <f>CONSTRUCCION!F118</f>
        <v>7440</v>
      </c>
      <c r="G417" s="684">
        <v>0</v>
      </c>
      <c r="H417" s="252">
        <f>IF(G417&gt;0,(G417*F417*E417),(F417*E417))</f>
        <v>17112</v>
      </c>
      <c r="I417" s="914"/>
    </row>
    <row r="418" spans="1:9" s="324" customFormat="1" ht="13.5" thickBot="1" x14ac:dyDescent="0.25">
      <c r="A418" s="948"/>
      <c r="B418" s="244" t="s">
        <v>1145</v>
      </c>
      <c r="C418" s="668" t="s">
        <v>35</v>
      </c>
      <c r="D418" s="19" t="s">
        <v>405</v>
      </c>
      <c r="E418" s="194">
        <v>0.64</v>
      </c>
      <c r="F418" s="320">
        <f>F496</f>
        <v>6599</v>
      </c>
      <c r="G418" s="681">
        <v>0</v>
      </c>
      <c r="H418" s="252">
        <f t="shared" si="37"/>
        <v>4223.3599999999997</v>
      </c>
      <c r="I418" s="914"/>
    </row>
    <row r="419" spans="1:9" s="324" customFormat="1" ht="14.25" thickTop="1" thickBot="1" x14ac:dyDescent="0.25">
      <c r="A419" s="508" t="s">
        <v>2555</v>
      </c>
      <c r="B419" s="552" t="s">
        <v>618</v>
      </c>
      <c r="C419" s="669" t="s">
        <v>619</v>
      </c>
      <c r="D419" s="152" t="s">
        <v>585</v>
      </c>
      <c r="E419" s="694">
        <v>1</v>
      </c>
      <c r="F419" s="320">
        <f>VLOOKUP(B419,'BASE DE DATOS'!$A$5:$E$997,5,FALSE)</f>
        <v>780376</v>
      </c>
      <c r="G419" s="698">
        <v>0.04</v>
      </c>
      <c r="H419" s="252">
        <f t="shared" si="37"/>
        <v>31215.040000000001</v>
      </c>
      <c r="I419" s="914"/>
    </row>
    <row r="420" spans="1:9" s="324" customFormat="1" ht="13.5" thickTop="1" x14ac:dyDescent="0.2">
      <c r="A420" s="987" t="s">
        <v>293</v>
      </c>
      <c r="B420" s="244" t="s">
        <v>1910</v>
      </c>
      <c r="C420" s="670" t="s">
        <v>1911</v>
      </c>
      <c r="D420" s="138" t="s">
        <v>585</v>
      </c>
      <c r="E420" s="194">
        <v>1</v>
      </c>
      <c r="F420" s="320">
        <f>VLOOKUP(B420,'BASE DE DATOS'!$A$5:$E$997,5,FALSE)</f>
        <v>20760</v>
      </c>
      <c r="G420" s="681">
        <v>0.02</v>
      </c>
      <c r="H420" s="252">
        <f t="shared" si="37"/>
        <v>415.2</v>
      </c>
      <c r="I420" s="914"/>
    </row>
    <row r="421" spans="1:9" s="324" customFormat="1" ht="12.75" x14ac:dyDescent="0.2">
      <c r="A421" s="987"/>
      <c r="B421" s="244" t="s">
        <v>1908</v>
      </c>
      <c r="C421" s="62" t="s">
        <v>1957</v>
      </c>
      <c r="D421" s="138" t="s">
        <v>585</v>
      </c>
      <c r="E421" s="194">
        <v>1</v>
      </c>
      <c r="F421" s="320">
        <f>VLOOKUP(B421,'BASE DE DATOS'!$A$5:$E$997,5,FALSE)</f>
        <v>59000</v>
      </c>
      <c r="G421" s="681">
        <v>0.02</v>
      </c>
      <c r="H421" s="252">
        <f t="shared" si="37"/>
        <v>1180</v>
      </c>
      <c r="I421" s="914"/>
    </row>
    <row r="422" spans="1:9" s="324" customFormat="1" ht="12.75" x14ac:dyDescent="0.2">
      <c r="A422" s="987"/>
      <c r="B422" s="244" t="s">
        <v>672</v>
      </c>
      <c r="C422" s="474" t="s">
        <v>2188</v>
      </c>
      <c r="D422" s="215" t="s">
        <v>585</v>
      </c>
      <c r="E422" s="194">
        <v>1</v>
      </c>
      <c r="F422" s="320">
        <f>VLOOKUP(B422,'BASE DE DATOS'!$A$5:$E$997,5,FALSE)</f>
        <v>4400</v>
      </c>
      <c r="G422" s="684">
        <v>0.125</v>
      </c>
      <c r="H422" s="252">
        <f>IF(G422&gt;0,(G422*F422*E422),(F422*E422))</f>
        <v>550</v>
      </c>
      <c r="I422" s="914"/>
    </row>
    <row r="423" spans="1:9" s="324" customFormat="1" ht="12.75" x14ac:dyDescent="0.2">
      <c r="A423" s="987"/>
      <c r="B423" s="244" t="s">
        <v>269</v>
      </c>
      <c r="C423" s="474" t="s">
        <v>284</v>
      </c>
      <c r="D423" s="215" t="s">
        <v>586</v>
      </c>
      <c r="E423" s="194">
        <v>0.1</v>
      </c>
      <c r="F423" s="320">
        <f>H419</f>
        <v>31215.040000000001</v>
      </c>
      <c r="G423" s="684">
        <v>0</v>
      </c>
      <c r="H423" s="252">
        <f t="shared" si="37"/>
        <v>3121.5040000000004</v>
      </c>
      <c r="I423" s="914"/>
    </row>
    <row r="424" spans="1:9" s="324" customFormat="1" ht="12.75" x14ac:dyDescent="0.2">
      <c r="A424" s="987"/>
      <c r="B424" s="244" t="s">
        <v>670</v>
      </c>
      <c r="C424" s="474" t="s">
        <v>671</v>
      </c>
      <c r="D424" s="215" t="s">
        <v>585</v>
      </c>
      <c r="E424" s="194">
        <v>1</v>
      </c>
      <c r="F424" s="320">
        <f>VLOOKUP(B424,'BASE DE DATOS'!$A$5:$E$997,5,FALSE)</f>
        <v>65450</v>
      </c>
      <c r="G424" s="684">
        <f>1/100</f>
        <v>0.01</v>
      </c>
      <c r="H424" s="252">
        <f>IF(G424&gt;0,(G424*F424*E424),(F424*E424))</f>
        <v>654.5</v>
      </c>
      <c r="I424" s="914"/>
    </row>
    <row r="425" spans="1:9" s="324" customFormat="1" ht="13.5" thickBot="1" x14ac:dyDescent="0.25">
      <c r="A425" s="1044"/>
      <c r="B425" s="543" t="s">
        <v>668</v>
      </c>
      <c r="C425" s="75" t="s">
        <v>669</v>
      </c>
      <c r="D425" s="49" t="s">
        <v>585</v>
      </c>
      <c r="E425" s="195">
        <v>1</v>
      </c>
      <c r="F425" s="355">
        <f>VLOOKUP(B425,'BASE DE DATOS'!$A$5:$E$997,5,FALSE)</f>
        <v>58310</v>
      </c>
      <c r="G425" s="682">
        <f>1/100</f>
        <v>0.01</v>
      </c>
      <c r="H425" s="255">
        <f t="shared" si="37"/>
        <v>583.1</v>
      </c>
      <c r="I425" s="914"/>
    </row>
    <row r="426" spans="1:9" s="41" customFormat="1" ht="45" x14ac:dyDescent="0.2">
      <c r="A426" s="67" t="s">
        <v>1140</v>
      </c>
      <c r="B426" s="526"/>
      <c r="C426" s="325" t="s">
        <v>2159</v>
      </c>
      <c r="D426" s="326" t="s">
        <v>3251</v>
      </c>
      <c r="E426" s="414"/>
      <c r="F426" s="357">
        <f>ROUND(SUM(H426:H439),0)</f>
        <v>151095</v>
      </c>
      <c r="G426" s="683"/>
      <c r="H426" s="330"/>
      <c r="I426" s="914"/>
    </row>
    <row r="427" spans="1:9" s="324" customFormat="1" ht="12.75" x14ac:dyDescent="0.2">
      <c r="A427" s="936" t="s">
        <v>382</v>
      </c>
      <c r="B427" s="244" t="s">
        <v>1290</v>
      </c>
      <c r="C427" s="62" t="s">
        <v>2697</v>
      </c>
      <c r="D427" s="19" t="s">
        <v>406</v>
      </c>
      <c r="E427" s="194">
        <f>1/5</f>
        <v>0.2</v>
      </c>
      <c r="F427" s="320">
        <f>VLOOKUP(B427,'BASE DE DATOS'!$A$5:$E$997,5,FALSE)</f>
        <v>13045</v>
      </c>
      <c r="G427" s="681">
        <v>1.03</v>
      </c>
      <c r="H427" s="252">
        <f t="shared" si="37"/>
        <v>2687.2700000000004</v>
      </c>
      <c r="I427" s="914"/>
    </row>
    <row r="428" spans="1:9" s="324" customFormat="1" ht="14.25" x14ac:dyDescent="0.2">
      <c r="A428" s="936"/>
      <c r="B428" s="244" t="s">
        <v>1729</v>
      </c>
      <c r="C428" s="182" t="s">
        <v>353</v>
      </c>
      <c r="D428" s="17" t="s">
        <v>285</v>
      </c>
      <c r="E428" s="194">
        <v>0.17499999999999999</v>
      </c>
      <c r="F428" s="320">
        <f>VLOOKUP(B428,'BASE DE DATOS'!$A$5:$E$997,5,FALSE)</f>
        <v>528309</v>
      </c>
      <c r="G428" s="681">
        <v>1.05</v>
      </c>
      <c r="H428" s="252">
        <f>IF(G428&gt;0,(G428*F428*E428),(F428*E428))</f>
        <v>97076.778750000012</v>
      </c>
      <c r="I428" s="914"/>
    </row>
    <row r="429" spans="1:9" s="102" customFormat="1" ht="12.75" x14ac:dyDescent="0.2">
      <c r="A429" s="936"/>
      <c r="B429" s="244" t="s">
        <v>1479</v>
      </c>
      <c r="C429" s="62" t="s">
        <v>1912</v>
      </c>
      <c r="D429" s="19" t="s">
        <v>405</v>
      </c>
      <c r="E429" s="198">
        <v>1</v>
      </c>
      <c r="F429" s="320">
        <f>VLOOKUP(B429,'BASE DE DATOS'!$A$5:$E$997,5,FALSE)</f>
        <v>648</v>
      </c>
      <c r="G429" s="681">
        <v>0</v>
      </c>
      <c r="H429" s="252">
        <f t="shared" si="37"/>
        <v>648</v>
      </c>
      <c r="I429" s="917"/>
    </row>
    <row r="430" spans="1:9" s="324" customFormat="1" ht="12.75" x14ac:dyDescent="0.2">
      <c r="A430" s="948" t="s">
        <v>3252</v>
      </c>
      <c r="B430" s="244" t="s">
        <v>814</v>
      </c>
      <c r="C430" s="77" t="s">
        <v>2018</v>
      </c>
      <c r="D430" s="19" t="s">
        <v>406</v>
      </c>
      <c r="E430" s="194">
        <v>1.8</v>
      </c>
      <c r="F430" s="320">
        <f>CONSTRUCCION!F118</f>
        <v>7440</v>
      </c>
      <c r="G430" s="681">
        <v>0</v>
      </c>
      <c r="H430" s="252">
        <f>IF(G430&gt;0,(G430*F430*E430),(F430*E430))</f>
        <v>13392</v>
      </c>
      <c r="I430" s="914"/>
    </row>
    <row r="431" spans="1:9" s="324" customFormat="1" ht="12.75" x14ac:dyDescent="0.2">
      <c r="A431" s="948"/>
      <c r="B431" s="244" t="s">
        <v>1099</v>
      </c>
      <c r="C431" s="77" t="s">
        <v>54</v>
      </c>
      <c r="D431" s="19" t="s">
        <v>405</v>
      </c>
      <c r="E431" s="194">
        <v>0.64</v>
      </c>
      <c r="F431" s="320">
        <f>F60</f>
        <v>4683</v>
      </c>
      <c r="G431" s="681">
        <v>0</v>
      </c>
      <c r="H431" s="252">
        <f>IF(G431&gt;0,(G431*F431*E431),(F431*E431))</f>
        <v>2997.12</v>
      </c>
      <c r="I431" s="914"/>
    </row>
    <row r="432" spans="1:9" s="324" customFormat="1" ht="12.75" x14ac:dyDescent="0.2">
      <c r="A432" s="948"/>
      <c r="B432" s="244" t="s">
        <v>1145</v>
      </c>
      <c r="C432" s="77" t="s">
        <v>35</v>
      </c>
      <c r="D432" s="19" t="s">
        <v>405</v>
      </c>
      <c r="E432" s="194">
        <v>1</v>
      </c>
      <c r="F432" s="320">
        <f>F496</f>
        <v>6599</v>
      </c>
      <c r="G432" s="681">
        <v>0</v>
      </c>
      <c r="H432" s="252">
        <f t="shared" si="37"/>
        <v>6599</v>
      </c>
      <c r="I432" s="914"/>
    </row>
    <row r="433" spans="1:9" s="324" customFormat="1" ht="12.75" x14ac:dyDescent="0.2">
      <c r="A433" s="508" t="s">
        <v>2555</v>
      </c>
      <c r="B433" s="244" t="s">
        <v>687</v>
      </c>
      <c r="C433" s="182" t="s">
        <v>688</v>
      </c>
      <c r="D433" s="138" t="s">
        <v>585</v>
      </c>
      <c r="E433" s="194">
        <v>1</v>
      </c>
      <c r="F433" s="320">
        <f>VLOOKUP(B433,'BASE DE DATOS'!$A$5:$E$997,5,FALSE)</f>
        <v>1028678</v>
      </c>
      <c r="G433" s="681">
        <v>2.1000000000000001E-2</v>
      </c>
      <c r="H433" s="252">
        <f t="shared" si="37"/>
        <v>21602.238000000001</v>
      </c>
      <c r="I433" s="914"/>
    </row>
    <row r="434" spans="1:9" s="324" customFormat="1" ht="12.75" x14ac:dyDescent="0.2">
      <c r="A434" s="988" t="s">
        <v>293</v>
      </c>
      <c r="B434" s="244" t="s">
        <v>1910</v>
      </c>
      <c r="C434" s="182" t="s">
        <v>1911</v>
      </c>
      <c r="D434" s="138" t="s">
        <v>585</v>
      </c>
      <c r="E434" s="194">
        <v>1</v>
      </c>
      <c r="F434" s="320">
        <f>VLOOKUP(B434,'BASE DE DATOS'!$A$5:$E$997,5,FALSE)</f>
        <v>20760</v>
      </c>
      <c r="G434" s="681">
        <v>0.02</v>
      </c>
      <c r="H434" s="252">
        <f t="shared" si="37"/>
        <v>415.2</v>
      </c>
      <c r="I434" s="914"/>
    </row>
    <row r="435" spans="1:9" s="324" customFormat="1" ht="12.75" x14ac:dyDescent="0.2">
      <c r="A435" s="988"/>
      <c r="B435" s="244" t="s">
        <v>1908</v>
      </c>
      <c r="C435" s="182" t="s">
        <v>1957</v>
      </c>
      <c r="D435" s="138" t="s">
        <v>585</v>
      </c>
      <c r="E435" s="194">
        <v>1</v>
      </c>
      <c r="F435" s="320">
        <f>VLOOKUP(B435,'BASE DE DATOS'!$A$5:$E$997,5,FALSE)</f>
        <v>59000</v>
      </c>
      <c r="G435" s="681">
        <v>0.02</v>
      </c>
      <c r="H435" s="252">
        <f t="shared" si="37"/>
        <v>1180</v>
      </c>
      <c r="I435" s="914"/>
    </row>
    <row r="436" spans="1:9" s="324" customFormat="1" ht="12.75" x14ac:dyDescent="0.2">
      <c r="A436" s="988"/>
      <c r="B436" s="244" t="s">
        <v>672</v>
      </c>
      <c r="C436" s="474" t="s">
        <v>2188</v>
      </c>
      <c r="D436" s="215" t="s">
        <v>585</v>
      </c>
      <c r="E436" s="194">
        <v>1</v>
      </c>
      <c r="F436" s="320">
        <f>VLOOKUP(B436,'BASE DE DATOS'!$A$5:$E$997,5,FALSE)</f>
        <v>4400</v>
      </c>
      <c r="G436" s="684">
        <v>0.25</v>
      </c>
      <c r="H436" s="252">
        <f>IF(G436&gt;0,(G436*F436*E436),(F436*E436))</f>
        <v>1100</v>
      </c>
      <c r="I436" s="914"/>
    </row>
    <row r="437" spans="1:9" s="324" customFormat="1" ht="12.75" x14ac:dyDescent="0.2">
      <c r="A437" s="988"/>
      <c r="B437" s="244" t="s">
        <v>269</v>
      </c>
      <c r="C437" s="474" t="s">
        <v>284</v>
      </c>
      <c r="D437" s="215" t="s">
        <v>586</v>
      </c>
      <c r="E437" s="194">
        <v>0.1</v>
      </c>
      <c r="F437" s="320">
        <f>+H433</f>
        <v>21602.238000000001</v>
      </c>
      <c r="G437" s="684">
        <v>0</v>
      </c>
      <c r="H437" s="252">
        <f t="shared" ref="H437:H439" si="38">IF(G437&gt;0,(G437*F437*E437),(F437*E437))</f>
        <v>2160.2238000000002</v>
      </c>
      <c r="I437" s="914"/>
    </row>
    <row r="438" spans="1:9" s="324" customFormat="1" ht="12.75" x14ac:dyDescent="0.2">
      <c r="A438" s="988"/>
      <c r="B438" s="244" t="s">
        <v>670</v>
      </c>
      <c r="C438" s="474" t="s">
        <v>671</v>
      </c>
      <c r="D438" s="215" t="s">
        <v>585</v>
      </c>
      <c r="E438" s="194">
        <v>1</v>
      </c>
      <c r="F438" s="320">
        <f>VLOOKUP(B438,'BASE DE DATOS'!$A$5:$E$997,5,FALSE)</f>
        <v>65450</v>
      </c>
      <c r="G438" s="684">
        <f>1/100</f>
        <v>0.01</v>
      </c>
      <c r="H438" s="252">
        <f>IF(G438&gt;0,(G438*F438*E438),(F438*E438))</f>
        <v>654.5</v>
      </c>
      <c r="I438" s="914"/>
    </row>
    <row r="439" spans="1:9" s="324" customFormat="1" ht="13.5" thickBot="1" x14ac:dyDescent="0.25">
      <c r="A439" s="1008"/>
      <c r="B439" s="543" t="s">
        <v>668</v>
      </c>
      <c r="C439" s="75" t="s">
        <v>669</v>
      </c>
      <c r="D439" s="49" t="s">
        <v>585</v>
      </c>
      <c r="E439" s="195">
        <v>1</v>
      </c>
      <c r="F439" s="355">
        <f>VLOOKUP(B439,'BASE DE DATOS'!$A$5:$E$997,5,FALSE)</f>
        <v>58310</v>
      </c>
      <c r="G439" s="682">
        <f>1/100</f>
        <v>0.01</v>
      </c>
      <c r="H439" s="255">
        <f t="shared" si="38"/>
        <v>583.1</v>
      </c>
      <c r="I439" s="914"/>
    </row>
    <row r="440" spans="1:9" s="41" customFormat="1" ht="45" x14ac:dyDescent="0.2">
      <c r="A440" s="67" t="s">
        <v>1141</v>
      </c>
      <c r="B440" s="550"/>
      <c r="C440" s="325" t="s">
        <v>2160</v>
      </c>
      <c r="D440" s="326" t="s">
        <v>3251</v>
      </c>
      <c r="E440" s="414"/>
      <c r="F440" s="357">
        <f>ROUND(SUM(H440:H453),0)</f>
        <v>172636</v>
      </c>
      <c r="G440" s="683"/>
      <c r="H440" s="330"/>
      <c r="I440" s="914"/>
    </row>
    <row r="441" spans="1:9" s="324" customFormat="1" ht="12.75" x14ac:dyDescent="0.2">
      <c r="A441" s="936" t="s">
        <v>382</v>
      </c>
      <c r="B441" s="244" t="s">
        <v>1290</v>
      </c>
      <c r="C441" s="62" t="s">
        <v>2697</v>
      </c>
      <c r="D441" s="19" t="s">
        <v>406</v>
      </c>
      <c r="E441" s="194">
        <f>1/5</f>
        <v>0.2</v>
      </c>
      <c r="F441" s="320">
        <f>VLOOKUP(B441,'BASE DE DATOS'!$A$5:$E$997,5,FALSE)</f>
        <v>13045</v>
      </c>
      <c r="G441" s="681">
        <v>1.03</v>
      </c>
      <c r="H441" s="252">
        <f t="shared" ref="H441:H504" si="39">IF(G441&gt;0,(G441*F441*E441),(F441*E441))</f>
        <v>2687.2700000000004</v>
      </c>
      <c r="I441" s="914"/>
    </row>
    <row r="442" spans="1:9" s="324" customFormat="1" ht="25.5" x14ac:dyDescent="0.2">
      <c r="A442" s="936"/>
      <c r="B442" s="244" t="s">
        <v>1721</v>
      </c>
      <c r="C442" s="182" t="s">
        <v>1904</v>
      </c>
      <c r="D442" s="138" t="s">
        <v>285</v>
      </c>
      <c r="E442" s="194">
        <v>0.17499999999999999</v>
      </c>
      <c r="F442" s="320">
        <f>VLOOKUP(B442,'BASE DE DATOS'!$A$5:$E$997,5,FALSE)</f>
        <v>661459</v>
      </c>
      <c r="G442" s="681">
        <v>1.05</v>
      </c>
      <c r="H442" s="252">
        <f>IF(G442&gt;0,(G442*F442*E442),(F442*E442))</f>
        <v>121543.09125</v>
      </c>
      <c r="I442" s="914"/>
    </row>
    <row r="443" spans="1:9" s="324" customFormat="1" ht="12.75" x14ac:dyDescent="0.2">
      <c r="A443" s="936"/>
      <c r="B443" s="244" t="s">
        <v>1479</v>
      </c>
      <c r="C443" s="62" t="s">
        <v>1912</v>
      </c>
      <c r="D443" s="19" t="s">
        <v>405</v>
      </c>
      <c r="E443" s="198">
        <v>1</v>
      </c>
      <c r="F443" s="320">
        <f>VLOOKUP(B443,'BASE DE DATOS'!$A$5:$E$997,5,FALSE)</f>
        <v>648</v>
      </c>
      <c r="G443" s="681">
        <v>0</v>
      </c>
      <c r="H443" s="252">
        <f t="shared" si="39"/>
        <v>648</v>
      </c>
      <c r="I443" s="914"/>
    </row>
    <row r="444" spans="1:9" s="324" customFormat="1" ht="12.75" x14ac:dyDescent="0.2">
      <c r="A444" s="948" t="s">
        <v>3252</v>
      </c>
      <c r="B444" s="244" t="s">
        <v>814</v>
      </c>
      <c r="C444" s="77" t="s">
        <v>2018</v>
      </c>
      <c r="D444" s="19" t="s">
        <v>406</v>
      </c>
      <c r="E444" s="194">
        <v>1.8</v>
      </c>
      <c r="F444" s="320">
        <f>CONSTRUCCION!F118</f>
        <v>7440</v>
      </c>
      <c r="G444" s="681">
        <v>0</v>
      </c>
      <c r="H444" s="252">
        <f>IF(G444&gt;0,(G444*F444*E444),(F444*E444))</f>
        <v>13392</v>
      </c>
      <c r="I444" s="914"/>
    </row>
    <row r="445" spans="1:9" s="324" customFormat="1" ht="12.75" x14ac:dyDescent="0.2">
      <c r="A445" s="948"/>
      <c r="B445" s="244" t="s">
        <v>1099</v>
      </c>
      <c r="C445" s="77" t="s">
        <v>54</v>
      </c>
      <c r="D445" s="19" t="s">
        <v>405</v>
      </c>
      <c r="E445" s="194">
        <v>0.64</v>
      </c>
      <c r="F445" s="320">
        <f>F60</f>
        <v>4683</v>
      </c>
      <c r="G445" s="681">
        <v>0</v>
      </c>
      <c r="H445" s="252">
        <f>IF(G445&gt;0,(G445*F445*E445),(F445*E445))</f>
        <v>2997.12</v>
      </c>
      <c r="I445" s="914"/>
    </row>
    <row r="446" spans="1:9" s="324" customFormat="1" ht="12.75" x14ac:dyDescent="0.2">
      <c r="A446" s="948"/>
      <c r="B446" s="244" t="s">
        <v>1145</v>
      </c>
      <c r="C446" s="77" t="s">
        <v>35</v>
      </c>
      <c r="D446" s="19" t="s">
        <v>405</v>
      </c>
      <c r="E446" s="194">
        <v>0.64</v>
      </c>
      <c r="F446" s="320">
        <f>F496</f>
        <v>6599</v>
      </c>
      <c r="G446" s="681">
        <v>0</v>
      </c>
      <c r="H446" s="252">
        <f t="shared" si="39"/>
        <v>4223.3599999999997</v>
      </c>
      <c r="I446" s="914"/>
    </row>
    <row r="447" spans="1:9" s="324" customFormat="1" ht="12.75" x14ac:dyDescent="0.2">
      <c r="A447" s="508" t="s">
        <v>2555</v>
      </c>
      <c r="B447" s="244" t="s">
        <v>687</v>
      </c>
      <c r="C447" s="182" t="s">
        <v>688</v>
      </c>
      <c r="D447" s="138" t="s">
        <v>585</v>
      </c>
      <c r="E447" s="194">
        <v>1</v>
      </c>
      <c r="F447" s="320">
        <f>VLOOKUP(B447,'BASE DE DATOS'!$A$5:$E$997,5,FALSE)</f>
        <v>1028678</v>
      </c>
      <c r="G447" s="681">
        <v>2.1000000000000001E-2</v>
      </c>
      <c r="H447" s="252">
        <f t="shared" si="39"/>
        <v>21602.238000000001</v>
      </c>
      <c r="I447" s="914"/>
    </row>
    <row r="448" spans="1:9" s="324" customFormat="1" ht="12.75" x14ac:dyDescent="0.2">
      <c r="A448" s="988" t="s">
        <v>293</v>
      </c>
      <c r="B448" s="244" t="s">
        <v>1910</v>
      </c>
      <c r="C448" s="182" t="s">
        <v>1911</v>
      </c>
      <c r="D448" s="138" t="s">
        <v>585</v>
      </c>
      <c r="E448" s="194">
        <v>1</v>
      </c>
      <c r="F448" s="320">
        <f>VLOOKUP(B448,'BASE DE DATOS'!$A$5:$E$997,5,FALSE)</f>
        <v>20760</v>
      </c>
      <c r="G448" s="681">
        <v>0.02</v>
      </c>
      <c r="H448" s="252">
        <f t="shared" si="39"/>
        <v>415.2</v>
      </c>
      <c r="I448" s="914"/>
    </row>
    <row r="449" spans="1:9" s="324" customFormat="1" ht="12.75" x14ac:dyDescent="0.2">
      <c r="A449" s="988"/>
      <c r="B449" s="244" t="s">
        <v>1908</v>
      </c>
      <c r="C449" s="182" t="s">
        <v>1957</v>
      </c>
      <c r="D449" s="138" t="s">
        <v>585</v>
      </c>
      <c r="E449" s="194">
        <v>1</v>
      </c>
      <c r="F449" s="320">
        <f>VLOOKUP(B449,'BASE DE DATOS'!$A$5:$E$997,5,FALSE)</f>
        <v>59000</v>
      </c>
      <c r="G449" s="681">
        <v>0.02</v>
      </c>
      <c r="H449" s="252">
        <f t="shared" si="39"/>
        <v>1180</v>
      </c>
      <c r="I449" s="914"/>
    </row>
    <row r="450" spans="1:9" s="324" customFormat="1" ht="12.75" x14ac:dyDescent="0.2">
      <c r="A450" s="988"/>
      <c r="B450" s="244" t="s">
        <v>672</v>
      </c>
      <c r="C450" s="474" t="s">
        <v>2188</v>
      </c>
      <c r="D450" s="215" t="s">
        <v>585</v>
      </c>
      <c r="E450" s="194">
        <v>1</v>
      </c>
      <c r="F450" s="320">
        <f>VLOOKUP(B450,'BASE DE DATOS'!$A$5:$E$997,5,FALSE)</f>
        <v>4400</v>
      </c>
      <c r="G450" s="684">
        <v>0.125</v>
      </c>
      <c r="H450" s="252">
        <f>IF(G450&gt;0,(G450*F450*E450),(F450*E450))</f>
        <v>550</v>
      </c>
      <c r="I450" s="914"/>
    </row>
    <row r="451" spans="1:9" s="324" customFormat="1" ht="12.75" x14ac:dyDescent="0.2">
      <c r="A451" s="988"/>
      <c r="B451" s="244" t="s">
        <v>269</v>
      </c>
      <c r="C451" s="474" t="s">
        <v>284</v>
      </c>
      <c r="D451" s="215" t="s">
        <v>586</v>
      </c>
      <c r="E451" s="194">
        <v>0.1</v>
      </c>
      <c r="F451" s="320">
        <f>+H447</f>
        <v>21602.238000000001</v>
      </c>
      <c r="G451" s="684">
        <v>0</v>
      </c>
      <c r="H451" s="252">
        <f t="shared" si="39"/>
        <v>2160.2238000000002</v>
      </c>
      <c r="I451" s="914"/>
    </row>
    <row r="452" spans="1:9" s="324" customFormat="1" ht="12.75" x14ac:dyDescent="0.2">
      <c r="A452" s="988"/>
      <c r="B452" s="244" t="s">
        <v>670</v>
      </c>
      <c r="C452" s="474" t="s">
        <v>671</v>
      </c>
      <c r="D452" s="215" t="s">
        <v>585</v>
      </c>
      <c r="E452" s="194">
        <v>1</v>
      </c>
      <c r="F452" s="320">
        <f>VLOOKUP(B452,'BASE DE DATOS'!$A$5:$E$997,5,FALSE)</f>
        <v>65450</v>
      </c>
      <c r="G452" s="684">
        <f>1/100</f>
        <v>0.01</v>
      </c>
      <c r="H452" s="252">
        <f>IF(G452&gt;0,(G452*F452*E452),(F452*E452))</f>
        <v>654.5</v>
      </c>
      <c r="I452" s="914"/>
    </row>
    <row r="453" spans="1:9" s="324" customFormat="1" ht="13.5" thickBot="1" x14ac:dyDescent="0.25">
      <c r="A453" s="1008"/>
      <c r="B453" s="543" t="s">
        <v>668</v>
      </c>
      <c r="C453" s="75" t="s">
        <v>669</v>
      </c>
      <c r="D453" s="49" t="s">
        <v>585</v>
      </c>
      <c r="E453" s="195">
        <v>1</v>
      </c>
      <c r="F453" s="355">
        <f>VLOOKUP(B453,'BASE DE DATOS'!$A$5:$E$997,5,FALSE)</f>
        <v>58310</v>
      </c>
      <c r="G453" s="682">
        <f>1/100</f>
        <v>0.01</v>
      </c>
      <c r="H453" s="255">
        <f t="shared" si="39"/>
        <v>583.1</v>
      </c>
      <c r="I453" s="914"/>
    </row>
    <row r="454" spans="1:9" s="41" customFormat="1" ht="45" x14ac:dyDescent="0.2">
      <c r="A454" s="67" t="s">
        <v>1142</v>
      </c>
      <c r="B454" s="526"/>
      <c r="C454" s="325" t="s">
        <v>58</v>
      </c>
      <c r="D454" s="326" t="s">
        <v>3251</v>
      </c>
      <c r="E454" s="414"/>
      <c r="F454" s="357">
        <f>ROUND(SUM(H454:H467),0)</f>
        <v>165459</v>
      </c>
      <c r="G454" s="683"/>
      <c r="H454" s="330"/>
      <c r="I454" s="914"/>
    </row>
    <row r="455" spans="1:9" s="324" customFormat="1" ht="12.75" x14ac:dyDescent="0.2">
      <c r="A455" s="936" t="s">
        <v>382</v>
      </c>
      <c r="B455" s="244" t="s">
        <v>1290</v>
      </c>
      <c r="C455" s="62" t="s">
        <v>2697</v>
      </c>
      <c r="D455" s="19" t="s">
        <v>406</v>
      </c>
      <c r="E455" s="194">
        <f>1/5</f>
        <v>0.2</v>
      </c>
      <c r="F455" s="320">
        <f>VLOOKUP(B455,'BASE DE DATOS'!$A$5:$E$997,5,FALSE)</f>
        <v>13045</v>
      </c>
      <c r="G455" s="681">
        <v>1.03</v>
      </c>
      <c r="H455" s="252">
        <f t="shared" si="39"/>
        <v>2687.2700000000004</v>
      </c>
      <c r="I455" s="914"/>
    </row>
    <row r="456" spans="1:9" s="324" customFormat="1" ht="25.5" x14ac:dyDescent="0.2">
      <c r="A456" s="936"/>
      <c r="B456" s="244" t="s">
        <v>1721</v>
      </c>
      <c r="C456" s="182" t="s">
        <v>1904</v>
      </c>
      <c r="D456" s="138" t="s">
        <v>285</v>
      </c>
      <c r="E456" s="198">
        <v>0.15</v>
      </c>
      <c r="F456" s="320">
        <f>VLOOKUP(B456,'BASE DE DATOS'!$A$5:$E$997,5,FALSE)</f>
        <v>661459</v>
      </c>
      <c r="G456" s="681">
        <v>1.05</v>
      </c>
      <c r="H456" s="252">
        <f>IF(G456&gt;0,(G456*F456*E456),(F456*E456))</f>
        <v>104179.79250000001</v>
      </c>
      <c r="I456" s="914"/>
    </row>
    <row r="457" spans="1:9" s="324" customFormat="1" ht="12.75" x14ac:dyDescent="0.2">
      <c r="A457" s="936"/>
      <c r="B457" s="244" t="s">
        <v>1479</v>
      </c>
      <c r="C457" s="62" t="s">
        <v>1912</v>
      </c>
      <c r="D457" s="19" t="s">
        <v>405</v>
      </c>
      <c r="E457" s="198">
        <v>1</v>
      </c>
      <c r="F457" s="320">
        <f>VLOOKUP(B457,'BASE DE DATOS'!$A$5:$E$997,5,FALSE)</f>
        <v>648</v>
      </c>
      <c r="G457" s="681">
        <v>0</v>
      </c>
      <c r="H457" s="252">
        <f t="shared" si="39"/>
        <v>648</v>
      </c>
      <c r="I457" s="914"/>
    </row>
    <row r="458" spans="1:9" s="324" customFormat="1" ht="12.75" x14ac:dyDescent="0.2">
      <c r="A458" s="948" t="s">
        <v>3252</v>
      </c>
      <c r="B458" s="244" t="s">
        <v>814</v>
      </c>
      <c r="C458" s="62" t="s">
        <v>2018</v>
      </c>
      <c r="D458" s="19" t="s">
        <v>406</v>
      </c>
      <c r="E458" s="194">
        <v>1.8</v>
      </c>
      <c r="F458" s="320">
        <f>CONSTRUCCION!F118</f>
        <v>7440</v>
      </c>
      <c r="G458" s="681">
        <v>0</v>
      </c>
      <c r="H458" s="252">
        <f t="shared" si="39"/>
        <v>13392</v>
      </c>
      <c r="I458" s="914"/>
    </row>
    <row r="459" spans="1:9" s="324" customFormat="1" ht="12.75" x14ac:dyDescent="0.2">
      <c r="A459" s="948"/>
      <c r="B459" s="244" t="s">
        <v>1099</v>
      </c>
      <c r="C459" s="77" t="s">
        <v>54</v>
      </c>
      <c r="D459" s="19" t="s">
        <v>405</v>
      </c>
      <c r="E459" s="194">
        <v>1</v>
      </c>
      <c r="F459" s="320">
        <f>F60</f>
        <v>4683</v>
      </c>
      <c r="G459" s="681">
        <v>0</v>
      </c>
      <c r="H459" s="252">
        <f t="shared" si="39"/>
        <v>4683</v>
      </c>
      <c r="I459" s="914"/>
    </row>
    <row r="460" spans="1:9" s="324" customFormat="1" ht="12.75" x14ac:dyDescent="0.2">
      <c r="A460" s="948"/>
      <c r="B460" s="244" t="s">
        <v>1145</v>
      </c>
      <c r="C460" s="77" t="s">
        <v>35</v>
      </c>
      <c r="D460" s="19" t="s">
        <v>405</v>
      </c>
      <c r="E460" s="194">
        <v>1.2</v>
      </c>
      <c r="F460" s="320">
        <f>F496</f>
        <v>6599</v>
      </c>
      <c r="G460" s="681">
        <v>0</v>
      </c>
      <c r="H460" s="252">
        <f>IF(G460&gt;0,(G460*F460*E460),(F460*E460))</f>
        <v>7918.7999999999993</v>
      </c>
      <c r="I460" s="914"/>
    </row>
    <row r="461" spans="1:9" s="324" customFormat="1" ht="12.75" x14ac:dyDescent="0.2">
      <c r="A461" s="508" t="s">
        <v>2555</v>
      </c>
      <c r="B461" s="244" t="s">
        <v>687</v>
      </c>
      <c r="C461" s="182" t="s">
        <v>688</v>
      </c>
      <c r="D461" s="138" t="s">
        <v>585</v>
      </c>
      <c r="E461" s="194">
        <v>1</v>
      </c>
      <c r="F461" s="320">
        <f>VLOOKUP(B461,'BASE DE DATOS'!$A$5:$E$997,5,FALSE)</f>
        <v>1028678</v>
      </c>
      <c r="G461" s="681">
        <v>2.5000000000000001E-2</v>
      </c>
      <c r="H461" s="252">
        <f t="shared" si="39"/>
        <v>25716.95</v>
      </c>
      <c r="I461" s="914"/>
    </row>
    <row r="462" spans="1:9" s="324" customFormat="1" ht="12.75" x14ac:dyDescent="0.2">
      <c r="A462" s="1041" t="s">
        <v>293</v>
      </c>
      <c r="B462" s="244" t="s">
        <v>1910</v>
      </c>
      <c r="C462" s="62" t="s">
        <v>1911</v>
      </c>
      <c r="D462" s="19" t="s">
        <v>585</v>
      </c>
      <c r="E462" s="194">
        <v>1</v>
      </c>
      <c r="F462" s="320">
        <f>VLOOKUP(B462,'BASE DE DATOS'!$A$5:$E$997,5,FALSE)</f>
        <v>20760</v>
      </c>
      <c r="G462" s="681">
        <v>0.02</v>
      </c>
      <c r="H462" s="252">
        <f t="shared" si="39"/>
        <v>415.2</v>
      </c>
      <c r="I462" s="914"/>
    </row>
    <row r="463" spans="1:9" s="324" customFormat="1" ht="12.75" x14ac:dyDescent="0.2">
      <c r="A463" s="1041"/>
      <c r="B463" s="244" t="s">
        <v>1908</v>
      </c>
      <c r="C463" s="62" t="s">
        <v>1957</v>
      </c>
      <c r="D463" s="19" t="s">
        <v>585</v>
      </c>
      <c r="E463" s="194">
        <v>1</v>
      </c>
      <c r="F463" s="320">
        <f>VLOOKUP(B463,'BASE DE DATOS'!$A$5:$E$997,5,FALSE)</f>
        <v>59000</v>
      </c>
      <c r="G463" s="681">
        <v>0.02</v>
      </c>
      <c r="H463" s="252">
        <f t="shared" si="39"/>
        <v>1180</v>
      </c>
      <c r="I463" s="914"/>
    </row>
    <row r="464" spans="1:9" s="324" customFormat="1" ht="12.75" x14ac:dyDescent="0.2">
      <c r="A464" s="1041"/>
      <c r="B464" s="244" t="s">
        <v>672</v>
      </c>
      <c r="C464" s="62" t="s">
        <v>2188</v>
      </c>
      <c r="D464" s="19" t="s">
        <v>585</v>
      </c>
      <c r="E464" s="194">
        <v>1</v>
      </c>
      <c r="F464" s="320">
        <f>VLOOKUP(B464,'BASE DE DATOS'!$A$5:$E$997,5,FALSE)</f>
        <v>4400</v>
      </c>
      <c r="G464" s="681">
        <v>0.125</v>
      </c>
      <c r="H464" s="252">
        <f>IF(G464&gt;0,(G464*F464*E464),(F464*E464))</f>
        <v>550</v>
      </c>
      <c r="I464" s="914"/>
    </row>
    <row r="465" spans="1:9" s="324" customFormat="1" ht="12.75" x14ac:dyDescent="0.2">
      <c r="A465" s="1041"/>
      <c r="B465" s="244" t="s">
        <v>269</v>
      </c>
      <c r="C465" s="474" t="s">
        <v>284</v>
      </c>
      <c r="D465" s="215" t="s">
        <v>586</v>
      </c>
      <c r="E465" s="194">
        <v>0.05</v>
      </c>
      <c r="F465" s="320">
        <f>+H461</f>
        <v>25716.95</v>
      </c>
      <c r="G465" s="684">
        <v>1</v>
      </c>
      <c r="H465" s="252">
        <f>IF(G465&gt;0,(G465*F465*E465),(F465*E465))</f>
        <v>1285.8475000000001</v>
      </c>
      <c r="I465" s="914"/>
    </row>
    <row r="466" spans="1:9" s="324" customFormat="1" ht="12.75" x14ac:dyDescent="0.2">
      <c r="A466" s="1041"/>
      <c r="B466" s="244" t="s">
        <v>670</v>
      </c>
      <c r="C466" s="474" t="s">
        <v>671</v>
      </c>
      <c r="D466" s="215" t="s">
        <v>585</v>
      </c>
      <c r="E466" s="194">
        <v>1</v>
      </c>
      <c r="F466" s="320">
        <f>VLOOKUP(B466,'BASE DE DATOS'!$A$5:$E$997,5,FALSE)</f>
        <v>65450</v>
      </c>
      <c r="G466" s="684">
        <f>1/40</f>
        <v>2.5000000000000001E-2</v>
      </c>
      <c r="H466" s="252">
        <f>IF(G466&gt;0,(G466*F466*E466),(F466*E466))</f>
        <v>1636.25</v>
      </c>
      <c r="I466" s="914"/>
    </row>
    <row r="467" spans="1:9" s="324" customFormat="1" ht="13.5" thickBot="1" x14ac:dyDescent="0.25">
      <c r="A467" s="1042"/>
      <c r="B467" s="543" t="s">
        <v>668</v>
      </c>
      <c r="C467" s="75" t="s">
        <v>669</v>
      </c>
      <c r="D467" s="49" t="s">
        <v>585</v>
      </c>
      <c r="E467" s="195">
        <v>1</v>
      </c>
      <c r="F467" s="355">
        <f>VLOOKUP(B467,'BASE DE DATOS'!$A$5:$E$997,5,FALSE)</f>
        <v>58310</v>
      </c>
      <c r="G467" s="682">
        <v>0.02</v>
      </c>
      <c r="H467" s="255">
        <f t="shared" si="39"/>
        <v>1166.2</v>
      </c>
      <c r="I467" s="914"/>
    </row>
    <row r="468" spans="1:9" s="41" customFormat="1" ht="45" x14ac:dyDescent="0.2">
      <c r="A468" s="67" t="s">
        <v>1143</v>
      </c>
      <c r="B468" s="526"/>
      <c r="C468" s="325" t="s">
        <v>57</v>
      </c>
      <c r="D468" s="326" t="s">
        <v>3251</v>
      </c>
      <c r="E468" s="414"/>
      <c r="F468" s="357">
        <f>ROUND(SUM(H468:H481),0)</f>
        <v>179990</v>
      </c>
      <c r="G468" s="683"/>
      <c r="H468" s="330"/>
      <c r="I468" s="914"/>
    </row>
    <row r="469" spans="1:9" s="324" customFormat="1" ht="15" customHeight="1" x14ac:dyDescent="0.2">
      <c r="A469" s="936" t="s">
        <v>382</v>
      </c>
      <c r="B469" s="244" t="s">
        <v>1290</v>
      </c>
      <c r="C469" s="62" t="s">
        <v>2697</v>
      </c>
      <c r="D469" s="19" t="s">
        <v>406</v>
      </c>
      <c r="E469" s="194">
        <f>1/5</f>
        <v>0.2</v>
      </c>
      <c r="F469" s="320">
        <f>VLOOKUP(B469,'BASE DE DATOS'!$A$5:$E$997,5,FALSE)</f>
        <v>13045</v>
      </c>
      <c r="G469" s="681">
        <v>1.03</v>
      </c>
      <c r="H469" s="252">
        <f t="shared" si="39"/>
        <v>2687.2700000000004</v>
      </c>
      <c r="I469" s="914"/>
    </row>
    <row r="470" spans="1:9" s="324" customFormat="1" ht="25.5" x14ac:dyDescent="0.2">
      <c r="A470" s="936"/>
      <c r="B470" s="244" t="s">
        <v>1721</v>
      </c>
      <c r="C470" s="182" t="s">
        <v>1904</v>
      </c>
      <c r="D470" s="138" t="s">
        <v>285</v>
      </c>
      <c r="E470" s="198">
        <v>0.17499999999999999</v>
      </c>
      <c r="F470" s="320">
        <f>VLOOKUP(B470,'BASE DE DATOS'!$A$5:$E$997,5,FALSE)</f>
        <v>661459</v>
      </c>
      <c r="G470" s="681">
        <v>1.05</v>
      </c>
      <c r="H470" s="252">
        <f>IF(G470&gt;0,(G470*F470*E470),(F470*E470))</f>
        <v>121543.09125</v>
      </c>
      <c r="I470" s="914"/>
    </row>
    <row r="471" spans="1:9" s="324" customFormat="1" ht="12.75" x14ac:dyDescent="0.2">
      <c r="A471" s="936"/>
      <c r="B471" s="244" t="s">
        <v>1479</v>
      </c>
      <c r="C471" s="62" t="s">
        <v>1912</v>
      </c>
      <c r="D471" s="19" t="s">
        <v>405</v>
      </c>
      <c r="E471" s="198">
        <v>1</v>
      </c>
      <c r="F471" s="320">
        <f>VLOOKUP(B471,'BASE DE DATOS'!$A$5:$E$997,5,FALSE)</f>
        <v>648</v>
      </c>
      <c r="G471" s="681">
        <v>0</v>
      </c>
      <c r="H471" s="252">
        <f t="shared" si="39"/>
        <v>648</v>
      </c>
      <c r="I471" s="914"/>
    </row>
    <row r="472" spans="1:9" s="324" customFormat="1" ht="12.75" x14ac:dyDescent="0.2">
      <c r="A472" s="948" t="s">
        <v>3252</v>
      </c>
      <c r="B472" s="244" t="s">
        <v>814</v>
      </c>
      <c r="C472" s="62" t="s">
        <v>2018</v>
      </c>
      <c r="D472" s="19" t="s">
        <v>406</v>
      </c>
      <c r="E472" s="194">
        <v>2</v>
      </c>
      <c r="F472" s="320">
        <f>CONSTRUCCION!F118</f>
        <v>7440</v>
      </c>
      <c r="G472" s="681">
        <v>0</v>
      </c>
      <c r="H472" s="252">
        <f>IF(G472&gt;0,(G472*F472*E472),(F472*E472))</f>
        <v>14880</v>
      </c>
      <c r="I472" s="914"/>
    </row>
    <row r="473" spans="1:9" s="324" customFormat="1" ht="12.75" x14ac:dyDescent="0.2">
      <c r="A473" s="948"/>
      <c r="B473" s="244" t="s">
        <v>1099</v>
      </c>
      <c r="C473" s="77" t="s">
        <v>54</v>
      </c>
      <c r="D473" s="19" t="s">
        <v>405</v>
      </c>
      <c r="E473" s="194">
        <v>1</v>
      </c>
      <c r="F473" s="320">
        <f>F60</f>
        <v>4683</v>
      </c>
      <c r="G473" s="681">
        <v>0</v>
      </c>
      <c r="H473" s="252">
        <f>IF(G473&gt;0,(G473*F473*E473),(F473*E473))</f>
        <v>4683</v>
      </c>
      <c r="I473" s="914"/>
    </row>
    <row r="474" spans="1:9" s="324" customFormat="1" ht="12.75" x14ac:dyDescent="0.2">
      <c r="A474" s="948"/>
      <c r="B474" s="244" t="s">
        <v>1145</v>
      </c>
      <c r="C474" s="77" t="s">
        <v>35</v>
      </c>
      <c r="D474" s="19" t="s">
        <v>405</v>
      </c>
      <c r="E474" s="194">
        <v>1.2</v>
      </c>
      <c r="F474" s="320">
        <f>F496</f>
        <v>6599</v>
      </c>
      <c r="G474" s="681">
        <v>0</v>
      </c>
      <c r="H474" s="252">
        <f t="shared" si="39"/>
        <v>7918.7999999999993</v>
      </c>
      <c r="I474" s="914"/>
    </row>
    <row r="475" spans="1:9" s="324" customFormat="1" ht="12.75" x14ac:dyDescent="0.2">
      <c r="A475" s="508" t="s">
        <v>2555</v>
      </c>
      <c r="B475" s="244" t="s">
        <v>687</v>
      </c>
      <c r="C475" s="182" t="s">
        <v>688</v>
      </c>
      <c r="D475" s="138" t="s">
        <v>585</v>
      </c>
      <c r="E475" s="194">
        <v>1</v>
      </c>
      <c r="F475" s="320">
        <f>VLOOKUP(B475,'BASE DE DATOS'!$A$5:$E$997,5,FALSE)</f>
        <v>1028678</v>
      </c>
      <c r="G475" s="681">
        <v>2.1000000000000001E-2</v>
      </c>
      <c r="H475" s="252">
        <f t="shared" si="39"/>
        <v>21602.238000000001</v>
      </c>
      <c r="I475" s="914"/>
    </row>
    <row r="476" spans="1:9" s="324" customFormat="1" ht="12.75" x14ac:dyDescent="0.2">
      <c r="A476" s="1041" t="s">
        <v>293</v>
      </c>
      <c r="B476" s="244" t="s">
        <v>1910</v>
      </c>
      <c r="C476" s="62" t="s">
        <v>1911</v>
      </c>
      <c r="D476" s="19" t="s">
        <v>585</v>
      </c>
      <c r="E476" s="194">
        <v>1</v>
      </c>
      <c r="F476" s="320">
        <f>VLOOKUP(B476,'BASE DE DATOS'!$A$5:$E$997,5,FALSE)</f>
        <v>20760</v>
      </c>
      <c r="G476" s="681">
        <v>0.02</v>
      </c>
      <c r="H476" s="252">
        <f t="shared" si="39"/>
        <v>415.2</v>
      </c>
      <c r="I476" s="914"/>
    </row>
    <row r="477" spans="1:9" s="324" customFormat="1" ht="12.75" x14ac:dyDescent="0.2">
      <c r="A477" s="1041"/>
      <c r="B477" s="244" t="s">
        <v>1908</v>
      </c>
      <c r="C477" s="62" t="s">
        <v>1957</v>
      </c>
      <c r="D477" s="19" t="s">
        <v>585</v>
      </c>
      <c r="E477" s="194">
        <v>1</v>
      </c>
      <c r="F477" s="320">
        <f>VLOOKUP(B477,'BASE DE DATOS'!$A$5:$E$997,5,FALSE)</f>
        <v>59000</v>
      </c>
      <c r="G477" s="681">
        <v>0.02</v>
      </c>
      <c r="H477" s="252">
        <f t="shared" si="39"/>
        <v>1180</v>
      </c>
      <c r="I477" s="914"/>
    </row>
    <row r="478" spans="1:9" s="324" customFormat="1" ht="12.75" x14ac:dyDescent="0.2">
      <c r="A478" s="1041"/>
      <c r="B478" s="244" t="s">
        <v>672</v>
      </c>
      <c r="C478" s="62" t="s">
        <v>2188</v>
      </c>
      <c r="D478" s="19" t="s">
        <v>585</v>
      </c>
      <c r="E478" s="194">
        <v>1</v>
      </c>
      <c r="F478" s="320">
        <f>VLOOKUP(B478,'BASE DE DATOS'!$A$5:$E$997,5,FALSE)</f>
        <v>4400</v>
      </c>
      <c r="G478" s="681">
        <v>0.125</v>
      </c>
      <c r="H478" s="252">
        <f>IF(G478&gt;0,(G478*F478*E478),(F478*E478))</f>
        <v>550</v>
      </c>
      <c r="I478" s="914"/>
    </row>
    <row r="479" spans="1:9" s="324" customFormat="1" ht="12.75" x14ac:dyDescent="0.2">
      <c r="A479" s="1041"/>
      <c r="B479" s="244" t="s">
        <v>269</v>
      </c>
      <c r="C479" s="474" t="s">
        <v>284</v>
      </c>
      <c r="D479" s="215" t="s">
        <v>586</v>
      </c>
      <c r="E479" s="194">
        <v>0.05</v>
      </c>
      <c r="F479" s="320">
        <f>+H475</f>
        <v>21602.238000000001</v>
      </c>
      <c r="G479" s="684">
        <v>1</v>
      </c>
      <c r="H479" s="252">
        <f>IF(G479&gt;0,(G479*F479*E479),(F479*E479))</f>
        <v>1080.1119000000001</v>
      </c>
      <c r="I479" s="914"/>
    </row>
    <row r="480" spans="1:9" s="324" customFormat="1" ht="12.75" x14ac:dyDescent="0.2">
      <c r="A480" s="1041"/>
      <c r="B480" s="244" t="s">
        <v>670</v>
      </c>
      <c r="C480" s="474" t="s">
        <v>671</v>
      </c>
      <c r="D480" s="215" t="s">
        <v>585</v>
      </c>
      <c r="E480" s="194">
        <v>1</v>
      </c>
      <c r="F480" s="320">
        <f>VLOOKUP(B480,'BASE DE DATOS'!$A$5:$E$997,5,FALSE)</f>
        <v>65450</v>
      </c>
      <c r="G480" s="684">
        <f>1/40</f>
        <v>2.5000000000000001E-2</v>
      </c>
      <c r="H480" s="252">
        <f>IF(G480&gt;0,(G480*F480*E480),(F480*E480))</f>
        <v>1636.25</v>
      </c>
      <c r="I480" s="914"/>
    </row>
    <row r="481" spans="1:9" s="324" customFormat="1" ht="13.5" thickBot="1" x14ac:dyDescent="0.25">
      <c r="A481" s="1042"/>
      <c r="B481" s="543" t="s">
        <v>668</v>
      </c>
      <c r="C481" s="75" t="s">
        <v>669</v>
      </c>
      <c r="D481" s="49" t="s">
        <v>585</v>
      </c>
      <c r="E481" s="195">
        <v>1</v>
      </c>
      <c r="F481" s="355">
        <f>VLOOKUP(B481,'BASE DE DATOS'!$A$5:$E$997,5,FALSE)</f>
        <v>58310</v>
      </c>
      <c r="G481" s="682">
        <v>0.02</v>
      </c>
      <c r="H481" s="255">
        <f t="shared" si="39"/>
        <v>1166.2</v>
      </c>
      <c r="I481" s="914"/>
    </row>
    <row r="482" spans="1:9" s="41" customFormat="1" ht="45" x14ac:dyDescent="0.2">
      <c r="A482" s="67" t="s">
        <v>1144</v>
      </c>
      <c r="B482" s="550"/>
      <c r="C482" s="325" t="s">
        <v>59</v>
      </c>
      <c r="D482" s="326" t="s">
        <v>3251</v>
      </c>
      <c r="E482" s="414"/>
      <c r="F482" s="357">
        <f>ROUND(SUM(H482:H495),0)</f>
        <v>199553</v>
      </c>
      <c r="G482" s="683"/>
      <c r="H482" s="330"/>
      <c r="I482" s="914"/>
    </row>
    <row r="483" spans="1:9" s="324" customFormat="1" ht="12.75" x14ac:dyDescent="0.2">
      <c r="A483" s="936" t="s">
        <v>382</v>
      </c>
      <c r="B483" s="244" t="s">
        <v>1290</v>
      </c>
      <c r="C483" s="62" t="s">
        <v>2697</v>
      </c>
      <c r="D483" s="19" t="s">
        <v>406</v>
      </c>
      <c r="E483" s="194">
        <f>1/5</f>
        <v>0.2</v>
      </c>
      <c r="F483" s="320">
        <f>VLOOKUP(B483,'BASE DE DATOS'!$A$5:$E$997,5,FALSE)</f>
        <v>13045</v>
      </c>
      <c r="G483" s="681">
        <v>1.03</v>
      </c>
      <c r="H483" s="252">
        <f t="shared" si="39"/>
        <v>2687.2700000000004</v>
      </c>
      <c r="I483" s="914"/>
    </row>
    <row r="484" spans="1:9" s="324" customFormat="1" ht="25.5" x14ac:dyDescent="0.2">
      <c r="A484" s="936"/>
      <c r="B484" s="244" t="s">
        <v>1721</v>
      </c>
      <c r="C484" s="182" t="s">
        <v>1904</v>
      </c>
      <c r="D484" s="19" t="s">
        <v>285</v>
      </c>
      <c r="E484" s="198">
        <v>0.2</v>
      </c>
      <c r="F484" s="320">
        <f>VLOOKUP(B484,'BASE DE DATOS'!$A$5:$E$997,5,FALSE)</f>
        <v>661459</v>
      </c>
      <c r="G484" s="681">
        <v>1.05</v>
      </c>
      <c r="H484" s="252">
        <f>IF(G484&gt;0,(G484*F484*E484),(F484*E484))</f>
        <v>138906.39000000001</v>
      </c>
      <c r="I484" s="914"/>
    </row>
    <row r="485" spans="1:9" s="324" customFormat="1" ht="12.75" x14ac:dyDescent="0.2">
      <c r="A485" s="936"/>
      <c r="B485" s="244" t="s">
        <v>1479</v>
      </c>
      <c r="C485" s="62" t="s">
        <v>1912</v>
      </c>
      <c r="D485" s="19" t="s">
        <v>405</v>
      </c>
      <c r="E485" s="198">
        <v>1</v>
      </c>
      <c r="F485" s="320">
        <f>VLOOKUP(B485,'BASE DE DATOS'!$A$5:$E$997,5,FALSE)</f>
        <v>648</v>
      </c>
      <c r="G485" s="681">
        <v>0</v>
      </c>
      <c r="H485" s="252">
        <f t="shared" si="39"/>
        <v>648</v>
      </c>
      <c r="I485" s="914"/>
    </row>
    <row r="486" spans="1:9" s="324" customFormat="1" ht="12.75" x14ac:dyDescent="0.2">
      <c r="A486" s="948" t="s">
        <v>3252</v>
      </c>
      <c r="B486" s="244" t="s">
        <v>814</v>
      </c>
      <c r="C486" s="62" t="s">
        <v>2018</v>
      </c>
      <c r="D486" s="19" t="s">
        <v>406</v>
      </c>
      <c r="E486" s="194">
        <v>2.5</v>
      </c>
      <c r="F486" s="320">
        <f>CONSTRUCCION!F118</f>
        <v>7440</v>
      </c>
      <c r="G486" s="681">
        <v>0</v>
      </c>
      <c r="H486" s="252">
        <f>IF(G486&gt;0,(G486*F486*E486),(F486*E486))</f>
        <v>18600</v>
      </c>
      <c r="I486" s="914"/>
    </row>
    <row r="487" spans="1:9" s="324" customFormat="1" ht="12.75" x14ac:dyDescent="0.2">
      <c r="A487" s="948"/>
      <c r="B487" s="244" t="s">
        <v>1099</v>
      </c>
      <c r="C487" s="77" t="s">
        <v>54</v>
      </c>
      <c r="D487" s="19" t="s">
        <v>405</v>
      </c>
      <c r="E487" s="194">
        <v>1</v>
      </c>
      <c r="F487" s="320">
        <f>F60</f>
        <v>4683</v>
      </c>
      <c r="G487" s="681">
        <v>0</v>
      </c>
      <c r="H487" s="252">
        <f>IF(G487&gt;0,(G487*F487*E487),(F487*E487))</f>
        <v>4683</v>
      </c>
      <c r="I487" s="914"/>
    </row>
    <row r="488" spans="1:9" s="324" customFormat="1" ht="12.75" x14ac:dyDescent="0.2">
      <c r="A488" s="948"/>
      <c r="B488" s="244" t="s">
        <v>1145</v>
      </c>
      <c r="C488" s="77" t="s">
        <v>35</v>
      </c>
      <c r="D488" s="19" t="s">
        <v>405</v>
      </c>
      <c r="E488" s="194">
        <v>1.2</v>
      </c>
      <c r="F488" s="320">
        <f>F496</f>
        <v>6599</v>
      </c>
      <c r="G488" s="681">
        <v>0</v>
      </c>
      <c r="H488" s="252">
        <f t="shared" si="39"/>
        <v>7918.7999999999993</v>
      </c>
      <c r="I488" s="914"/>
    </row>
    <row r="489" spans="1:9" s="324" customFormat="1" ht="12.75" x14ac:dyDescent="0.2">
      <c r="A489" s="591" t="s">
        <v>2555</v>
      </c>
      <c r="B489" s="244" t="s">
        <v>687</v>
      </c>
      <c r="C489" s="182" t="s">
        <v>688</v>
      </c>
      <c r="D489" s="138" t="s">
        <v>585</v>
      </c>
      <c r="E489" s="194">
        <v>1</v>
      </c>
      <c r="F489" s="320">
        <f>VLOOKUP(B489,'BASE DE DATOS'!$A$5:$E$997,5,FALSE)</f>
        <v>1028678</v>
      </c>
      <c r="G489" s="681">
        <v>0.02</v>
      </c>
      <c r="H489" s="252">
        <f t="shared" si="39"/>
        <v>20573.560000000001</v>
      </c>
      <c r="I489" s="914"/>
    </row>
    <row r="490" spans="1:9" s="324" customFormat="1" ht="12.75" x14ac:dyDescent="0.2">
      <c r="A490" s="1041" t="s">
        <v>293</v>
      </c>
      <c r="B490" s="244" t="s">
        <v>1910</v>
      </c>
      <c r="C490" s="62" t="s">
        <v>1911</v>
      </c>
      <c r="D490" s="19" t="s">
        <v>585</v>
      </c>
      <c r="E490" s="194">
        <v>1</v>
      </c>
      <c r="F490" s="320">
        <f>VLOOKUP(B490,'BASE DE DATOS'!$A$5:$E$997,5,FALSE)</f>
        <v>20760</v>
      </c>
      <c r="G490" s="681">
        <v>0.02</v>
      </c>
      <c r="H490" s="252">
        <f t="shared" si="39"/>
        <v>415.2</v>
      </c>
      <c r="I490" s="914"/>
    </row>
    <row r="491" spans="1:9" s="324" customFormat="1" ht="12.75" x14ac:dyDescent="0.2">
      <c r="A491" s="1041"/>
      <c r="B491" s="244" t="s">
        <v>1908</v>
      </c>
      <c r="C491" s="62" t="s">
        <v>1957</v>
      </c>
      <c r="D491" s="19" t="s">
        <v>585</v>
      </c>
      <c r="E491" s="194">
        <v>1</v>
      </c>
      <c r="F491" s="320">
        <f>VLOOKUP(B491,'BASE DE DATOS'!$A$5:$E$997,5,FALSE)</f>
        <v>59000</v>
      </c>
      <c r="G491" s="681">
        <v>0.02</v>
      </c>
      <c r="H491" s="252">
        <f t="shared" si="39"/>
        <v>1180</v>
      </c>
      <c r="I491" s="914"/>
    </row>
    <row r="492" spans="1:9" s="324" customFormat="1" ht="12.75" x14ac:dyDescent="0.2">
      <c r="A492" s="1041"/>
      <c r="B492" s="244" t="s">
        <v>672</v>
      </c>
      <c r="C492" s="62" t="s">
        <v>2188</v>
      </c>
      <c r="D492" s="19" t="s">
        <v>585</v>
      </c>
      <c r="E492" s="194">
        <v>1</v>
      </c>
      <c r="F492" s="320">
        <f>VLOOKUP(B492,'BASE DE DATOS'!$A$5:$E$997,5,FALSE)</f>
        <v>4400</v>
      </c>
      <c r="G492" s="681">
        <v>2.5000000000000001E-2</v>
      </c>
      <c r="H492" s="252">
        <f>IF(G492&gt;0,(G492*F492*E492),(F492*E492))</f>
        <v>110</v>
      </c>
      <c r="I492" s="914"/>
    </row>
    <row r="493" spans="1:9" s="324" customFormat="1" ht="12.75" x14ac:dyDescent="0.2">
      <c r="A493" s="1041"/>
      <c r="B493" s="244" t="s">
        <v>269</v>
      </c>
      <c r="C493" s="474" t="s">
        <v>284</v>
      </c>
      <c r="D493" s="215" t="s">
        <v>586</v>
      </c>
      <c r="E493" s="194">
        <v>0.05</v>
      </c>
      <c r="F493" s="320">
        <f>+H489</f>
        <v>20573.560000000001</v>
      </c>
      <c r="G493" s="684">
        <v>1</v>
      </c>
      <c r="H493" s="252">
        <f>IF(G493&gt;0,(G493*F493*E493),(F493*E493))</f>
        <v>1028.6780000000001</v>
      </c>
      <c r="I493" s="914"/>
    </row>
    <row r="494" spans="1:9" s="324" customFormat="1" ht="12.75" x14ac:dyDescent="0.2">
      <c r="A494" s="1041"/>
      <c r="B494" s="244" t="s">
        <v>670</v>
      </c>
      <c r="C494" s="474" t="s">
        <v>671</v>
      </c>
      <c r="D494" s="215" t="s">
        <v>585</v>
      </c>
      <c r="E494" s="194">
        <v>1</v>
      </c>
      <c r="F494" s="320">
        <f>VLOOKUP(B494,'BASE DE DATOS'!$A$5:$E$997,5,FALSE)</f>
        <v>65450</v>
      </c>
      <c r="G494" s="684">
        <v>2.5000000000000001E-2</v>
      </c>
      <c r="H494" s="252">
        <f t="shared" si="39"/>
        <v>1636.25</v>
      </c>
      <c r="I494" s="914"/>
    </row>
    <row r="495" spans="1:9" s="324" customFormat="1" ht="13.5" thickBot="1" x14ac:dyDescent="0.25">
      <c r="A495" s="1042"/>
      <c r="B495" s="543" t="s">
        <v>668</v>
      </c>
      <c r="C495" s="75" t="s">
        <v>669</v>
      </c>
      <c r="D495" s="49" t="s">
        <v>585</v>
      </c>
      <c r="E495" s="195">
        <v>1</v>
      </c>
      <c r="F495" s="355">
        <f>VLOOKUP(B495,'BASE DE DATOS'!$A$5:$E$997,5,FALSE)</f>
        <v>58310</v>
      </c>
      <c r="G495" s="682">
        <v>0.02</v>
      </c>
      <c r="H495" s="255">
        <f>IF(G495&gt;0,(G495*F495*E495),(F495*E495))</f>
        <v>1166.2</v>
      </c>
      <c r="I495" s="914"/>
    </row>
    <row r="496" spans="1:9" s="41" customFormat="1" x14ac:dyDescent="0.2">
      <c r="A496" s="67" t="s">
        <v>1145</v>
      </c>
      <c r="B496" s="553"/>
      <c r="C496" s="325" t="s">
        <v>3145</v>
      </c>
      <c r="D496" s="326" t="s">
        <v>405</v>
      </c>
      <c r="E496" s="414"/>
      <c r="F496" s="357">
        <f>ROUND(SUM(H496:H500),0)</f>
        <v>6599</v>
      </c>
      <c r="G496" s="683"/>
      <c r="H496" s="330"/>
      <c r="I496" s="914"/>
    </row>
    <row r="497" spans="1:9" s="324" customFormat="1" ht="12.75" x14ac:dyDescent="0.2">
      <c r="A497" s="936" t="s">
        <v>382</v>
      </c>
      <c r="B497" s="244" t="s">
        <v>1565</v>
      </c>
      <c r="C497" s="62" t="s">
        <v>3144</v>
      </c>
      <c r="D497" s="19" t="s">
        <v>405</v>
      </c>
      <c r="E497" s="194">
        <v>1</v>
      </c>
      <c r="F497" s="320">
        <v>174</v>
      </c>
      <c r="G497" s="681">
        <v>0</v>
      </c>
      <c r="H497" s="252">
        <f>IF(G497&gt;0,(G497*F497*E497),(F497*E497))</f>
        <v>174</v>
      </c>
      <c r="I497" s="914"/>
    </row>
    <row r="498" spans="1:9" s="324" customFormat="1" ht="12.75" x14ac:dyDescent="0.2">
      <c r="A498" s="936"/>
      <c r="B498" s="244" t="s">
        <v>1432</v>
      </c>
      <c r="C498" s="62" t="s">
        <v>3143</v>
      </c>
      <c r="D498" s="19" t="s">
        <v>405</v>
      </c>
      <c r="E498" s="194">
        <f>1/100</f>
        <v>0.01</v>
      </c>
      <c r="F498" s="320">
        <v>339980</v>
      </c>
      <c r="G498" s="681">
        <v>1.05</v>
      </c>
      <c r="H498" s="252">
        <f t="shared" si="39"/>
        <v>3569.79</v>
      </c>
      <c r="I498" s="914"/>
    </row>
    <row r="499" spans="1:9" s="324" customFormat="1" ht="12.75" x14ac:dyDescent="0.2">
      <c r="A499" s="508" t="s">
        <v>2555</v>
      </c>
      <c r="B499" s="244" t="s">
        <v>331</v>
      </c>
      <c r="C499" s="182" t="s">
        <v>332</v>
      </c>
      <c r="D499" s="138" t="s">
        <v>585</v>
      </c>
      <c r="E499" s="194">
        <v>1</v>
      </c>
      <c r="F499" s="320">
        <f>VLOOKUP(B499,'BASE DE DATOS'!$A$5:$E$997,5,FALSE)</f>
        <v>124151</v>
      </c>
      <c r="G499" s="681">
        <f>1/50</f>
        <v>0.02</v>
      </c>
      <c r="H499" s="252">
        <f t="shared" si="39"/>
        <v>2483.02</v>
      </c>
      <c r="I499" s="914"/>
    </row>
    <row r="500" spans="1:9" s="324" customFormat="1" ht="13.5" thickBot="1" x14ac:dyDescent="0.25">
      <c r="A500" s="504" t="s">
        <v>293</v>
      </c>
      <c r="B500" s="543" t="s">
        <v>269</v>
      </c>
      <c r="C500" s="169" t="s">
        <v>284</v>
      </c>
      <c r="D500" s="112" t="s">
        <v>586</v>
      </c>
      <c r="E500" s="201">
        <v>0.15</v>
      </c>
      <c r="F500" s="321">
        <f>H499</f>
        <v>2483.02</v>
      </c>
      <c r="G500" s="686">
        <v>0</v>
      </c>
      <c r="H500" s="255">
        <f t="shared" si="39"/>
        <v>372.45299999999997</v>
      </c>
      <c r="I500" s="914"/>
    </row>
    <row r="501" spans="1:9" s="41" customFormat="1" ht="30" x14ac:dyDescent="0.2">
      <c r="A501" s="353" t="s">
        <v>1146</v>
      </c>
      <c r="B501" s="554"/>
      <c r="C501" s="358" t="s">
        <v>3146</v>
      </c>
      <c r="D501" s="326" t="s">
        <v>405</v>
      </c>
      <c r="E501" s="426"/>
      <c r="F501" s="357">
        <f>ROUND(SUM(H501:H506),0)</f>
        <v>14064</v>
      </c>
      <c r="G501" s="683"/>
      <c r="H501" s="330"/>
      <c r="I501" s="914"/>
    </row>
    <row r="502" spans="1:9" s="324" customFormat="1" ht="12.75" x14ac:dyDescent="0.2">
      <c r="A502" s="936" t="s">
        <v>382</v>
      </c>
      <c r="B502" s="244" t="s">
        <v>1565</v>
      </c>
      <c r="C502" s="62" t="s">
        <v>3144</v>
      </c>
      <c r="D502" s="19" t="s">
        <v>405</v>
      </c>
      <c r="E502" s="194">
        <v>1</v>
      </c>
      <c r="F502" s="320">
        <v>174</v>
      </c>
      <c r="G502" s="681">
        <v>0</v>
      </c>
      <c r="H502" s="252">
        <f>IF(G502&gt;0,(G502*F502*E502),(F502*E502))</f>
        <v>174</v>
      </c>
      <c r="I502" s="914"/>
    </row>
    <row r="503" spans="1:9" s="324" customFormat="1" ht="12.75" x14ac:dyDescent="0.2">
      <c r="A503" s="936"/>
      <c r="B503" s="244" t="s">
        <v>1432</v>
      </c>
      <c r="C503" s="62" t="s">
        <v>3143</v>
      </c>
      <c r="D503" s="19" t="s">
        <v>405</v>
      </c>
      <c r="E503" s="194">
        <f>1/36</f>
        <v>2.7777777777777776E-2</v>
      </c>
      <c r="F503" s="320">
        <v>339980</v>
      </c>
      <c r="G503" s="681">
        <v>1.05</v>
      </c>
      <c r="H503" s="252">
        <f>IF(G503&gt;0,(G503*F503*E503),(F503*E503))</f>
        <v>9916.0833333333321</v>
      </c>
      <c r="I503" s="914"/>
    </row>
    <row r="504" spans="1:9" s="324" customFormat="1" ht="12.75" x14ac:dyDescent="0.2">
      <c r="A504" s="936"/>
      <c r="B504" s="244" t="s">
        <v>1726</v>
      </c>
      <c r="C504" s="62" t="s">
        <v>2193</v>
      </c>
      <c r="D504" s="19" t="s">
        <v>405</v>
      </c>
      <c r="E504" s="194">
        <v>1</v>
      </c>
      <c r="F504" s="320">
        <f>VLOOKUP(B504,'BASE DE DATOS'!$A$5:$E$997,5,FALSE)</f>
        <v>1097</v>
      </c>
      <c r="G504" s="681">
        <v>1.02</v>
      </c>
      <c r="H504" s="252">
        <f t="shared" si="39"/>
        <v>1118.94</v>
      </c>
      <c r="I504" s="914"/>
    </row>
    <row r="505" spans="1:9" s="324" customFormat="1" ht="12.75" x14ac:dyDescent="0.2">
      <c r="A505" s="508" t="s">
        <v>2555</v>
      </c>
      <c r="B505" s="244" t="s">
        <v>331</v>
      </c>
      <c r="C505" s="182" t="s">
        <v>332</v>
      </c>
      <c r="D505" s="138" t="s">
        <v>585</v>
      </c>
      <c r="E505" s="194">
        <v>1</v>
      </c>
      <c r="F505" s="320">
        <f>VLOOKUP(B505,'BASE DE DATOS'!$A$5:$E$997,5,FALSE)</f>
        <v>124151</v>
      </c>
      <c r="G505" s="681">
        <f>1/50</f>
        <v>0.02</v>
      </c>
      <c r="H505" s="252">
        <f t="shared" ref="H505:H506" si="40">IF(G505&gt;0,(G505*F505*E505),(F505*E505))</f>
        <v>2483.02</v>
      </c>
      <c r="I505" s="914"/>
    </row>
    <row r="506" spans="1:9" s="324" customFormat="1" ht="13.5" thickBot="1" x14ac:dyDescent="0.25">
      <c r="A506" s="504" t="s">
        <v>293</v>
      </c>
      <c r="B506" s="543" t="s">
        <v>269</v>
      </c>
      <c r="C506" s="169" t="s">
        <v>284</v>
      </c>
      <c r="D506" s="112" t="s">
        <v>586</v>
      </c>
      <c r="E506" s="201">
        <v>0.15</v>
      </c>
      <c r="F506" s="321">
        <f>+H505</f>
        <v>2483.02</v>
      </c>
      <c r="G506" s="686">
        <v>0</v>
      </c>
      <c r="H506" s="255">
        <f t="shared" si="40"/>
        <v>372.45299999999997</v>
      </c>
      <c r="I506" s="914"/>
    </row>
    <row r="507" spans="1:9" s="41" customFormat="1" ht="60" x14ac:dyDescent="0.2">
      <c r="A507" s="67" t="s">
        <v>1147</v>
      </c>
      <c r="B507" s="526"/>
      <c r="C507" s="325" t="s">
        <v>3738</v>
      </c>
      <c r="D507" s="326" t="s">
        <v>3251</v>
      </c>
      <c r="E507" s="426"/>
      <c r="F507" s="357">
        <f>ROUND(SUM(H507:H519),0)</f>
        <v>162790</v>
      </c>
      <c r="G507" s="683"/>
      <c r="H507" s="330"/>
      <c r="I507" s="914"/>
    </row>
    <row r="508" spans="1:9" s="324" customFormat="1" ht="12.75" x14ac:dyDescent="0.2">
      <c r="A508" s="939" t="s">
        <v>295</v>
      </c>
      <c r="B508" s="244" t="s">
        <v>1264</v>
      </c>
      <c r="C508" s="62" t="s">
        <v>641</v>
      </c>
      <c r="D508" s="19" t="s">
        <v>642</v>
      </c>
      <c r="E508" s="194">
        <f>1/20.16</f>
        <v>4.96031746031746E-2</v>
      </c>
      <c r="F508" s="320">
        <f>VLOOKUP(B508,'BASE DE DATOS'!$A$5:$E$997,5,FALSE)</f>
        <v>10959</v>
      </c>
      <c r="G508" s="681">
        <v>1.03</v>
      </c>
      <c r="H508" s="252">
        <f>IF(G508&gt;0,(G508*F508*E508),(F508*E508))</f>
        <v>559.90922619047615</v>
      </c>
      <c r="I508" s="914"/>
    </row>
    <row r="509" spans="1:9" s="324" customFormat="1" ht="12.75" x14ac:dyDescent="0.2">
      <c r="A509" s="939"/>
      <c r="B509" s="244" t="s">
        <v>1872</v>
      </c>
      <c r="C509" s="62" t="s">
        <v>3246</v>
      </c>
      <c r="D509" s="19" t="s">
        <v>406</v>
      </c>
      <c r="E509" s="194">
        <f>(50*7*0.015*3.024)/20.16</f>
        <v>0.78749999999999998</v>
      </c>
      <c r="F509" s="320">
        <f>VLOOKUP(B509,'BASE DE DATOS'!$A$5:$E$997,5,FALSE)</f>
        <v>19580</v>
      </c>
      <c r="G509" s="681">
        <v>1.03</v>
      </c>
      <c r="H509" s="252">
        <f>IF(G509&gt;0,(G509*F509*E509),(F509*E509))</f>
        <v>15881.827500000001</v>
      </c>
      <c r="I509" s="914"/>
    </row>
    <row r="510" spans="1:9" s="324" customFormat="1" ht="12.75" x14ac:dyDescent="0.2">
      <c r="A510" s="939"/>
      <c r="B510" s="244" t="s">
        <v>1290</v>
      </c>
      <c r="C510" s="62" t="s">
        <v>2697</v>
      </c>
      <c r="D510" s="19" t="s">
        <v>406</v>
      </c>
      <c r="E510" s="194">
        <f>4.032/20.16</f>
        <v>0.2</v>
      </c>
      <c r="F510" s="320">
        <f>VLOOKUP(B510,'BASE DE DATOS'!$A$5:$E$997,5,FALSE)</f>
        <v>13045</v>
      </c>
      <c r="G510" s="681">
        <v>1.03</v>
      </c>
      <c r="H510" s="252">
        <f>IF(G510&gt;0,(G510*F510*E510),(F510*E510))</f>
        <v>2687.2700000000004</v>
      </c>
      <c r="I510" s="914"/>
    </row>
    <row r="511" spans="1:9" s="324" customFormat="1" ht="12.75" x14ac:dyDescent="0.2">
      <c r="A511" s="939"/>
      <c r="B511" s="244" t="s">
        <v>1558</v>
      </c>
      <c r="C511" s="62" t="s">
        <v>603</v>
      </c>
      <c r="D511" s="19" t="s">
        <v>590</v>
      </c>
      <c r="E511" s="194">
        <f>1/20.16</f>
        <v>4.96031746031746E-2</v>
      </c>
      <c r="F511" s="320">
        <f>VLOOKUP(B511,'BASE DE DATOS'!$A$5:$E$997,5,FALSE)</f>
        <v>5650</v>
      </c>
      <c r="G511" s="681">
        <v>0</v>
      </c>
      <c r="H511" s="252">
        <f>IF(G511&gt;0,(G511*F511*E511),(F511*E511))</f>
        <v>280.25793650793651</v>
      </c>
      <c r="I511" s="914"/>
    </row>
    <row r="512" spans="1:9" s="324" customFormat="1" ht="12.75" x14ac:dyDescent="0.2">
      <c r="A512" s="939"/>
      <c r="B512" s="244" t="s">
        <v>1711</v>
      </c>
      <c r="C512" s="62" t="s">
        <v>632</v>
      </c>
      <c r="D512" s="19" t="s">
        <v>405</v>
      </c>
      <c r="E512" s="194">
        <f>(4.14*4+8*1.8)/20.16</f>
        <v>1.5357142857142858</v>
      </c>
      <c r="F512" s="320">
        <f>VLOOKUP(B512,'BASE DE DATOS'!$A$5:$E$997,5,FALSE)</f>
        <v>10991</v>
      </c>
      <c r="G512" s="681">
        <f>1/3</f>
        <v>0.33333333333333331</v>
      </c>
      <c r="H512" s="252">
        <f t="shared" ref="H512:H519" si="41">IF(G512&gt;0,(G512*F512*E512),(F512*E512))</f>
        <v>5626.3452380952385</v>
      </c>
      <c r="I512" s="914"/>
    </row>
    <row r="513" spans="1:9" s="324" customFormat="1" ht="12.75" x14ac:dyDescent="0.2">
      <c r="A513" s="939"/>
      <c r="B513" s="244" t="s">
        <v>1690</v>
      </c>
      <c r="C513" s="62" t="s">
        <v>2749</v>
      </c>
      <c r="D513" s="19" t="s">
        <v>405</v>
      </c>
      <c r="E513" s="194">
        <f>32/20.16</f>
        <v>1.5873015873015872</v>
      </c>
      <c r="F513" s="320">
        <f>VLOOKUP(B513,'BASE DE DATOS'!$A$5:$E$997,5,FALSE)</f>
        <v>1540</v>
      </c>
      <c r="G513" s="681">
        <f>1/3</f>
        <v>0.33333333333333331</v>
      </c>
      <c r="H513" s="252">
        <f t="shared" si="41"/>
        <v>814.81481481481467</v>
      </c>
      <c r="I513" s="914"/>
    </row>
    <row r="514" spans="1:9" s="324" customFormat="1" ht="16.149999999999999" customHeight="1" x14ac:dyDescent="0.2">
      <c r="A514" s="948" t="s">
        <v>3252</v>
      </c>
      <c r="B514" s="244" t="s">
        <v>799</v>
      </c>
      <c r="C514" s="62" t="s">
        <v>3276</v>
      </c>
      <c r="D514" s="19" t="s">
        <v>285</v>
      </c>
      <c r="E514" s="194">
        <f>3.024/20.16</f>
        <v>0.15</v>
      </c>
      <c r="F514" s="320">
        <f>CONSTRUCCION!F34</f>
        <v>482282</v>
      </c>
      <c r="G514" s="681">
        <v>1.05</v>
      </c>
      <c r="H514" s="252">
        <f>IF(G514&gt;0,(G514*F514*E514),(F514*E514))</f>
        <v>75959.415000000008</v>
      </c>
      <c r="I514" s="914"/>
    </row>
    <row r="515" spans="1:9" s="324" customFormat="1" ht="12.75" x14ac:dyDescent="0.2">
      <c r="A515" s="948"/>
      <c r="B515" s="244" t="s">
        <v>814</v>
      </c>
      <c r="C515" s="62" t="s">
        <v>2018</v>
      </c>
      <c r="D515" s="19" t="s">
        <v>406</v>
      </c>
      <c r="E515" s="194">
        <f>52/20.16</f>
        <v>2.5793650793650795</v>
      </c>
      <c r="F515" s="320">
        <f>CONSTRUCCION!F118</f>
        <v>7440</v>
      </c>
      <c r="G515" s="681">
        <v>0</v>
      </c>
      <c r="H515" s="252">
        <f t="shared" si="41"/>
        <v>19190.476190476191</v>
      </c>
      <c r="I515" s="914"/>
    </row>
    <row r="516" spans="1:9" s="324" customFormat="1" ht="12.75" x14ac:dyDescent="0.2">
      <c r="A516" s="948"/>
      <c r="B516" s="244" t="s">
        <v>1099</v>
      </c>
      <c r="C516" s="77" t="s">
        <v>54</v>
      </c>
      <c r="D516" s="19" t="s">
        <v>405</v>
      </c>
      <c r="E516" s="194">
        <f>(2.8*4*4+0.9*3+8)/20.16</f>
        <v>2.7529761904761902</v>
      </c>
      <c r="F516" s="320">
        <f>F60</f>
        <v>4683</v>
      </c>
      <c r="G516" s="681">
        <v>0</v>
      </c>
      <c r="H516" s="252">
        <f t="shared" si="41"/>
        <v>12892.187499999998</v>
      </c>
      <c r="I516" s="914"/>
    </row>
    <row r="517" spans="1:9" s="324" customFormat="1" ht="12.75" x14ac:dyDescent="0.2">
      <c r="A517" s="948"/>
      <c r="B517" s="244" t="s">
        <v>1145</v>
      </c>
      <c r="C517" s="77" t="s">
        <v>35</v>
      </c>
      <c r="D517" s="19" t="s">
        <v>405</v>
      </c>
      <c r="E517" s="194">
        <f>55.5/20.16</f>
        <v>2.7529761904761902</v>
      </c>
      <c r="F517" s="320">
        <f>F496</f>
        <v>6599</v>
      </c>
      <c r="G517" s="681">
        <v>0</v>
      </c>
      <c r="H517" s="252">
        <f t="shared" si="41"/>
        <v>18166.889880952378</v>
      </c>
      <c r="I517" s="914"/>
    </row>
    <row r="518" spans="1:9" s="324" customFormat="1" ht="12.75" x14ac:dyDescent="0.2">
      <c r="A518" s="508" t="s">
        <v>2555</v>
      </c>
      <c r="B518" s="244" t="s">
        <v>618</v>
      </c>
      <c r="C518" s="62" t="s">
        <v>3247</v>
      </c>
      <c r="D518" s="19" t="s">
        <v>585</v>
      </c>
      <c r="E518" s="194">
        <v>1</v>
      </c>
      <c r="F518" s="320">
        <f>VLOOKUP(B518,'BASE DE DATOS'!$A$5:$E$997,5,FALSE)</f>
        <v>780376</v>
      </c>
      <c r="G518" s="681">
        <f>1/80</f>
        <v>1.2500000000000001E-2</v>
      </c>
      <c r="H518" s="252">
        <f t="shared" si="41"/>
        <v>9754.7000000000007</v>
      </c>
      <c r="I518" s="914"/>
    </row>
    <row r="519" spans="1:9" s="324" customFormat="1" ht="13.5" thickBot="1" x14ac:dyDescent="0.25">
      <c r="A519" s="504" t="s">
        <v>293</v>
      </c>
      <c r="B519" s="543" t="s">
        <v>269</v>
      </c>
      <c r="C519" s="169" t="s">
        <v>284</v>
      </c>
      <c r="D519" s="112" t="s">
        <v>586</v>
      </c>
      <c r="E519" s="201">
        <v>0.1</v>
      </c>
      <c r="F519" s="321">
        <f>+H518</f>
        <v>9754.7000000000007</v>
      </c>
      <c r="G519" s="686">
        <v>0</v>
      </c>
      <c r="H519" s="255">
        <f t="shared" si="41"/>
        <v>975.47000000000014</v>
      </c>
      <c r="I519" s="914"/>
    </row>
    <row r="520" spans="1:9" s="41" customFormat="1" ht="56.45" customHeight="1" x14ac:dyDescent="0.2">
      <c r="A520" s="67" t="s">
        <v>1148</v>
      </c>
      <c r="B520" s="526"/>
      <c r="C520" s="356" t="s">
        <v>3250</v>
      </c>
      <c r="D520" s="326" t="s">
        <v>3251</v>
      </c>
      <c r="E520" s="426"/>
      <c r="F520" s="357">
        <f>ROUND(SUM(H520:H524),0)</f>
        <v>83699</v>
      </c>
      <c r="G520" s="683"/>
      <c r="H520" s="330"/>
      <c r="I520" s="920"/>
    </row>
    <row r="521" spans="1:9" s="324" customFormat="1" ht="12.75" x14ac:dyDescent="0.2">
      <c r="A521" s="589" t="s">
        <v>382</v>
      </c>
      <c r="B521" s="244" t="s">
        <v>1290</v>
      </c>
      <c r="C521" s="62" t="s">
        <v>2697</v>
      </c>
      <c r="D521" s="19" t="s">
        <v>406</v>
      </c>
      <c r="E521" s="194">
        <v>0.2</v>
      </c>
      <c r="F521" s="320">
        <f>VLOOKUP(B521,'BASE DE DATOS'!$A$5:$E$997,5,FALSE)</f>
        <v>13045</v>
      </c>
      <c r="G521" s="681">
        <v>1.03</v>
      </c>
      <c r="H521" s="252">
        <f t="shared" ref="H521:H524" si="42">IF(G521&gt;0,(G521*F521*E521),(F521*E521))</f>
        <v>2687.2700000000004</v>
      </c>
      <c r="I521" s="914"/>
    </row>
    <row r="522" spans="1:9" s="324" customFormat="1" ht="14.25" x14ac:dyDescent="0.2">
      <c r="A522" s="505" t="s">
        <v>2044</v>
      </c>
      <c r="B522" s="244" t="s">
        <v>806</v>
      </c>
      <c r="C522" s="62" t="s">
        <v>2145</v>
      </c>
      <c r="D522" s="19" t="s">
        <v>285</v>
      </c>
      <c r="E522" s="194">
        <v>0.15</v>
      </c>
      <c r="F522" s="320">
        <f>CONSTRUCCION!F70</f>
        <v>475537</v>
      </c>
      <c r="G522" s="681">
        <v>1.05</v>
      </c>
      <c r="H522" s="252">
        <f t="shared" si="42"/>
        <v>74897.077499999999</v>
      </c>
      <c r="I522" s="914"/>
    </row>
    <row r="523" spans="1:9" s="324" customFormat="1" ht="12.75" x14ac:dyDescent="0.2">
      <c r="A523" s="508" t="s">
        <v>2555</v>
      </c>
      <c r="B523" s="244" t="s">
        <v>587</v>
      </c>
      <c r="C523" s="62" t="s">
        <v>588</v>
      </c>
      <c r="D523" s="19" t="s">
        <v>585</v>
      </c>
      <c r="E523" s="194">
        <v>1</v>
      </c>
      <c r="F523" s="320">
        <f>VLOOKUP(B523,'BASE DE DATOS'!$A$5:$E$997,5,FALSE)</f>
        <v>514339</v>
      </c>
      <c r="G523" s="681">
        <f>1/90</f>
        <v>1.1111111111111112E-2</v>
      </c>
      <c r="H523" s="252">
        <f t="shared" si="42"/>
        <v>5714.8777777777777</v>
      </c>
      <c r="I523" s="914"/>
    </row>
    <row r="524" spans="1:9" s="324" customFormat="1" ht="13.5" thickBot="1" x14ac:dyDescent="0.25">
      <c r="A524" s="504" t="s">
        <v>293</v>
      </c>
      <c r="B524" s="543" t="s">
        <v>269</v>
      </c>
      <c r="C524" s="169" t="s">
        <v>284</v>
      </c>
      <c r="D524" s="112" t="s">
        <v>586</v>
      </c>
      <c r="E524" s="201">
        <v>7.0000000000000007E-2</v>
      </c>
      <c r="F524" s="321">
        <f>+H523</f>
        <v>5714.8777777777777</v>
      </c>
      <c r="G524" s="686">
        <v>0</v>
      </c>
      <c r="H524" s="255">
        <f t="shared" si="42"/>
        <v>400.04144444444449</v>
      </c>
      <c r="I524" s="914"/>
    </row>
    <row r="525" spans="1:9" s="41" customFormat="1" ht="60" x14ac:dyDescent="0.2">
      <c r="A525" s="67" t="s">
        <v>1149</v>
      </c>
      <c r="B525" s="526"/>
      <c r="C525" s="325" t="s">
        <v>3253</v>
      </c>
      <c r="D525" s="326" t="s">
        <v>405</v>
      </c>
      <c r="E525" s="426"/>
      <c r="F525" s="357">
        <f>ROUND(SUM(H525:H532),0)</f>
        <v>89797</v>
      </c>
      <c r="G525" s="683"/>
      <c r="H525" s="330"/>
      <c r="I525" s="914"/>
    </row>
    <row r="526" spans="1:9" s="324" customFormat="1" ht="12.75" x14ac:dyDescent="0.2">
      <c r="A526" s="936" t="s">
        <v>382</v>
      </c>
      <c r="B526" s="244" t="s">
        <v>1872</v>
      </c>
      <c r="C526" s="62" t="s">
        <v>3246</v>
      </c>
      <c r="D526" s="19" t="s">
        <v>406</v>
      </c>
      <c r="E526" s="194">
        <v>6.3E-2</v>
      </c>
      <c r="F526" s="320">
        <f>VLOOKUP(B526,'BASE DE DATOS'!$A$5:$E$997,5,FALSE)</f>
        <v>19580</v>
      </c>
      <c r="G526" s="681">
        <v>1.03</v>
      </c>
      <c r="H526" s="252">
        <f>IF(G526&gt;0,(G526*F526*E526),(F526*E526))</f>
        <v>1270.5462</v>
      </c>
      <c r="I526" s="914"/>
    </row>
    <row r="527" spans="1:9" s="324" customFormat="1" ht="12.75" x14ac:dyDescent="0.2">
      <c r="A527" s="936"/>
      <c r="B527" s="244" t="s">
        <v>1290</v>
      </c>
      <c r="C527" s="62" t="s">
        <v>2697</v>
      </c>
      <c r="D527" s="19" t="s">
        <v>406</v>
      </c>
      <c r="E527" s="194">
        <f>4.032/20.16</f>
        <v>0.2</v>
      </c>
      <c r="F527" s="320">
        <f>VLOOKUP(B527,'BASE DE DATOS'!$A$5:$E$997,5,FALSE)</f>
        <v>13045</v>
      </c>
      <c r="G527" s="681">
        <v>1.03</v>
      </c>
      <c r="H527" s="252">
        <f t="shared" ref="H527:H532" si="43">IF(G527&gt;0,(G527*F527*E527),(F527*E527))</f>
        <v>2687.2700000000004</v>
      </c>
      <c r="I527" s="914"/>
    </row>
    <row r="528" spans="1:9" s="324" customFormat="1" ht="12.75" x14ac:dyDescent="0.2">
      <c r="A528" s="948" t="s">
        <v>3252</v>
      </c>
      <c r="B528" s="244" t="s">
        <v>796</v>
      </c>
      <c r="C528" s="62" t="s">
        <v>3254</v>
      </c>
      <c r="D528" s="19" t="s">
        <v>406</v>
      </c>
      <c r="E528" s="194">
        <f>0.05*1*0.2</f>
        <v>1.0000000000000002E-2</v>
      </c>
      <c r="F528" s="320">
        <f>CONSTRUCCION!F10</f>
        <v>374067</v>
      </c>
      <c r="G528" s="681">
        <v>1.05</v>
      </c>
      <c r="H528" s="252">
        <f>IF(G528&gt;0,(G528*F528*E528),(F528*E528))</f>
        <v>3927.703500000001</v>
      </c>
      <c r="I528" s="914"/>
    </row>
    <row r="529" spans="1:9" s="324" customFormat="1" ht="14.25" x14ac:dyDescent="0.2">
      <c r="A529" s="948"/>
      <c r="B529" s="244" t="s">
        <v>799</v>
      </c>
      <c r="C529" s="62" t="s">
        <v>3276</v>
      </c>
      <c r="D529" s="19" t="s">
        <v>285</v>
      </c>
      <c r="E529" s="194">
        <f>0.2*0.3*1</f>
        <v>0.06</v>
      </c>
      <c r="F529" s="320">
        <f>CONSTRUCCION!F34</f>
        <v>482282</v>
      </c>
      <c r="G529" s="681">
        <v>1.05</v>
      </c>
      <c r="H529" s="252">
        <f>IF(G529&gt;0,(G529*F529*E529),(F529*E529))</f>
        <v>30383.766</v>
      </c>
      <c r="I529" s="914"/>
    </row>
    <row r="530" spans="1:9" s="324" customFormat="1" ht="12.75" x14ac:dyDescent="0.2">
      <c r="A530" s="948"/>
      <c r="B530" s="244" t="s">
        <v>814</v>
      </c>
      <c r="C530" s="62" t="s">
        <v>2018</v>
      </c>
      <c r="D530" s="19" t="s">
        <v>406</v>
      </c>
      <c r="E530" s="194">
        <v>6.2140000000000004</v>
      </c>
      <c r="F530" s="320">
        <f>CONSTRUCCION!F118</f>
        <v>7440</v>
      </c>
      <c r="G530" s="681">
        <v>0</v>
      </c>
      <c r="H530" s="252">
        <f t="shared" si="43"/>
        <v>46232.160000000003</v>
      </c>
      <c r="I530" s="914"/>
    </row>
    <row r="531" spans="1:9" s="324" customFormat="1" ht="12.75" x14ac:dyDescent="0.2">
      <c r="A531" s="508" t="s">
        <v>2555</v>
      </c>
      <c r="B531" s="244" t="s">
        <v>607</v>
      </c>
      <c r="C531" s="62" t="s">
        <v>608</v>
      </c>
      <c r="D531" s="19" t="s">
        <v>585</v>
      </c>
      <c r="E531" s="194">
        <v>1</v>
      </c>
      <c r="F531" s="320">
        <f>VLOOKUP(B531,'BASE DE DATOS'!$A$5:$E$997,5,FALSE)</f>
        <v>336981</v>
      </c>
      <c r="G531" s="681">
        <f>1/70</f>
        <v>1.4285714285714285E-2</v>
      </c>
      <c r="H531" s="252">
        <f t="shared" si="43"/>
        <v>4814.0142857142855</v>
      </c>
      <c r="I531" s="914"/>
    </row>
    <row r="532" spans="1:9" s="324" customFormat="1" ht="13.5" thickBot="1" x14ac:dyDescent="0.25">
      <c r="A532" s="504" t="s">
        <v>293</v>
      </c>
      <c r="B532" s="543" t="s">
        <v>269</v>
      </c>
      <c r="C532" s="169" t="s">
        <v>284</v>
      </c>
      <c r="D532" s="112" t="s">
        <v>586</v>
      </c>
      <c r="E532" s="201">
        <v>0.1</v>
      </c>
      <c r="F532" s="321">
        <f>+H531</f>
        <v>4814.0142857142855</v>
      </c>
      <c r="G532" s="686">
        <v>0</v>
      </c>
      <c r="H532" s="255">
        <f t="shared" si="43"/>
        <v>481.4014285714286</v>
      </c>
      <c r="I532" s="914"/>
    </row>
    <row r="533" spans="1:9" s="41" customFormat="1" ht="30" x14ac:dyDescent="0.2">
      <c r="A533" s="67" t="s">
        <v>1150</v>
      </c>
      <c r="B533" s="526"/>
      <c r="C533" s="359" t="s">
        <v>2052</v>
      </c>
      <c r="D533" s="326" t="s">
        <v>3251</v>
      </c>
      <c r="E533" s="426"/>
      <c r="F533" s="357">
        <f>ROUND(SUM(H533:H540),0)</f>
        <v>90384</v>
      </c>
      <c r="G533" s="683"/>
      <c r="H533" s="330"/>
      <c r="I533" s="914"/>
    </row>
    <row r="534" spans="1:9" s="324" customFormat="1" ht="14.25" x14ac:dyDescent="0.2">
      <c r="A534" s="936" t="s">
        <v>382</v>
      </c>
      <c r="B534" s="244" t="s">
        <v>1796</v>
      </c>
      <c r="C534" s="62" t="s">
        <v>1935</v>
      </c>
      <c r="D534" s="19" t="s">
        <v>288</v>
      </c>
      <c r="E534" s="194">
        <v>1</v>
      </c>
      <c r="F534" s="320">
        <f>VLOOKUP(B534,'BASE DE DATOS'!$A$5:$E$997,5,FALSE)</f>
        <v>40000</v>
      </c>
      <c r="G534" s="681">
        <v>1.1000000000000001</v>
      </c>
      <c r="H534" s="252">
        <f>IF(G534&gt;0,(G534*F534*E534),(F534*E534))</f>
        <v>44000</v>
      </c>
      <c r="I534" s="914"/>
    </row>
    <row r="535" spans="1:9" s="324" customFormat="1" ht="12.75" x14ac:dyDescent="0.2">
      <c r="A535" s="936"/>
      <c r="B535" s="244" t="s">
        <v>1279</v>
      </c>
      <c r="C535" s="62" t="s">
        <v>349</v>
      </c>
      <c r="D535" s="19" t="s">
        <v>617</v>
      </c>
      <c r="E535" s="194">
        <v>10</v>
      </c>
      <c r="F535" s="320">
        <f>VLOOKUP(B535,'BASE DE DATOS'!$A$5:$E$997,5,FALSE)</f>
        <v>19</v>
      </c>
      <c r="G535" s="681">
        <v>0</v>
      </c>
      <c r="H535" s="252">
        <f>IF(G535&gt;0,(G535*F535*E535),(F535*E535))</f>
        <v>190</v>
      </c>
      <c r="I535" s="914"/>
    </row>
    <row r="536" spans="1:9" s="324" customFormat="1" ht="14.25" x14ac:dyDescent="0.2">
      <c r="A536" s="936"/>
      <c r="B536" s="244" t="s">
        <v>1291</v>
      </c>
      <c r="C536" s="62" t="s">
        <v>648</v>
      </c>
      <c r="D536" s="19" t="s">
        <v>285</v>
      </c>
      <c r="E536" s="194">
        <v>0.06</v>
      </c>
      <c r="F536" s="320">
        <f>VLOOKUP(B536,'BASE DE DATOS'!$A$5:$E$997,5,FALSE)</f>
        <v>71990</v>
      </c>
      <c r="G536" s="681">
        <v>1.05</v>
      </c>
      <c r="H536" s="252">
        <f t="shared" ref="H536:H597" si="44">IF(G536&gt;0,(G536*F536*E536),(F536*E536))</f>
        <v>4535.37</v>
      </c>
      <c r="I536" s="914"/>
    </row>
    <row r="537" spans="1:9" s="324" customFormat="1" ht="12.75" x14ac:dyDescent="0.2">
      <c r="A537" s="936"/>
      <c r="B537" s="241" t="s">
        <v>1319</v>
      </c>
      <c r="C537" s="26" t="s">
        <v>2569</v>
      </c>
      <c r="D537" s="2" t="s">
        <v>616</v>
      </c>
      <c r="E537" s="114">
        <v>6.4000000000000001E-2</v>
      </c>
      <c r="F537" s="320">
        <f>VLOOKUP(B537,'BASE DE DATOS'!$A$5:$E$997,5,FALSE)</f>
        <v>32900</v>
      </c>
      <c r="G537" s="699">
        <v>1.05</v>
      </c>
      <c r="H537" s="252">
        <f t="shared" si="44"/>
        <v>2210.88</v>
      </c>
      <c r="I537" s="914"/>
    </row>
    <row r="538" spans="1:9" s="324" customFormat="1" ht="12.75" x14ac:dyDescent="0.2">
      <c r="A538" s="508" t="s">
        <v>2555</v>
      </c>
      <c r="B538" s="244" t="s">
        <v>607</v>
      </c>
      <c r="C538" s="62" t="s">
        <v>608</v>
      </c>
      <c r="D538" s="19" t="s">
        <v>585</v>
      </c>
      <c r="E538" s="194">
        <v>1</v>
      </c>
      <c r="F538" s="320">
        <f>VLOOKUP(B538,'BASE DE DATOS'!$A$5:$E$997,5,FALSE)</f>
        <v>336981</v>
      </c>
      <c r="G538" s="681">
        <v>0.1</v>
      </c>
      <c r="H538" s="252">
        <f t="shared" si="44"/>
        <v>33698.1</v>
      </c>
      <c r="I538" s="914"/>
    </row>
    <row r="539" spans="1:9" s="324" customFormat="1" ht="12.75" x14ac:dyDescent="0.2">
      <c r="A539" s="944" t="s">
        <v>293</v>
      </c>
      <c r="B539" s="244" t="s">
        <v>269</v>
      </c>
      <c r="C539" s="474" t="s">
        <v>284</v>
      </c>
      <c r="D539" s="215" t="s">
        <v>586</v>
      </c>
      <c r="E539" s="194">
        <v>0.1</v>
      </c>
      <c r="F539" s="320">
        <f>+H538</f>
        <v>33698.1</v>
      </c>
      <c r="G539" s="684">
        <v>0</v>
      </c>
      <c r="H539" s="252">
        <f>IF(G539&gt;0,(G539*F539*E539),(F539*E539))</f>
        <v>3369.81</v>
      </c>
      <c r="I539" s="914"/>
    </row>
    <row r="540" spans="1:9" s="324" customFormat="1" ht="13.5" thickBot="1" x14ac:dyDescent="0.25">
      <c r="A540" s="945"/>
      <c r="B540" s="543" t="s">
        <v>621</v>
      </c>
      <c r="C540" s="75" t="s">
        <v>360</v>
      </c>
      <c r="D540" s="49" t="s">
        <v>585</v>
      </c>
      <c r="E540" s="195">
        <v>1</v>
      </c>
      <c r="F540" s="355">
        <f>VLOOKUP(B540,'BASE DE DATOS'!$A$5:$E$997,5,FALSE)</f>
        <v>71400</v>
      </c>
      <c r="G540" s="682">
        <f>1/30</f>
        <v>3.3333333333333333E-2</v>
      </c>
      <c r="H540" s="255">
        <f t="shared" si="44"/>
        <v>2380</v>
      </c>
      <c r="I540" s="914"/>
    </row>
    <row r="541" spans="1:9" s="41" customFormat="1" ht="30" x14ac:dyDescent="0.2">
      <c r="A541" s="67" t="s">
        <v>1151</v>
      </c>
      <c r="B541" s="526"/>
      <c r="C541" s="359" t="s">
        <v>2053</v>
      </c>
      <c r="D541" s="326" t="s">
        <v>3251</v>
      </c>
      <c r="E541" s="414"/>
      <c r="F541" s="357">
        <f>ROUND(SUM(H541:H548),0)</f>
        <v>106884</v>
      </c>
      <c r="G541" s="683"/>
      <c r="H541" s="330"/>
      <c r="I541" s="914"/>
    </row>
    <row r="542" spans="1:9" s="324" customFormat="1" ht="14.25" x14ac:dyDescent="0.2">
      <c r="A542" s="936" t="s">
        <v>382</v>
      </c>
      <c r="B542" s="244" t="s">
        <v>1277</v>
      </c>
      <c r="C542" s="62" t="s">
        <v>2689</v>
      </c>
      <c r="D542" s="19" t="s">
        <v>288</v>
      </c>
      <c r="E542" s="194">
        <v>1</v>
      </c>
      <c r="F542" s="320">
        <f>VLOOKUP(B542,'BASE DE DATOS'!$A$5:$E$997,5,FALSE)</f>
        <v>55000</v>
      </c>
      <c r="G542" s="681">
        <v>1.1000000000000001</v>
      </c>
      <c r="H542" s="252">
        <f>IF(G542&gt;0,(G542*F542*E542),(F542*E542))</f>
        <v>60500.000000000007</v>
      </c>
      <c r="I542" s="914"/>
    </row>
    <row r="543" spans="1:9" s="324" customFormat="1" ht="12.75" x14ac:dyDescent="0.2">
      <c r="A543" s="936"/>
      <c r="B543" s="244" t="s">
        <v>1279</v>
      </c>
      <c r="C543" s="62" t="s">
        <v>349</v>
      </c>
      <c r="D543" s="19" t="s">
        <v>617</v>
      </c>
      <c r="E543" s="194">
        <v>10</v>
      </c>
      <c r="F543" s="320">
        <f>VLOOKUP(B543,'BASE DE DATOS'!$A$5:$E$997,5,FALSE)</f>
        <v>19</v>
      </c>
      <c r="G543" s="681">
        <v>0</v>
      </c>
      <c r="H543" s="252">
        <f>IF(G543&gt;0,(G543*F543*E543),(F543*E543))</f>
        <v>190</v>
      </c>
      <c r="I543" s="914"/>
    </row>
    <row r="544" spans="1:9" s="324" customFormat="1" ht="14.25" x14ac:dyDescent="0.2">
      <c r="A544" s="936"/>
      <c r="B544" s="244" t="s">
        <v>1291</v>
      </c>
      <c r="C544" s="62" t="s">
        <v>648</v>
      </c>
      <c r="D544" s="19" t="s">
        <v>285</v>
      </c>
      <c r="E544" s="194">
        <v>0.06</v>
      </c>
      <c r="F544" s="320">
        <f>VLOOKUP(B544,'BASE DE DATOS'!$A$5:$E$997,5,FALSE)</f>
        <v>71990</v>
      </c>
      <c r="G544" s="681">
        <v>1.05</v>
      </c>
      <c r="H544" s="252">
        <f t="shared" si="44"/>
        <v>4535.37</v>
      </c>
      <c r="I544" s="914"/>
    </row>
    <row r="545" spans="1:9" s="324" customFormat="1" ht="12.75" x14ac:dyDescent="0.2">
      <c r="A545" s="936"/>
      <c r="B545" s="241" t="s">
        <v>1319</v>
      </c>
      <c r="C545" s="26" t="s">
        <v>2569</v>
      </c>
      <c r="D545" s="2" t="s">
        <v>616</v>
      </c>
      <c r="E545" s="114">
        <v>6.4000000000000001E-2</v>
      </c>
      <c r="F545" s="320">
        <f>VLOOKUP(B545,'BASE DE DATOS'!$A$5:$E$997,5,FALSE)</f>
        <v>32900</v>
      </c>
      <c r="G545" s="699">
        <v>1.05</v>
      </c>
      <c r="H545" s="252">
        <f t="shared" si="44"/>
        <v>2210.88</v>
      </c>
      <c r="I545" s="914"/>
    </row>
    <row r="546" spans="1:9" s="324" customFormat="1" ht="12.75" x14ac:dyDescent="0.2">
      <c r="A546" s="508" t="s">
        <v>2555</v>
      </c>
      <c r="B546" s="244" t="s">
        <v>607</v>
      </c>
      <c r="C546" s="62" t="s">
        <v>608</v>
      </c>
      <c r="D546" s="19" t="s">
        <v>585</v>
      </c>
      <c r="E546" s="194">
        <v>1</v>
      </c>
      <c r="F546" s="320">
        <f>VLOOKUP(B546,'BASE DE DATOS'!$A$5:$E$997,5,FALSE)</f>
        <v>336981</v>
      </c>
      <c r="G546" s="681">
        <f>1/10</f>
        <v>0.1</v>
      </c>
      <c r="H546" s="252">
        <f t="shared" si="44"/>
        <v>33698.1</v>
      </c>
      <c r="I546" s="914"/>
    </row>
    <row r="547" spans="1:9" s="324" customFormat="1" ht="12.75" x14ac:dyDescent="0.2">
      <c r="A547" s="944" t="s">
        <v>293</v>
      </c>
      <c r="B547" s="244" t="s">
        <v>269</v>
      </c>
      <c r="C547" s="474" t="s">
        <v>284</v>
      </c>
      <c r="D547" s="215" t="s">
        <v>586</v>
      </c>
      <c r="E547" s="194">
        <v>0.1</v>
      </c>
      <c r="F547" s="320">
        <f>+H546</f>
        <v>33698.1</v>
      </c>
      <c r="G547" s="684">
        <v>0</v>
      </c>
      <c r="H547" s="252">
        <f t="shared" si="44"/>
        <v>3369.81</v>
      </c>
      <c r="I547" s="914"/>
    </row>
    <row r="548" spans="1:9" s="373" customFormat="1" ht="13.5" thickBot="1" x14ac:dyDescent="0.25">
      <c r="A548" s="945"/>
      <c r="B548" s="543" t="s">
        <v>621</v>
      </c>
      <c r="C548" s="75" t="s">
        <v>360</v>
      </c>
      <c r="D548" s="49" t="s">
        <v>585</v>
      </c>
      <c r="E548" s="195">
        <v>1</v>
      </c>
      <c r="F548" s="355">
        <f>VLOOKUP(B548,'BASE DE DATOS'!$A$5:$E$997,5,FALSE)</f>
        <v>71400</v>
      </c>
      <c r="G548" s="682">
        <f>1/30</f>
        <v>3.3333333333333333E-2</v>
      </c>
      <c r="H548" s="255">
        <f>IF(G548&gt;0,(G548*F548*E548),(F548*E548))</f>
        <v>2380</v>
      </c>
      <c r="I548" s="921"/>
    </row>
    <row r="549" spans="1:9" s="41" customFormat="1" ht="17.25" x14ac:dyDescent="0.2">
      <c r="A549" s="67" t="s">
        <v>1152</v>
      </c>
      <c r="B549" s="526"/>
      <c r="C549" s="325" t="s">
        <v>72</v>
      </c>
      <c r="D549" s="326" t="s">
        <v>3251</v>
      </c>
      <c r="E549" s="414"/>
      <c r="F549" s="357">
        <f>ROUND(SUM(H549:H557),0)</f>
        <v>72496</v>
      </c>
      <c r="G549" s="683"/>
      <c r="H549" s="330"/>
      <c r="I549" s="914"/>
    </row>
    <row r="550" spans="1:9" s="324" customFormat="1" ht="12.75" x14ac:dyDescent="0.2">
      <c r="A550" s="936" t="s">
        <v>382</v>
      </c>
      <c r="B550" s="244" t="s">
        <v>1264</v>
      </c>
      <c r="C550" s="62" t="s">
        <v>641</v>
      </c>
      <c r="D550" s="19" t="s">
        <v>642</v>
      </c>
      <c r="E550" s="194">
        <v>0.05</v>
      </c>
      <c r="F550" s="320">
        <f>VLOOKUP(B550,'BASE DE DATOS'!$A$5:$E$997,5,FALSE)</f>
        <v>10959</v>
      </c>
      <c r="G550" s="681">
        <v>1.05</v>
      </c>
      <c r="H550" s="252">
        <f>IF(G550&gt;0,(G550*F550*E550),(F550*E550))</f>
        <v>575.34750000000008</v>
      </c>
      <c r="I550" s="914"/>
    </row>
    <row r="551" spans="1:9" s="324" customFormat="1" ht="12.75" x14ac:dyDescent="0.2">
      <c r="A551" s="936"/>
      <c r="B551" s="244" t="s">
        <v>1290</v>
      </c>
      <c r="C551" s="62" t="s">
        <v>2697</v>
      </c>
      <c r="D551" s="19" t="s">
        <v>406</v>
      </c>
      <c r="E551" s="194">
        <v>0.2</v>
      </c>
      <c r="F551" s="320">
        <f>VLOOKUP(B551,'BASE DE DATOS'!$A$5:$E$997,5,FALSE)</f>
        <v>13045</v>
      </c>
      <c r="G551" s="681">
        <v>1.03</v>
      </c>
      <c r="H551" s="252">
        <f>IF(G551&gt;0,(G551*F551*E551),(F551*E551))</f>
        <v>2687.2700000000004</v>
      </c>
      <c r="I551" s="914"/>
    </row>
    <row r="552" spans="1:9" s="324" customFormat="1" ht="12.75" x14ac:dyDescent="0.2">
      <c r="A552" s="936"/>
      <c r="B552" s="244" t="s">
        <v>1367</v>
      </c>
      <c r="C552" s="62" t="s">
        <v>592</v>
      </c>
      <c r="D552" s="19" t="s">
        <v>405</v>
      </c>
      <c r="E552" s="194">
        <v>0.5</v>
      </c>
      <c r="F552" s="320">
        <f>VLOOKUP(B552,'BASE DE DATOS'!$A$5:$E$997,5,FALSE)</f>
        <v>6534</v>
      </c>
      <c r="G552" s="681">
        <f>1/3</f>
        <v>0.33333333333333331</v>
      </c>
      <c r="H552" s="252">
        <f>IF(G552&gt;0,(G552*F552*E552),(F552*E552))</f>
        <v>1089</v>
      </c>
      <c r="I552" s="914"/>
    </row>
    <row r="553" spans="1:9" s="324" customFormat="1" ht="12.75" x14ac:dyDescent="0.2">
      <c r="A553" s="936"/>
      <c r="B553" s="244" t="s">
        <v>1558</v>
      </c>
      <c r="C553" s="62" t="s">
        <v>603</v>
      </c>
      <c r="D553" s="19" t="s">
        <v>590</v>
      </c>
      <c r="E553" s="194">
        <v>0.05</v>
      </c>
      <c r="F553" s="320">
        <f>VLOOKUP(B553,'BASE DE DATOS'!$A$5:$E$997,5,FALSE)</f>
        <v>5650</v>
      </c>
      <c r="G553" s="681">
        <v>0</v>
      </c>
      <c r="H553" s="252">
        <f>IF(G553&gt;0,(G553*F553*E553),(F553*E553))</f>
        <v>282.5</v>
      </c>
      <c r="I553" s="914"/>
    </row>
    <row r="554" spans="1:9" s="324" customFormat="1" ht="12.75" x14ac:dyDescent="0.2">
      <c r="A554" s="936"/>
      <c r="B554" s="244" t="s">
        <v>1711</v>
      </c>
      <c r="C554" s="62" t="s">
        <v>632</v>
      </c>
      <c r="D554" s="19" t="s">
        <v>405</v>
      </c>
      <c r="E554" s="194">
        <v>1</v>
      </c>
      <c r="F554" s="320">
        <f>VLOOKUP(B554,'BASE DE DATOS'!$A$5:$E$997,5,FALSE)</f>
        <v>10991</v>
      </c>
      <c r="G554" s="681">
        <f>1/3</f>
        <v>0.33333333333333331</v>
      </c>
      <c r="H554" s="252">
        <f t="shared" si="44"/>
        <v>3663.6666666666665</v>
      </c>
      <c r="I554" s="914"/>
    </row>
    <row r="555" spans="1:9" s="324" customFormat="1" ht="14.25" x14ac:dyDescent="0.2">
      <c r="A555" s="505" t="s">
        <v>3252</v>
      </c>
      <c r="B555" s="244" t="s">
        <v>799</v>
      </c>
      <c r="C555" s="62" t="s">
        <v>3276</v>
      </c>
      <c r="D555" s="19" t="s">
        <v>285</v>
      </c>
      <c r="E555" s="194">
        <v>7.0000000000000007E-2</v>
      </c>
      <c r="F555" s="320">
        <f>CONSTRUCCION!F34</f>
        <v>482282</v>
      </c>
      <c r="G555" s="681">
        <v>1.05</v>
      </c>
      <c r="H555" s="252">
        <f t="shared" si="44"/>
        <v>35447.727000000006</v>
      </c>
      <c r="I555" s="914"/>
    </row>
    <row r="556" spans="1:9" s="324" customFormat="1" ht="12.75" x14ac:dyDescent="0.2">
      <c r="A556" s="508" t="s">
        <v>2555</v>
      </c>
      <c r="B556" s="244" t="s">
        <v>644</v>
      </c>
      <c r="C556" s="62" t="s">
        <v>645</v>
      </c>
      <c r="D556" s="19" t="s">
        <v>585</v>
      </c>
      <c r="E556" s="194">
        <v>1</v>
      </c>
      <c r="F556" s="320">
        <f>VLOOKUP(B556,'BASE DE DATOS'!$A$5:$E$997,5,FALSE)</f>
        <v>248302</v>
      </c>
      <c r="G556" s="681">
        <f>1/9.5</f>
        <v>0.10526315789473684</v>
      </c>
      <c r="H556" s="252">
        <f t="shared" si="44"/>
        <v>26137.052631578947</v>
      </c>
      <c r="I556" s="914"/>
    </row>
    <row r="557" spans="1:9" s="324" customFormat="1" ht="13.5" thickBot="1" x14ac:dyDescent="0.25">
      <c r="A557" s="504" t="s">
        <v>293</v>
      </c>
      <c r="B557" s="543" t="s">
        <v>269</v>
      </c>
      <c r="C557" s="169" t="s">
        <v>284</v>
      </c>
      <c r="D557" s="112" t="s">
        <v>586</v>
      </c>
      <c r="E557" s="201">
        <v>0.1</v>
      </c>
      <c r="F557" s="321">
        <f>+H556</f>
        <v>26137.052631578947</v>
      </c>
      <c r="G557" s="686">
        <v>0</v>
      </c>
      <c r="H557" s="255">
        <f t="shared" si="44"/>
        <v>2613.7052631578949</v>
      </c>
      <c r="I557" s="914"/>
    </row>
    <row r="558" spans="1:9" s="41" customFormat="1" ht="30" x14ac:dyDescent="0.2">
      <c r="A558" s="67" t="s">
        <v>1153</v>
      </c>
      <c r="B558" s="526"/>
      <c r="C558" s="325" t="s">
        <v>2034</v>
      </c>
      <c r="D558" s="326" t="s">
        <v>3251</v>
      </c>
      <c r="E558" s="426"/>
      <c r="F558" s="357">
        <f>ROUND(SUM(H558:H566),0)</f>
        <v>86223</v>
      </c>
      <c r="G558" s="683"/>
      <c r="H558" s="330"/>
      <c r="I558" s="914"/>
    </row>
    <row r="559" spans="1:9" s="324" customFormat="1" ht="12.75" x14ac:dyDescent="0.2">
      <c r="A559" s="936" t="s">
        <v>382</v>
      </c>
      <c r="B559" s="244" t="s">
        <v>1264</v>
      </c>
      <c r="C559" s="62" t="s">
        <v>641</v>
      </c>
      <c r="D559" s="19" t="s">
        <v>642</v>
      </c>
      <c r="E559" s="194">
        <v>0.05</v>
      </c>
      <c r="F559" s="320">
        <f>VLOOKUP(B559,'BASE DE DATOS'!$A$5:$E$997,5,FALSE)</f>
        <v>10959</v>
      </c>
      <c r="G559" s="681">
        <v>0</v>
      </c>
      <c r="H559" s="252">
        <f>IF(G559&gt;0,(G559*F559*E559),(F559*E559))</f>
        <v>547.95000000000005</v>
      </c>
      <c r="I559" s="914"/>
    </row>
    <row r="560" spans="1:9" s="324" customFormat="1" ht="12.75" x14ac:dyDescent="0.2">
      <c r="A560" s="936"/>
      <c r="B560" s="244" t="s">
        <v>1290</v>
      </c>
      <c r="C560" s="62" t="s">
        <v>2697</v>
      </c>
      <c r="D560" s="19" t="s">
        <v>406</v>
      </c>
      <c r="E560" s="194">
        <v>0.2</v>
      </c>
      <c r="F560" s="320">
        <f>VLOOKUP(B560,'BASE DE DATOS'!$A$5:$E$997,5,FALSE)</f>
        <v>13045</v>
      </c>
      <c r="G560" s="681">
        <v>1.03</v>
      </c>
      <c r="H560" s="252">
        <f>IF(G560&gt;0,(G560*F560*E560),(F560*E560))</f>
        <v>2687.2700000000004</v>
      </c>
      <c r="I560" s="914"/>
    </row>
    <row r="561" spans="1:9" s="324" customFormat="1" ht="12.75" x14ac:dyDescent="0.2">
      <c r="A561" s="936"/>
      <c r="B561" s="244" t="s">
        <v>1367</v>
      </c>
      <c r="C561" s="62" t="s">
        <v>592</v>
      </c>
      <c r="D561" s="19" t="s">
        <v>405</v>
      </c>
      <c r="E561" s="194">
        <v>0.5</v>
      </c>
      <c r="F561" s="320">
        <f>VLOOKUP(B561,'BASE DE DATOS'!$A$5:$E$997,5,FALSE)</f>
        <v>6534</v>
      </c>
      <c r="G561" s="681">
        <f>1/3</f>
        <v>0.33333333333333331</v>
      </c>
      <c r="H561" s="252">
        <f>IF(G561&gt;0,(G561*F561*E561),(F561*E561))</f>
        <v>1089</v>
      </c>
      <c r="I561" s="914"/>
    </row>
    <row r="562" spans="1:9" s="324" customFormat="1" ht="12.75" x14ac:dyDescent="0.2">
      <c r="A562" s="936"/>
      <c r="B562" s="244" t="s">
        <v>1558</v>
      </c>
      <c r="C562" s="62" t="s">
        <v>603</v>
      </c>
      <c r="D562" s="19" t="s">
        <v>590</v>
      </c>
      <c r="E562" s="194">
        <v>0.05</v>
      </c>
      <c r="F562" s="320">
        <f>VLOOKUP(B562,'BASE DE DATOS'!$A$5:$E$997,5,FALSE)</f>
        <v>5650</v>
      </c>
      <c r="G562" s="681">
        <v>0</v>
      </c>
      <c r="H562" s="252">
        <f>IF(G562&gt;0,(G562*F562*E562),(F562*E562))</f>
        <v>282.5</v>
      </c>
      <c r="I562" s="914"/>
    </row>
    <row r="563" spans="1:9" s="324" customFormat="1" ht="12.75" x14ac:dyDescent="0.2">
      <c r="A563" s="936"/>
      <c r="B563" s="244" t="s">
        <v>1711</v>
      </c>
      <c r="C563" s="62" t="s">
        <v>632</v>
      </c>
      <c r="D563" s="19" t="s">
        <v>405</v>
      </c>
      <c r="E563" s="194">
        <v>1</v>
      </c>
      <c r="F563" s="320">
        <f>VLOOKUP(B563,'BASE DE DATOS'!$A$5:$E$997,5,FALSE)</f>
        <v>10991</v>
      </c>
      <c r="G563" s="681">
        <f>1/3</f>
        <v>0.33333333333333331</v>
      </c>
      <c r="H563" s="252">
        <f t="shared" si="44"/>
        <v>3663.6666666666665</v>
      </c>
      <c r="I563" s="914"/>
    </row>
    <row r="564" spans="1:9" s="324" customFormat="1" ht="14.25" x14ac:dyDescent="0.2">
      <c r="A564" s="505" t="s">
        <v>3252</v>
      </c>
      <c r="B564" s="244" t="s">
        <v>799</v>
      </c>
      <c r="C564" s="62" t="s">
        <v>3276</v>
      </c>
      <c r="D564" s="19" t="s">
        <v>285</v>
      </c>
      <c r="E564" s="194">
        <v>0.1</v>
      </c>
      <c r="F564" s="320">
        <f>CONSTRUCCION!F34</f>
        <v>482282</v>
      </c>
      <c r="G564" s="681">
        <v>1.05</v>
      </c>
      <c r="H564" s="252">
        <f t="shared" si="44"/>
        <v>50639.610000000008</v>
      </c>
      <c r="I564" s="914"/>
    </row>
    <row r="565" spans="1:9" s="324" customFormat="1" ht="12.75" x14ac:dyDescent="0.2">
      <c r="A565" s="508" t="s">
        <v>2555</v>
      </c>
      <c r="B565" s="244" t="s">
        <v>644</v>
      </c>
      <c r="C565" s="62" t="s">
        <v>645</v>
      </c>
      <c r="D565" s="19" t="s">
        <v>585</v>
      </c>
      <c r="E565" s="194">
        <v>1</v>
      </c>
      <c r="F565" s="320">
        <f>VLOOKUP(B565,'BASE DE DATOS'!$A$5:$E$997,5,FALSE)</f>
        <v>248302</v>
      </c>
      <c r="G565" s="681">
        <f>1/10</f>
        <v>0.1</v>
      </c>
      <c r="H565" s="252">
        <f t="shared" si="44"/>
        <v>24830.2</v>
      </c>
      <c r="I565" s="914"/>
    </row>
    <row r="566" spans="1:9" s="324" customFormat="1" ht="13.5" thickBot="1" x14ac:dyDescent="0.25">
      <c r="A566" s="504" t="s">
        <v>293</v>
      </c>
      <c r="B566" s="543" t="s">
        <v>269</v>
      </c>
      <c r="C566" s="169" t="s">
        <v>284</v>
      </c>
      <c r="D566" s="112" t="s">
        <v>586</v>
      </c>
      <c r="E566" s="201">
        <v>0.1</v>
      </c>
      <c r="F566" s="321">
        <f>+H565</f>
        <v>24830.2</v>
      </c>
      <c r="G566" s="686">
        <v>0</v>
      </c>
      <c r="H566" s="255">
        <f t="shared" si="44"/>
        <v>2483.0200000000004</v>
      </c>
      <c r="I566" s="914"/>
    </row>
    <row r="567" spans="1:9" s="41" customFormat="1" ht="30" x14ac:dyDescent="0.2">
      <c r="A567" s="67" t="s">
        <v>1154</v>
      </c>
      <c r="B567" s="526"/>
      <c r="C567" s="325" t="s">
        <v>2194</v>
      </c>
      <c r="D567" s="326" t="s">
        <v>405</v>
      </c>
      <c r="E567" s="426"/>
      <c r="F567" s="357">
        <f>ROUND(SUM(H567:H574),0)</f>
        <v>58886</v>
      </c>
      <c r="G567" s="683"/>
      <c r="H567" s="330"/>
      <c r="I567" s="914"/>
    </row>
    <row r="568" spans="1:9" s="324" customFormat="1" ht="12.75" x14ac:dyDescent="0.2">
      <c r="A568" s="936" t="s">
        <v>382</v>
      </c>
      <c r="B568" s="244" t="s">
        <v>1290</v>
      </c>
      <c r="C568" s="62" t="s">
        <v>2697</v>
      </c>
      <c r="D568" s="19" t="s">
        <v>406</v>
      </c>
      <c r="E568" s="194">
        <v>0.06</v>
      </c>
      <c r="F568" s="320">
        <f>VLOOKUP(B568,'BASE DE DATOS'!$A$5:$E$997,5,FALSE)</f>
        <v>13045</v>
      </c>
      <c r="G568" s="681">
        <v>1.03</v>
      </c>
      <c r="H568" s="252">
        <f>IF(G568&gt;0,(G568*F568*E568),(F568*E568))</f>
        <v>806.18100000000004</v>
      </c>
      <c r="I568" s="914"/>
    </row>
    <row r="569" spans="1:9" s="324" customFormat="1" ht="12.75" x14ac:dyDescent="0.2">
      <c r="A569" s="936"/>
      <c r="B569" s="244" t="s">
        <v>1558</v>
      </c>
      <c r="C569" s="62" t="s">
        <v>603</v>
      </c>
      <c r="D569" s="19" t="s">
        <v>590</v>
      </c>
      <c r="E569" s="194">
        <v>0.1</v>
      </c>
      <c r="F569" s="320">
        <f>VLOOKUP(B569,'BASE DE DATOS'!$A$5:$E$997,5,FALSE)</f>
        <v>5650</v>
      </c>
      <c r="G569" s="681">
        <v>0</v>
      </c>
      <c r="H569" s="252">
        <f>IF(G569&gt;0,(G569*F569*E569),(F569*E569))</f>
        <v>565</v>
      </c>
      <c r="I569" s="914"/>
    </row>
    <row r="570" spans="1:9" s="373" customFormat="1" ht="12.75" x14ac:dyDescent="0.2">
      <c r="A570" s="936"/>
      <c r="B570" s="244" t="s">
        <v>1711</v>
      </c>
      <c r="C570" s="62" t="s">
        <v>632</v>
      </c>
      <c r="D570" s="19" t="s">
        <v>405</v>
      </c>
      <c r="E570" s="194">
        <v>2</v>
      </c>
      <c r="F570" s="320">
        <f>VLOOKUP(B570,'BASE DE DATOS'!$A$5:$E$997,5,FALSE)</f>
        <v>10991</v>
      </c>
      <c r="G570" s="681">
        <f>1/3</f>
        <v>0.33333333333333331</v>
      </c>
      <c r="H570" s="252">
        <f t="shared" si="44"/>
        <v>7327.333333333333</v>
      </c>
      <c r="I570" s="921"/>
    </row>
    <row r="571" spans="1:9" s="324" customFormat="1" ht="14.25" x14ac:dyDescent="0.2">
      <c r="A571" s="946" t="s">
        <v>3252</v>
      </c>
      <c r="B571" s="244" t="s">
        <v>799</v>
      </c>
      <c r="C571" s="62" t="s">
        <v>3276</v>
      </c>
      <c r="D571" s="19" t="s">
        <v>285</v>
      </c>
      <c r="E571" s="194">
        <v>7.0000000000000007E-2</v>
      </c>
      <c r="F571" s="320">
        <f>CONSTRUCCION!F34</f>
        <v>482282</v>
      </c>
      <c r="G571" s="681">
        <v>1.05</v>
      </c>
      <c r="H571" s="252">
        <f>IF(G571&gt;0,(G571*F571*E571),(F571*E571))</f>
        <v>35447.727000000006</v>
      </c>
      <c r="I571" s="914"/>
    </row>
    <row r="572" spans="1:9" s="324" customFormat="1" ht="14.25" x14ac:dyDescent="0.2">
      <c r="A572" s="946"/>
      <c r="B572" s="244" t="s">
        <v>810</v>
      </c>
      <c r="C572" s="62" t="s">
        <v>2146</v>
      </c>
      <c r="D572" s="19" t="s">
        <v>285</v>
      </c>
      <c r="E572" s="194">
        <v>2E-3</v>
      </c>
      <c r="F572" s="320">
        <f>CONSTRUCCION!F90</f>
        <v>525897</v>
      </c>
      <c r="G572" s="681">
        <v>1.03</v>
      </c>
      <c r="H572" s="252">
        <f t="shared" si="44"/>
        <v>1083.3478200000002</v>
      </c>
      <c r="I572" s="914"/>
    </row>
    <row r="573" spans="1:9" s="324" customFormat="1" ht="12.75" x14ac:dyDescent="0.2">
      <c r="A573" s="508" t="s">
        <v>2555</v>
      </c>
      <c r="B573" s="244" t="s">
        <v>644</v>
      </c>
      <c r="C573" s="62" t="s">
        <v>645</v>
      </c>
      <c r="D573" s="19" t="s">
        <v>585</v>
      </c>
      <c r="E573" s="194">
        <v>1</v>
      </c>
      <c r="F573" s="320">
        <f>VLOOKUP(B573,'BASE DE DATOS'!$A$5:$E$997,5,FALSE)</f>
        <v>248302</v>
      </c>
      <c r="G573" s="681">
        <f>1/20</f>
        <v>0.05</v>
      </c>
      <c r="H573" s="252">
        <f t="shared" si="44"/>
        <v>12415.1</v>
      </c>
      <c r="I573" s="914"/>
    </row>
    <row r="574" spans="1:9" s="324" customFormat="1" ht="13.5" thickBot="1" x14ac:dyDescent="0.25">
      <c r="A574" s="504" t="s">
        <v>293</v>
      </c>
      <c r="B574" s="543" t="s">
        <v>269</v>
      </c>
      <c r="C574" s="169" t="s">
        <v>284</v>
      </c>
      <c r="D574" s="112" t="s">
        <v>586</v>
      </c>
      <c r="E574" s="201">
        <v>0.1</v>
      </c>
      <c r="F574" s="321">
        <f>+H573</f>
        <v>12415.1</v>
      </c>
      <c r="G574" s="686">
        <v>0</v>
      </c>
      <c r="H574" s="255">
        <f t="shared" si="44"/>
        <v>1241.5100000000002</v>
      </c>
      <c r="I574" s="914"/>
    </row>
    <row r="575" spans="1:9" s="41" customFormat="1" ht="30" x14ac:dyDescent="0.2">
      <c r="A575" s="67" t="s">
        <v>1155</v>
      </c>
      <c r="B575" s="526"/>
      <c r="C575" s="325" t="s">
        <v>2195</v>
      </c>
      <c r="D575" s="326" t="s">
        <v>405</v>
      </c>
      <c r="E575" s="426"/>
      <c r="F575" s="357">
        <f>ROUND(SUM(H575:H580),0)</f>
        <v>82053</v>
      </c>
      <c r="G575" s="683"/>
      <c r="H575" s="330"/>
      <c r="I575" s="914"/>
    </row>
    <row r="576" spans="1:9" s="324" customFormat="1" ht="12.75" x14ac:dyDescent="0.2">
      <c r="A576" s="502" t="s">
        <v>382</v>
      </c>
      <c r="B576" s="244" t="s">
        <v>1755</v>
      </c>
      <c r="C576" s="77" t="s">
        <v>114</v>
      </c>
      <c r="D576" s="17" t="s">
        <v>411</v>
      </c>
      <c r="E576" s="194">
        <v>1.25</v>
      </c>
      <c r="F576" s="320">
        <f>VLOOKUP(B576,'BASE DE DATOS'!$A$5:$E$997,5,FALSE)</f>
        <v>54145</v>
      </c>
      <c r="G576" s="681">
        <v>1.05</v>
      </c>
      <c r="H576" s="252">
        <f t="shared" si="44"/>
        <v>71065.3125</v>
      </c>
      <c r="I576" s="914"/>
    </row>
    <row r="577" spans="1:9" s="324" customFormat="1" ht="14.25" x14ac:dyDescent="0.2">
      <c r="A577" s="505" t="s">
        <v>3252</v>
      </c>
      <c r="B577" s="244" t="s">
        <v>811</v>
      </c>
      <c r="C577" s="77" t="s">
        <v>2147</v>
      </c>
      <c r="D577" s="19" t="s">
        <v>285</v>
      </c>
      <c r="E577" s="194">
        <v>5.0000000000000001E-3</v>
      </c>
      <c r="F577" s="320">
        <f>CONSTRUCCION!F96</f>
        <v>471394</v>
      </c>
      <c r="G577" s="681">
        <v>1.05</v>
      </c>
      <c r="H577" s="252">
        <f t="shared" si="44"/>
        <v>2474.8185000000003</v>
      </c>
      <c r="I577" s="914"/>
    </row>
    <row r="578" spans="1:9" s="324" customFormat="1" ht="12.75" x14ac:dyDescent="0.2">
      <c r="A578" s="979" t="s">
        <v>2555</v>
      </c>
      <c r="B578" s="244" t="s">
        <v>644</v>
      </c>
      <c r="C578" s="62" t="s">
        <v>645</v>
      </c>
      <c r="D578" s="19" t="s">
        <v>585</v>
      </c>
      <c r="E578" s="198">
        <v>1</v>
      </c>
      <c r="F578" s="320">
        <f>VLOOKUP(B578,'BASE DE DATOS'!$A$5:$E$997,5,FALSE)</f>
        <v>248302</v>
      </c>
      <c r="G578" s="681">
        <f>1/35</f>
        <v>2.8571428571428571E-2</v>
      </c>
      <c r="H578" s="252">
        <f>IF(G578&gt;0,(G578*F578*E578),(F578*E578))</f>
        <v>7094.3428571428567</v>
      </c>
      <c r="I578" s="914"/>
    </row>
    <row r="579" spans="1:9" s="324" customFormat="1" ht="12.75" x14ac:dyDescent="0.2">
      <c r="A579" s="979"/>
      <c r="B579" s="244" t="s">
        <v>266</v>
      </c>
      <c r="C579" s="62" t="s">
        <v>283</v>
      </c>
      <c r="D579" s="19" t="s">
        <v>586</v>
      </c>
      <c r="E579" s="198">
        <v>0.1</v>
      </c>
      <c r="F579" s="320">
        <f>+H578</f>
        <v>7094.3428571428567</v>
      </c>
      <c r="G579" s="681">
        <v>0</v>
      </c>
      <c r="H579" s="252">
        <f t="shared" si="44"/>
        <v>709.43428571428569</v>
      </c>
      <c r="I579" s="914"/>
    </row>
    <row r="580" spans="1:9" s="102" customFormat="1" ht="13.5" thickBot="1" x14ac:dyDescent="0.25">
      <c r="A580" s="504" t="s">
        <v>293</v>
      </c>
      <c r="B580" s="543" t="s">
        <v>269</v>
      </c>
      <c r="C580" s="169" t="s">
        <v>284</v>
      </c>
      <c r="D580" s="112" t="s">
        <v>586</v>
      </c>
      <c r="E580" s="206">
        <v>0.1</v>
      </c>
      <c r="F580" s="321">
        <f>+H578</f>
        <v>7094.3428571428567</v>
      </c>
      <c r="G580" s="686">
        <v>0</v>
      </c>
      <c r="H580" s="255">
        <f t="shared" si="44"/>
        <v>709.43428571428569</v>
      </c>
      <c r="I580" s="917"/>
    </row>
    <row r="581" spans="1:9" s="41" customFormat="1" ht="32.25" x14ac:dyDescent="0.2">
      <c r="A581" s="67" t="s">
        <v>1156</v>
      </c>
      <c r="B581" s="526"/>
      <c r="C581" s="325" t="s">
        <v>3255</v>
      </c>
      <c r="D581" s="326" t="s">
        <v>405</v>
      </c>
      <c r="E581" s="426"/>
      <c r="F581" s="357">
        <f>ROUND(SUM(H581:H591),0)</f>
        <v>76667</v>
      </c>
      <c r="G581" s="683"/>
      <c r="H581" s="330"/>
      <c r="I581" s="914"/>
    </row>
    <row r="582" spans="1:9" s="324" customFormat="1" ht="12.75" x14ac:dyDescent="0.2">
      <c r="A582" s="936" t="s">
        <v>382</v>
      </c>
      <c r="B582" s="244" t="s">
        <v>1264</v>
      </c>
      <c r="C582" s="62" t="s">
        <v>641</v>
      </c>
      <c r="D582" s="19" t="s">
        <v>642</v>
      </c>
      <c r="E582" s="194">
        <v>0.05</v>
      </c>
      <c r="F582" s="320">
        <f>VLOOKUP(B582,'BASE DE DATOS'!$A$5:$E$997,5,FALSE)</f>
        <v>10959</v>
      </c>
      <c r="G582" s="681">
        <v>1.05</v>
      </c>
      <c r="H582" s="252">
        <f>IF(G582&gt;0,(G582*F582*E582),(F582*E582))</f>
        <v>575.34750000000008</v>
      </c>
      <c r="I582" s="914"/>
    </row>
    <row r="583" spans="1:9" s="324" customFormat="1" ht="12.75" x14ac:dyDescent="0.2">
      <c r="A583" s="936"/>
      <c r="B583" s="244" t="s">
        <v>1290</v>
      </c>
      <c r="C583" s="62" t="s">
        <v>2697</v>
      </c>
      <c r="D583" s="19" t="s">
        <v>406</v>
      </c>
      <c r="E583" s="194">
        <v>0.1</v>
      </c>
      <c r="F583" s="320">
        <f>VLOOKUP(B583,'BASE DE DATOS'!$A$5:$E$997,5,FALSE)</f>
        <v>13045</v>
      </c>
      <c r="G583" s="681">
        <v>1.03</v>
      </c>
      <c r="H583" s="252">
        <f>IF(G583&gt;0,(G583*F583*E583),(F583*E583))</f>
        <v>1343.6350000000002</v>
      </c>
      <c r="I583" s="914"/>
    </row>
    <row r="584" spans="1:9" s="324" customFormat="1" ht="12.75" x14ac:dyDescent="0.2">
      <c r="A584" s="936"/>
      <c r="B584" s="244" t="s">
        <v>1558</v>
      </c>
      <c r="C584" s="62" t="s">
        <v>603</v>
      </c>
      <c r="D584" s="19" t="s">
        <v>590</v>
      </c>
      <c r="E584" s="194">
        <v>0.1</v>
      </c>
      <c r="F584" s="320">
        <f>VLOOKUP(B584,'BASE DE DATOS'!$A$5:$E$997,5,FALSE)</f>
        <v>5650</v>
      </c>
      <c r="G584" s="681">
        <v>0</v>
      </c>
      <c r="H584" s="252">
        <f t="shared" si="44"/>
        <v>565</v>
      </c>
      <c r="I584" s="914"/>
    </row>
    <row r="585" spans="1:9" s="324" customFormat="1" ht="12.75" x14ac:dyDescent="0.2">
      <c r="A585" s="936"/>
      <c r="B585" s="244" t="s">
        <v>1711</v>
      </c>
      <c r="C585" s="62" t="s">
        <v>632</v>
      </c>
      <c r="D585" s="19" t="s">
        <v>405</v>
      </c>
      <c r="E585" s="194">
        <v>2</v>
      </c>
      <c r="F585" s="320">
        <f>VLOOKUP(B585,'BASE DE DATOS'!$A$5:$E$997,5,FALSE)</f>
        <v>10991</v>
      </c>
      <c r="G585" s="681">
        <f>1/3</f>
        <v>0.33333333333333331</v>
      </c>
      <c r="H585" s="252">
        <f>IF(G585&gt;0,(G585*F585*E585),(F585*E585))</f>
        <v>7327.333333333333</v>
      </c>
      <c r="I585" s="914"/>
    </row>
    <row r="586" spans="1:9" s="324" customFormat="1" ht="12.75" x14ac:dyDescent="0.2">
      <c r="A586" s="936"/>
      <c r="B586" s="244" t="s">
        <v>1690</v>
      </c>
      <c r="C586" s="62" t="s">
        <v>2749</v>
      </c>
      <c r="D586" s="19" t="s">
        <v>405</v>
      </c>
      <c r="E586" s="194">
        <v>2</v>
      </c>
      <c r="F586" s="320">
        <f>VLOOKUP(B586,'BASE DE DATOS'!$A$5:$E$997,5,FALSE)</f>
        <v>1540</v>
      </c>
      <c r="G586" s="681">
        <f>1/3</f>
        <v>0.33333333333333331</v>
      </c>
      <c r="H586" s="252">
        <f t="shared" si="44"/>
        <v>1026.6666666666665</v>
      </c>
      <c r="I586" s="914"/>
    </row>
    <row r="587" spans="1:9" s="324" customFormat="1" ht="14.25" x14ac:dyDescent="0.2">
      <c r="A587" s="953" t="s">
        <v>3252</v>
      </c>
      <c r="B587" s="244" t="s">
        <v>799</v>
      </c>
      <c r="C587" s="62" t="s">
        <v>3276</v>
      </c>
      <c r="D587" s="19" t="s">
        <v>285</v>
      </c>
      <c r="E587" s="194">
        <v>0.03</v>
      </c>
      <c r="F587" s="320">
        <f>CONSTRUCCION!F34</f>
        <v>482282</v>
      </c>
      <c r="G587" s="681">
        <v>1.05</v>
      </c>
      <c r="H587" s="252">
        <f t="shared" si="44"/>
        <v>15191.883</v>
      </c>
      <c r="I587" s="914"/>
    </row>
    <row r="588" spans="1:9" s="324" customFormat="1" ht="12.75" x14ac:dyDescent="0.2">
      <c r="A588" s="953"/>
      <c r="B588" s="244" t="s">
        <v>814</v>
      </c>
      <c r="C588" s="62" t="s">
        <v>2018</v>
      </c>
      <c r="D588" s="19" t="s">
        <v>406</v>
      </c>
      <c r="E588" s="194">
        <v>1.8</v>
      </c>
      <c r="F588" s="320">
        <f>CONSTRUCCION!F118</f>
        <v>7440</v>
      </c>
      <c r="G588" s="681">
        <v>0</v>
      </c>
      <c r="H588" s="252">
        <f t="shared" si="44"/>
        <v>13392</v>
      </c>
      <c r="I588" s="914"/>
    </row>
    <row r="589" spans="1:9" s="324" customFormat="1" ht="12.75" x14ac:dyDescent="0.2">
      <c r="A589" s="979" t="s">
        <v>2555</v>
      </c>
      <c r="B589" s="244" t="s">
        <v>644</v>
      </c>
      <c r="C589" s="62" t="s">
        <v>645</v>
      </c>
      <c r="D589" s="19" t="s">
        <v>585</v>
      </c>
      <c r="E589" s="194">
        <v>1</v>
      </c>
      <c r="F589" s="320">
        <f>VLOOKUP(B589,'BASE DE DATOS'!$A$5:$E$997,5,FALSE)</f>
        <v>248302</v>
      </c>
      <c r="G589" s="681">
        <f>1/8</f>
        <v>0.125</v>
      </c>
      <c r="H589" s="252">
        <f>IF(G589&gt;0,(G589*F589*E589),(F589*E589))</f>
        <v>31037.75</v>
      </c>
      <c r="I589" s="914"/>
    </row>
    <row r="590" spans="1:9" s="324" customFormat="1" ht="13.5" thickBot="1" x14ac:dyDescent="0.25">
      <c r="A590" s="979"/>
      <c r="B590" s="244" t="s">
        <v>266</v>
      </c>
      <c r="C590" s="62" t="s">
        <v>283</v>
      </c>
      <c r="D590" s="19" t="s">
        <v>586</v>
      </c>
      <c r="E590" s="194">
        <v>0.1</v>
      </c>
      <c r="F590" s="320">
        <f>+H589</f>
        <v>31037.75</v>
      </c>
      <c r="G590" s="681">
        <v>0</v>
      </c>
      <c r="H590" s="252">
        <f t="shared" si="44"/>
        <v>3103.7750000000001</v>
      </c>
      <c r="I590" s="914"/>
    </row>
    <row r="591" spans="1:9" s="324" customFormat="1" ht="14.25" thickTop="1" thickBot="1" x14ac:dyDescent="0.25">
      <c r="A591" s="504" t="s">
        <v>293</v>
      </c>
      <c r="B591" s="555" t="s">
        <v>269</v>
      </c>
      <c r="C591" s="310" t="s">
        <v>284</v>
      </c>
      <c r="D591" s="31" t="s">
        <v>586</v>
      </c>
      <c r="E591" s="695">
        <v>0.1</v>
      </c>
      <c r="F591" s="321">
        <f>+H589</f>
        <v>31037.75</v>
      </c>
      <c r="G591" s="700">
        <v>0</v>
      </c>
      <c r="H591" s="255">
        <f t="shared" si="44"/>
        <v>3103.7750000000001</v>
      </c>
      <c r="I591" s="914"/>
    </row>
    <row r="592" spans="1:9" s="41" customFormat="1" ht="47.25" x14ac:dyDescent="0.2">
      <c r="A592" s="67" t="s">
        <v>3245</v>
      </c>
      <c r="B592" s="526"/>
      <c r="C592" s="325" t="s">
        <v>3256</v>
      </c>
      <c r="D592" s="326" t="s">
        <v>405</v>
      </c>
      <c r="E592" s="426"/>
      <c r="F592" s="357">
        <f>ROUND(SUM(H592:H602),0)</f>
        <v>103015</v>
      </c>
      <c r="G592" s="683"/>
      <c r="H592" s="330"/>
      <c r="I592" s="914"/>
    </row>
    <row r="593" spans="1:9" s="324" customFormat="1" ht="12.75" x14ac:dyDescent="0.2">
      <c r="A593" s="936" t="s">
        <v>382</v>
      </c>
      <c r="B593" s="244" t="s">
        <v>1264</v>
      </c>
      <c r="C593" s="62" t="s">
        <v>641</v>
      </c>
      <c r="D593" s="19" t="s">
        <v>642</v>
      </c>
      <c r="E593" s="194">
        <v>0.05</v>
      </c>
      <c r="F593" s="320">
        <f>VLOOKUP(B593,'BASE DE DATOS'!$A$5:$E$997,5,FALSE)</f>
        <v>10959</v>
      </c>
      <c r="G593" s="681">
        <v>0</v>
      </c>
      <c r="H593" s="252">
        <f>IF(G593&gt;0,(G593*F593*E593),(F593*E593))</f>
        <v>547.95000000000005</v>
      </c>
      <c r="I593" s="914"/>
    </row>
    <row r="594" spans="1:9" s="324" customFormat="1" ht="12.75" x14ac:dyDescent="0.2">
      <c r="A594" s="936"/>
      <c r="B594" s="244" t="s">
        <v>1290</v>
      </c>
      <c r="C594" s="62" t="s">
        <v>2697</v>
      </c>
      <c r="D594" s="19" t="s">
        <v>406</v>
      </c>
      <c r="E594" s="194">
        <v>0.1</v>
      </c>
      <c r="F594" s="320">
        <f>VLOOKUP(B594,'BASE DE DATOS'!$A$5:$E$997,5,FALSE)</f>
        <v>13045</v>
      </c>
      <c r="G594" s="681">
        <v>1.03</v>
      </c>
      <c r="H594" s="252">
        <f>IF(G594&gt;0,(G594*F594*E594),(F594*E594))</f>
        <v>1343.6350000000002</v>
      </c>
      <c r="I594" s="914"/>
    </row>
    <row r="595" spans="1:9" s="324" customFormat="1" ht="12.75" x14ac:dyDescent="0.2">
      <c r="A595" s="936"/>
      <c r="B595" s="244" t="s">
        <v>1558</v>
      </c>
      <c r="C595" s="62" t="s">
        <v>603</v>
      </c>
      <c r="D595" s="19" t="s">
        <v>590</v>
      </c>
      <c r="E595" s="194">
        <v>0.1</v>
      </c>
      <c r="F595" s="320">
        <f>VLOOKUP(B595,'BASE DE DATOS'!$A$5:$E$997,5,FALSE)</f>
        <v>5650</v>
      </c>
      <c r="G595" s="681">
        <v>0</v>
      </c>
      <c r="H595" s="252">
        <f>IF(G595&gt;0,(G595*F595*E595),(F595*E595))</f>
        <v>565</v>
      </c>
      <c r="I595" s="914"/>
    </row>
    <row r="596" spans="1:9" s="324" customFormat="1" ht="12.75" x14ac:dyDescent="0.2">
      <c r="A596" s="936"/>
      <c r="B596" s="244" t="s">
        <v>1711</v>
      </c>
      <c r="C596" s="62" t="s">
        <v>632</v>
      </c>
      <c r="D596" s="19" t="s">
        <v>405</v>
      </c>
      <c r="E596" s="194">
        <v>2</v>
      </c>
      <c r="F596" s="320">
        <f>VLOOKUP(B596,'BASE DE DATOS'!$A$5:$E$997,5,FALSE)</f>
        <v>10991</v>
      </c>
      <c r="G596" s="681">
        <f>1/3</f>
        <v>0.33333333333333331</v>
      </c>
      <c r="H596" s="252">
        <f t="shared" si="44"/>
        <v>7327.333333333333</v>
      </c>
      <c r="I596" s="914"/>
    </row>
    <row r="597" spans="1:9" s="324" customFormat="1" ht="12.75" x14ac:dyDescent="0.2">
      <c r="A597" s="936"/>
      <c r="B597" s="244" t="s">
        <v>1690</v>
      </c>
      <c r="C597" s="62" t="s">
        <v>2749</v>
      </c>
      <c r="D597" s="19" t="s">
        <v>405</v>
      </c>
      <c r="E597" s="194">
        <v>2</v>
      </c>
      <c r="F597" s="320">
        <f>VLOOKUP(B597,'BASE DE DATOS'!$A$5:$E$997,5,FALSE)</f>
        <v>1540</v>
      </c>
      <c r="G597" s="681">
        <f>1/3</f>
        <v>0.33333333333333331</v>
      </c>
      <c r="H597" s="252">
        <f t="shared" si="44"/>
        <v>1026.6666666666665</v>
      </c>
      <c r="I597" s="914"/>
    </row>
    <row r="598" spans="1:9" s="324" customFormat="1" ht="14.25" x14ac:dyDescent="0.2">
      <c r="A598" s="953" t="s">
        <v>3252</v>
      </c>
      <c r="B598" s="244" t="s">
        <v>799</v>
      </c>
      <c r="C598" s="62" t="s">
        <v>3276</v>
      </c>
      <c r="D598" s="19" t="s">
        <v>285</v>
      </c>
      <c r="E598" s="194">
        <v>7.0000000000000007E-2</v>
      </c>
      <c r="F598" s="320">
        <f>CONSTRUCCION!F34</f>
        <v>482282</v>
      </c>
      <c r="G598" s="681">
        <v>1.05</v>
      </c>
      <c r="H598" s="252">
        <f>IF(G598&gt;0,(G598*F598*E598),(F598*E598))</f>
        <v>35447.727000000006</v>
      </c>
      <c r="I598" s="914"/>
    </row>
    <row r="599" spans="1:9" s="324" customFormat="1" ht="14.25" x14ac:dyDescent="0.2">
      <c r="A599" s="953"/>
      <c r="B599" s="244" t="s">
        <v>3575</v>
      </c>
      <c r="C599" s="62" t="s">
        <v>3540</v>
      </c>
      <c r="D599" s="19" t="s">
        <v>285</v>
      </c>
      <c r="E599" s="194">
        <v>0.1</v>
      </c>
      <c r="F599" s="320">
        <f>CONSTRUCCION!F588</f>
        <v>70960</v>
      </c>
      <c r="G599" s="681">
        <v>0</v>
      </c>
      <c r="H599" s="252">
        <f t="shared" ref="H599:H602" si="45">IF(G599&gt;0,(G599*F599*E599),(F599*E599))</f>
        <v>7096</v>
      </c>
      <c r="I599" s="914"/>
    </row>
    <row r="600" spans="1:9" s="324" customFormat="1" ht="12.75" x14ac:dyDescent="0.2">
      <c r="A600" s="979" t="s">
        <v>2555</v>
      </c>
      <c r="B600" s="244" t="s">
        <v>644</v>
      </c>
      <c r="C600" s="62" t="s">
        <v>645</v>
      </c>
      <c r="D600" s="19" t="s">
        <v>585</v>
      </c>
      <c r="E600" s="194">
        <v>1</v>
      </c>
      <c r="F600" s="320">
        <f>VLOOKUP(B600,'BASE DE DATOS'!$A$5:$E$997,5,FALSE)</f>
        <v>248302</v>
      </c>
      <c r="G600" s="681">
        <f>1/6</f>
        <v>0.16666666666666666</v>
      </c>
      <c r="H600" s="252">
        <f>IF(G600&gt;0,(G600*F600*E600),(F600*E600))</f>
        <v>41383.666666666664</v>
      </c>
      <c r="I600" s="914"/>
    </row>
    <row r="601" spans="1:9" s="324" customFormat="1" ht="12.75" x14ac:dyDescent="0.2">
      <c r="A601" s="979"/>
      <c r="B601" s="244" t="s">
        <v>266</v>
      </c>
      <c r="C601" s="62" t="s">
        <v>283</v>
      </c>
      <c r="D601" s="19" t="s">
        <v>586</v>
      </c>
      <c r="E601" s="194">
        <v>0.1</v>
      </c>
      <c r="F601" s="320">
        <f>+H600</f>
        <v>41383.666666666664</v>
      </c>
      <c r="G601" s="681">
        <v>0</v>
      </c>
      <c r="H601" s="252">
        <f t="shared" si="45"/>
        <v>4138.3666666666668</v>
      </c>
      <c r="I601" s="914"/>
    </row>
    <row r="602" spans="1:9" s="324" customFormat="1" ht="13.5" thickBot="1" x14ac:dyDescent="0.25">
      <c r="A602" s="504" t="s">
        <v>293</v>
      </c>
      <c r="B602" s="543" t="s">
        <v>269</v>
      </c>
      <c r="C602" s="169" t="s">
        <v>284</v>
      </c>
      <c r="D602" s="112" t="s">
        <v>586</v>
      </c>
      <c r="E602" s="201">
        <v>0.1</v>
      </c>
      <c r="F602" s="321">
        <f>+H600</f>
        <v>41383.666666666664</v>
      </c>
      <c r="G602" s="686">
        <v>0</v>
      </c>
      <c r="H602" s="255">
        <f t="shared" si="45"/>
        <v>4138.3666666666668</v>
      </c>
      <c r="I602" s="914"/>
    </row>
    <row r="603" spans="1:9" s="41" customFormat="1" x14ac:dyDescent="0.2">
      <c r="A603" s="67" t="s">
        <v>3257</v>
      </c>
      <c r="B603" s="526"/>
      <c r="C603" s="325" t="s">
        <v>3155</v>
      </c>
      <c r="D603" s="326" t="s">
        <v>405</v>
      </c>
      <c r="E603" s="426"/>
      <c r="F603" s="328">
        <f>ROUND(SUM(H603:H608),0)</f>
        <v>67257</v>
      </c>
      <c r="G603" s="683"/>
      <c r="H603" s="330"/>
      <c r="I603" s="914">
        <v>23</v>
      </c>
    </row>
    <row r="604" spans="1:9" s="324" customFormat="1" ht="12.75" x14ac:dyDescent="0.2">
      <c r="A604" s="502" t="s">
        <v>382</v>
      </c>
      <c r="B604" s="244" t="s">
        <v>1571</v>
      </c>
      <c r="C604" s="77" t="s">
        <v>2743</v>
      </c>
      <c r="D604" s="17" t="s">
        <v>411</v>
      </c>
      <c r="E604" s="194">
        <v>1.25</v>
      </c>
      <c r="F604" s="320">
        <f>VLOOKUP(B604,'BASE DE DATOS'!$A$5:$E$997,5,FALSE)</f>
        <v>39900</v>
      </c>
      <c r="G604" s="681">
        <v>1.05</v>
      </c>
      <c r="H604" s="252">
        <f t="shared" ref="H604:H608" si="46">IF(G604&gt;0,(G604*F604*E604),(F604*E604))</f>
        <v>52368.75</v>
      </c>
      <c r="I604" s="914"/>
    </row>
    <row r="605" spans="1:9" s="324" customFormat="1" ht="14.25" x14ac:dyDescent="0.2">
      <c r="A605" s="505" t="s">
        <v>3252</v>
      </c>
      <c r="B605" s="244" t="s">
        <v>811</v>
      </c>
      <c r="C605" s="77" t="s">
        <v>2147</v>
      </c>
      <c r="D605" s="17" t="s">
        <v>285</v>
      </c>
      <c r="E605" s="194">
        <v>6.0000000000000001E-3</v>
      </c>
      <c r="F605" s="320">
        <f>CONSTRUCCION!F96</f>
        <v>471394</v>
      </c>
      <c r="G605" s="681">
        <v>1.05</v>
      </c>
      <c r="H605" s="252">
        <f t="shared" si="46"/>
        <v>2969.7822000000001</v>
      </c>
      <c r="I605" s="914"/>
    </row>
    <row r="606" spans="1:9" s="324" customFormat="1" ht="12.75" x14ac:dyDescent="0.2">
      <c r="A606" s="979" t="s">
        <v>2555</v>
      </c>
      <c r="B606" s="244" t="s">
        <v>644</v>
      </c>
      <c r="C606" s="62" t="s">
        <v>645</v>
      </c>
      <c r="D606" s="19" t="s">
        <v>585</v>
      </c>
      <c r="E606" s="198">
        <v>1</v>
      </c>
      <c r="F606" s="320">
        <f>VLOOKUP(B606,'BASE DE DATOS'!$A$5:$E$997,5,FALSE)</f>
        <v>248302</v>
      </c>
      <c r="G606" s="681">
        <f>1/25</f>
        <v>0.04</v>
      </c>
      <c r="H606" s="252">
        <f>IF(G606&gt;0,(G606*F606*E606),(F606*E606))</f>
        <v>9932.08</v>
      </c>
      <c r="I606" s="914"/>
    </row>
    <row r="607" spans="1:9" s="324" customFormat="1" ht="12.75" x14ac:dyDescent="0.2">
      <c r="A607" s="979"/>
      <c r="B607" s="244" t="s">
        <v>266</v>
      </c>
      <c r="C607" s="62" t="s">
        <v>283</v>
      </c>
      <c r="D607" s="19" t="s">
        <v>586</v>
      </c>
      <c r="E607" s="194">
        <v>0.1</v>
      </c>
      <c r="F607" s="320">
        <f>+H606</f>
        <v>9932.08</v>
      </c>
      <c r="G607" s="681">
        <v>0</v>
      </c>
      <c r="H607" s="252">
        <f t="shared" si="46"/>
        <v>993.20800000000008</v>
      </c>
      <c r="I607" s="914"/>
    </row>
    <row r="608" spans="1:9" s="324" customFormat="1" ht="13.5" thickBot="1" x14ac:dyDescent="0.25">
      <c r="A608" s="504" t="s">
        <v>293</v>
      </c>
      <c r="B608" s="244" t="s">
        <v>269</v>
      </c>
      <c r="C608" s="62" t="s">
        <v>284</v>
      </c>
      <c r="D608" s="19" t="s">
        <v>586</v>
      </c>
      <c r="E608" s="198">
        <v>0.1</v>
      </c>
      <c r="F608" s="320">
        <f>+H606</f>
        <v>9932.08</v>
      </c>
      <c r="G608" s="681">
        <v>0</v>
      </c>
      <c r="H608" s="252">
        <f t="shared" si="46"/>
        <v>993.20800000000008</v>
      </c>
      <c r="I608" s="914"/>
    </row>
    <row r="609" spans="1:9" s="41" customFormat="1" ht="15.75" thickBot="1" x14ac:dyDescent="0.25">
      <c r="A609" s="950" t="s">
        <v>2215</v>
      </c>
      <c r="B609" s="951"/>
      <c r="C609" s="951"/>
      <c r="D609" s="951"/>
      <c r="E609" s="951"/>
      <c r="F609" s="951"/>
      <c r="G609" s="951"/>
      <c r="H609" s="952"/>
      <c r="I609" s="914"/>
    </row>
    <row r="610" spans="1:9" s="41" customFormat="1" ht="45.75" thickBot="1" x14ac:dyDescent="0.25">
      <c r="A610" s="510" t="s">
        <v>2044</v>
      </c>
      <c r="B610" s="346" t="s">
        <v>265</v>
      </c>
      <c r="C610" s="74" t="s">
        <v>402</v>
      </c>
      <c r="D610" s="347" t="s">
        <v>346</v>
      </c>
      <c r="E610" s="192" t="s">
        <v>2173</v>
      </c>
      <c r="F610" s="162" t="s">
        <v>404</v>
      </c>
      <c r="G610" s="290" t="s">
        <v>281</v>
      </c>
      <c r="H610" s="73" t="s">
        <v>282</v>
      </c>
      <c r="I610" s="914"/>
    </row>
    <row r="611" spans="1:9" s="41" customFormat="1" ht="30" x14ac:dyDescent="0.2">
      <c r="A611" s="48" t="s">
        <v>1092</v>
      </c>
      <c r="B611" s="551"/>
      <c r="C611" s="363" t="s">
        <v>2043</v>
      </c>
      <c r="D611" s="326" t="s">
        <v>3225</v>
      </c>
      <c r="E611" s="459"/>
      <c r="F611" s="357">
        <f>ROUND(SUM(H611:H623),0)</f>
        <v>933592</v>
      </c>
      <c r="G611" s="687"/>
      <c r="H611" s="364"/>
      <c r="I611" s="914"/>
    </row>
    <row r="612" spans="1:9" s="324" customFormat="1" ht="12.75" x14ac:dyDescent="0.2">
      <c r="A612" s="1040" t="s">
        <v>295</v>
      </c>
      <c r="B612" s="244" t="s">
        <v>1282</v>
      </c>
      <c r="C612" s="62" t="s">
        <v>604</v>
      </c>
      <c r="D612" s="19" t="s">
        <v>406</v>
      </c>
      <c r="E612" s="194">
        <v>2</v>
      </c>
      <c r="F612" s="320">
        <f>VLOOKUP(B612,'BASE DE DATOS'!$A$5:$E$997,5,FALSE)</f>
        <v>7790</v>
      </c>
      <c r="G612" s="681">
        <v>0</v>
      </c>
      <c r="H612" s="252">
        <f>IF(G612&gt;0,(G612*F612*E612),(F612*E612))</f>
        <v>15580</v>
      </c>
      <c r="I612" s="914"/>
    </row>
    <row r="613" spans="1:9" s="324" customFormat="1" ht="12.75" x14ac:dyDescent="0.2">
      <c r="A613" s="1040"/>
      <c r="B613" s="244" t="s">
        <v>1290</v>
      </c>
      <c r="C613" s="62" t="s">
        <v>2697</v>
      </c>
      <c r="D613" s="19" t="s">
        <v>406</v>
      </c>
      <c r="E613" s="194">
        <v>1.1000000000000001</v>
      </c>
      <c r="F613" s="320">
        <f>VLOOKUP(B613,'BASE DE DATOS'!$A$5:$E$997,5,FALSE)</f>
        <v>13045</v>
      </c>
      <c r="G613" s="681">
        <v>1.03</v>
      </c>
      <c r="H613" s="252">
        <f>IF(G613&gt;0,(G613*F613*E613),(F613*E613))</f>
        <v>14779.985000000002</v>
      </c>
      <c r="I613" s="914"/>
    </row>
    <row r="614" spans="1:9" s="324" customFormat="1" ht="13.15" customHeight="1" x14ac:dyDescent="0.2">
      <c r="A614" s="1040"/>
      <c r="B614" s="244" t="s">
        <v>1367</v>
      </c>
      <c r="C614" s="62" t="s">
        <v>592</v>
      </c>
      <c r="D614" s="19" t="s">
        <v>405</v>
      </c>
      <c r="E614" s="194">
        <v>6</v>
      </c>
      <c r="F614" s="320">
        <f>VLOOKUP(B614,'BASE DE DATOS'!$A$5:$E$997,5,FALSE)</f>
        <v>6534</v>
      </c>
      <c r="G614" s="681">
        <f>1/3</f>
        <v>0.33333333333333331</v>
      </c>
      <c r="H614" s="252">
        <f t="shared" ref="H614:H622" si="47">IF(G614&gt;0,(G614*F614*E614),(F614*E614))</f>
        <v>13068</v>
      </c>
      <c r="I614" s="914"/>
    </row>
    <row r="615" spans="1:9" s="324" customFormat="1" ht="12.75" x14ac:dyDescent="0.2">
      <c r="A615" s="1040"/>
      <c r="B615" s="244" t="s">
        <v>1418</v>
      </c>
      <c r="C615" s="62" t="s">
        <v>591</v>
      </c>
      <c r="D615" s="19" t="s">
        <v>411</v>
      </c>
      <c r="E615" s="194">
        <v>2</v>
      </c>
      <c r="F615" s="320">
        <f>VLOOKUP(B615,'BASE DE DATOS'!$A$5:$E$997,5,FALSE)</f>
        <v>5250</v>
      </c>
      <c r="G615" s="681">
        <f>1/3</f>
        <v>0.33333333333333331</v>
      </c>
      <c r="H615" s="252">
        <f t="shared" si="47"/>
        <v>3500</v>
      </c>
      <c r="I615" s="914"/>
    </row>
    <row r="616" spans="1:9" s="324" customFormat="1" ht="12.75" x14ac:dyDescent="0.2">
      <c r="A616" s="1040"/>
      <c r="B616" s="244" t="s">
        <v>1558</v>
      </c>
      <c r="C616" s="62" t="s">
        <v>603</v>
      </c>
      <c r="D616" s="19" t="s">
        <v>590</v>
      </c>
      <c r="E616" s="198">
        <v>2</v>
      </c>
      <c r="F616" s="320">
        <f>VLOOKUP(B616,'BASE DE DATOS'!$A$5:$E$997,5,FALSE)</f>
        <v>5650</v>
      </c>
      <c r="G616" s="681">
        <v>0</v>
      </c>
      <c r="H616" s="252">
        <f t="shared" si="47"/>
        <v>11300</v>
      </c>
      <c r="I616" s="914"/>
    </row>
    <row r="617" spans="1:9" s="324" customFormat="1" ht="12.75" x14ac:dyDescent="0.2">
      <c r="A617" s="1040"/>
      <c r="B617" s="244" t="s">
        <v>1690</v>
      </c>
      <c r="C617" s="62" t="s">
        <v>2749</v>
      </c>
      <c r="D617" s="19" t="s">
        <v>405</v>
      </c>
      <c r="E617" s="198">
        <v>6</v>
      </c>
      <c r="F617" s="320">
        <f>VLOOKUP(B617,'BASE DE DATOS'!$A$5:$E$997,5,FALSE)</f>
        <v>1540</v>
      </c>
      <c r="G617" s="681">
        <f>1/3</f>
        <v>0.33333333333333331</v>
      </c>
      <c r="H617" s="252">
        <f t="shared" si="47"/>
        <v>3079.9999999999995</v>
      </c>
      <c r="I617" s="914"/>
    </row>
    <row r="618" spans="1:9" s="324" customFormat="1" ht="14.25" x14ac:dyDescent="0.2">
      <c r="A618" s="505" t="s">
        <v>3252</v>
      </c>
      <c r="B618" s="244" t="s">
        <v>799</v>
      </c>
      <c r="C618" s="62" t="s">
        <v>3276</v>
      </c>
      <c r="D618" s="17" t="s">
        <v>285</v>
      </c>
      <c r="E618" s="198">
        <v>1</v>
      </c>
      <c r="F618" s="320">
        <f>CONSTRUCCION!F34</f>
        <v>482282</v>
      </c>
      <c r="G618" s="681">
        <v>1.05</v>
      </c>
      <c r="H618" s="252">
        <f t="shared" si="47"/>
        <v>506396.10000000003</v>
      </c>
      <c r="I618" s="914"/>
    </row>
    <row r="619" spans="1:9" s="27" customFormat="1" ht="12.75" x14ac:dyDescent="0.2">
      <c r="A619" s="508" t="s">
        <v>2555</v>
      </c>
      <c r="B619" s="244" t="s">
        <v>618</v>
      </c>
      <c r="C619" s="62" t="s">
        <v>619</v>
      </c>
      <c r="D619" s="19" t="s">
        <v>585</v>
      </c>
      <c r="E619" s="194">
        <v>1</v>
      </c>
      <c r="F619" s="320">
        <f>VLOOKUP(B619,'BASE DE DATOS'!$A$5:$E$997,5,FALSE)</f>
        <v>780376</v>
      </c>
      <c r="G619" s="681">
        <f>1/2.7</f>
        <v>0.37037037037037035</v>
      </c>
      <c r="H619" s="252">
        <f t="shared" si="47"/>
        <v>289028.14814814815</v>
      </c>
      <c r="I619" s="915"/>
    </row>
    <row r="620" spans="1:9" s="324" customFormat="1" ht="12.75" x14ac:dyDescent="0.2">
      <c r="A620" s="944" t="s">
        <v>293</v>
      </c>
      <c r="B620" s="244" t="s">
        <v>269</v>
      </c>
      <c r="C620" s="474" t="s">
        <v>284</v>
      </c>
      <c r="D620" s="215" t="s">
        <v>586</v>
      </c>
      <c r="E620" s="194">
        <v>0.1</v>
      </c>
      <c r="F620" s="320">
        <f>+H619</f>
        <v>289028.14814814815</v>
      </c>
      <c r="G620" s="684">
        <v>0</v>
      </c>
      <c r="H620" s="252">
        <f t="shared" si="47"/>
        <v>28902.814814814818</v>
      </c>
      <c r="I620" s="914"/>
    </row>
    <row r="621" spans="1:9" s="324" customFormat="1" ht="12.75" x14ac:dyDescent="0.2">
      <c r="A621" s="944"/>
      <c r="B621" s="244" t="s">
        <v>343</v>
      </c>
      <c r="C621" s="532" t="s">
        <v>1956</v>
      </c>
      <c r="D621" s="215" t="s">
        <v>585</v>
      </c>
      <c r="E621" s="194">
        <v>25</v>
      </c>
      <c r="F621" s="320">
        <f>VLOOKUP(B621,'BASE DE DATOS'!$A$5:$E$997,5,FALSE)</f>
        <v>952</v>
      </c>
      <c r="G621" s="684">
        <v>1.5</v>
      </c>
      <c r="H621" s="252">
        <f t="shared" si="47"/>
        <v>35700</v>
      </c>
      <c r="I621" s="914"/>
    </row>
    <row r="622" spans="1:9" s="324" customFormat="1" ht="12.75" x14ac:dyDescent="0.2">
      <c r="A622" s="944"/>
      <c r="B622" s="244" t="s">
        <v>668</v>
      </c>
      <c r="C622" s="474" t="s">
        <v>669</v>
      </c>
      <c r="D622" s="215" t="s">
        <v>585</v>
      </c>
      <c r="E622" s="198">
        <v>1</v>
      </c>
      <c r="F622" s="320">
        <f>VLOOKUP(B622,'BASE DE DATOS'!$A$5:$E$997,5,FALSE)</f>
        <v>58310</v>
      </c>
      <c r="G622" s="684">
        <f>1/10</f>
        <v>0.1</v>
      </c>
      <c r="H622" s="252">
        <f t="shared" si="47"/>
        <v>5831</v>
      </c>
      <c r="I622" s="914"/>
    </row>
    <row r="623" spans="1:9" s="38" customFormat="1" ht="13.5" thickBot="1" x14ac:dyDescent="0.25">
      <c r="A623" s="132" t="s">
        <v>139</v>
      </c>
      <c r="B623" s="543" t="s">
        <v>135</v>
      </c>
      <c r="C623" s="111" t="s">
        <v>136</v>
      </c>
      <c r="D623" s="112" t="s">
        <v>411</v>
      </c>
      <c r="E623" s="199">
        <f>5/10</f>
        <v>0.5</v>
      </c>
      <c r="F623" s="90">
        <f>VLOOKUP(B623,'BASE DE DATOS'!$A$5:$E$997,5,FALSE)</f>
        <v>12852</v>
      </c>
      <c r="G623" s="154">
        <v>0</v>
      </c>
      <c r="H623" s="479">
        <f t="shared" ref="H623" si="48">IF(G623&gt;0,(G623*F623*E623),(F623*E623))</f>
        <v>6426</v>
      </c>
      <c r="I623" s="922"/>
    </row>
    <row r="624" spans="1:9" s="41" customFormat="1" ht="30" x14ac:dyDescent="0.2">
      <c r="A624" s="48" t="s">
        <v>1157</v>
      </c>
      <c r="B624" s="551"/>
      <c r="C624" s="363" t="s">
        <v>3545</v>
      </c>
      <c r="D624" s="326" t="s">
        <v>3225</v>
      </c>
      <c r="E624" s="459"/>
      <c r="F624" s="357">
        <f>ROUND(SUM(H624:H636),0)</f>
        <v>1018515</v>
      </c>
      <c r="G624" s="687"/>
      <c r="H624" s="364"/>
      <c r="I624" s="914"/>
    </row>
    <row r="625" spans="1:9" s="324" customFormat="1" ht="12.75" x14ac:dyDescent="0.2">
      <c r="A625" s="1040" t="s">
        <v>295</v>
      </c>
      <c r="B625" s="244" t="s">
        <v>1282</v>
      </c>
      <c r="C625" s="62" t="s">
        <v>604</v>
      </c>
      <c r="D625" s="19" t="s">
        <v>406</v>
      </c>
      <c r="E625" s="194">
        <v>2</v>
      </c>
      <c r="F625" s="320">
        <f>VLOOKUP(B625,'BASE DE DATOS'!$A$5:$E$997,5,FALSE)</f>
        <v>7790</v>
      </c>
      <c r="G625" s="681">
        <v>0</v>
      </c>
      <c r="H625" s="252">
        <f>IF(G625&gt;0,(G625*F625*E625),(F625*E625))</f>
        <v>15580</v>
      </c>
      <c r="I625" s="914"/>
    </row>
    <row r="626" spans="1:9" s="324" customFormat="1" ht="12.75" x14ac:dyDescent="0.2">
      <c r="A626" s="1040"/>
      <c r="B626" s="244" t="s">
        <v>1290</v>
      </c>
      <c r="C626" s="62" t="s">
        <v>2697</v>
      </c>
      <c r="D626" s="19" t="s">
        <v>406</v>
      </c>
      <c r="E626" s="194">
        <v>1.1000000000000001</v>
      </c>
      <c r="F626" s="320">
        <f>VLOOKUP(B626,'BASE DE DATOS'!$A$5:$E$997,5,FALSE)</f>
        <v>13045</v>
      </c>
      <c r="G626" s="681">
        <v>1.03</v>
      </c>
      <c r="H626" s="252">
        <f>IF(G626&gt;0,(G626*F626*E626),(F626*E626))</f>
        <v>14779.985000000002</v>
      </c>
      <c r="I626" s="914"/>
    </row>
    <row r="627" spans="1:9" s="324" customFormat="1" ht="13.15" customHeight="1" x14ac:dyDescent="0.2">
      <c r="A627" s="1040"/>
      <c r="B627" s="244" t="s">
        <v>1367</v>
      </c>
      <c r="C627" s="62" t="s">
        <v>592</v>
      </c>
      <c r="D627" s="19" t="s">
        <v>405</v>
      </c>
      <c r="E627" s="194">
        <v>6</v>
      </c>
      <c r="F627" s="320">
        <f>VLOOKUP(B627,'BASE DE DATOS'!$A$5:$E$997,5,FALSE)</f>
        <v>6534</v>
      </c>
      <c r="G627" s="681">
        <f>1/3</f>
        <v>0.33333333333333331</v>
      </c>
      <c r="H627" s="252">
        <f t="shared" ref="H627:H636" si="49">IF(G627&gt;0,(G627*F627*E627),(F627*E627))</f>
        <v>13068</v>
      </c>
      <c r="I627" s="914"/>
    </row>
    <row r="628" spans="1:9" s="324" customFormat="1" ht="12.75" x14ac:dyDescent="0.2">
      <c r="A628" s="1040"/>
      <c r="B628" s="244" t="s">
        <v>1418</v>
      </c>
      <c r="C628" s="62" t="s">
        <v>591</v>
      </c>
      <c r="D628" s="19" t="s">
        <v>411</v>
      </c>
      <c r="E628" s="194">
        <v>2</v>
      </c>
      <c r="F628" s="320">
        <f>VLOOKUP(B628,'BASE DE DATOS'!$A$5:$E$997,5,FALSE)</f>
        <v>5250</v>
      </c>
      <c r="G628" s="681">
        <f>1/3</f>
        <v>0.33333333333333331</v>
      </c>
      <c r="H628" s="252">
        <f t="shared" si="49"/>
        <v>3500</v>
      </c>
      <c r="I628" s="914"/>
    </row>
    <row r="629" spans="1:9" s="324" customFormat="1" ht="12.75" x14ac:dyDescent="0.2">
      <c r="A629" s="1040"/>
      <c r="B629" s="244" t="s">
        <v>1558</v>
      </c>
      <c r="C629" s="62" t="s">
        <v>603</v>
      </c>
      <c r="D629" s="19" t="s">
        <v>590</v>
      </c>
      <c r="E629" s="198">
        <v>2</v>
      </c>
      <c r="F629" s="320">
        <f>VLOOKUP(B629,'BASE DE DATOS'!$A$5:$E$997,5,FALSE)</f>
        <v>5650</v>
      </c>
      <c r="G629" s="681">
        <v>0</v>
      </c>
      <c r="H629" s="252">
        <f t="shared" si="49"/>
        <v>11300</v>
      </c>
      <c r="I629" s="914"/>
    </row>
    <row r="630" spans="1:9" s="324" customFormat="1" ht="12.75" x14ac:dyDescent="0.2">
      <c r="A630" s="1040"/>
      <c r="B630" s="244" t="s">
        <v>1690</v>
      </c>
      <c r="C630" s="62" t="s">
        <v>2749</v>
      </c>
      <c r="D630" s="19" t="s">
        <v>405</v>
      </c>
      <c r="E630" s="198">
        <v>6</v>
      </c>
      <c r="F630" s="320">
        <f>VLOOKUP(B630,'BASE DE DATOS'!$A$5:$E$997,5,FALSE)</f>
        <v>1540</v>
      </c>
      <c r="G630" s="681">
        <f>1/3</f>
        <v>0.33333333333333331</v>
      </c>
      <c r="H630" s="252">
        <f t="shared" si="49"/>
        <v>3079.9999999999995</v>
      </c>
      <c r="I630" s="914"/>
    </row>
    <row r="631" spans="1:9" s="324" customFormat="1" ht="14.25" x14ac:dyDescent="0.2">
      <c r="A631" s="517" t="s">
        <v>3252</v>
      </c>
      <c r="B631" s="244" t="s">
        <v>801</v>
      </c>
      <c r="C631" s="62" t="s">
        <v>3544</v>
      </c>
      <c r="D631" s="17" t="s">
        <v>285</v>
      </c>
      <c r="E631" s="198">
        <v>1</v>
      </c>
      <c r="F631" s="320">
        <f>CONSTRUCCION!F50</f>
        <v>563161</v>
      </c>
      <c r="G631" s="681">
        <v>1.05</v>
      </c>
      <c r="H631" s="252">
        <f t="shared" si="49"/>
        <v>591319.05000000005</v>
      </c>
      <c r="I631" s="914"/>
    </row>
    <row r="632" spans="1:9" s="27" customFormat="1" ht="12.75" x14ac:dyDescent="0.2">
      <c r="A632" s="521" t="s">
        <v>2555</v>
      </c>
      <c r="B632" s="244" t="s">
        <v>618</v>
      </c>
      <c r="C632" s="62" t="s">
        <v>619</v>
      </c>
      <c r="D632" s="19" t="s">
        <v>585</v>
      </c>
      <c r="E632" s="194">
        <v>1</v>
      </c>
      <c r="F632" s="320">
        <f>VLOOKUP(B632,'BASE DE DATOS'!$A$5:$E$997,5,FALSE)</f>
        <v>780376</v>
      </c>
      <c r="G632" s="681">
        <f>1/2.7</f>
        <v>0.37037037037037035</v>
      </c>
      <c r="H632" s="252">
        <f t="shared" si="49"/>
        <v>289028.14814814815</v>
      </c>
      <c r="I632" s="915"/>
    </row>
    <row r="633" spans="1:9" s="324" customFormat="1" ht="12.75" x14ac:dyDescent="0.2">
      <c r="A633" s="944" t="s">
        <v>293</v>
      </c>
      <c r="B633" s="244" t="s">
        <v>269</v>
      </c>
      <c r="C633" s="474" t="s">
        <v>284</v>
      </c>
      <c r="D633" s="215" t="s">
        <v>586</v>
      </c>
      <c r="E633" s="194">
        <v>0.1</v>
      </c>
      <c r="F633" s="320">
        <f>+H632</f>
        <v>289028.14814814815</v>
      </c>
      <c r="G633" s="684">
        <v>0</v>
      </c>
      <c r="H633" s="252">
        <f t="shared" si="49"/>
        <v>28902.814814814818</v>
      </c>
      <c r="I633" s="914"/>
    </row>
    <row r="634" spans="1:9" s="324" customFormat="1" ht="12.75" x14ac:dyDescent="0.2">
      <c r="A634" s="944"/>
      <c r="B634" s="244" t="s">
        <v>343</v>
      </c>
      <c r="C634" s="532" t="s">
        <v>1956</v>
      </c>
      <c r="D634" s="215" t="s">
        <v>585</v>
      </c>
      <c r="E634" s="194">
        <v>25</v>
      </c>
      <c r="F634" s="320">
        <f>VLOOKUP(B634,'BASE DE DATOS'!$A$5:$E$997,5,FALSE)</f>
        <v>952</v>
      </c>
      <c r="G634" s="684">
        <v>1.5</v>
      </c>
      <c r="H634" s="252">
        <f t="shared" si="49"/>
        <v>35700</v>
      </c>
      <c r="I634" s="914"/>
    </row>
    <row r="635" spans="1:9" s="324" customFormat="1" ht="12.75" x14ac:dyDescent="0.2">
      <c r="A635" s="944"/>
      <c r="B635" s="244" t="s">
        <v>668</v>
      </c>
      <c r="C635" s="474" t="s">
        <v>669</v>
      </c>
      <c r="D635" s="215" t="s">
        <v>585</v>
      </c>
      <c r="E635" s="198">
        <v>1</v>
      </c>
      <c r="F635" s="320">
        <f>VLOOKUP(B635,'BASE DE DATOS'!$A$5:$E$997,5,FALSE)</f>
        <v>58310</v>
      </c>
      <c r="G635" s="684">
        <f>1/10</f>
        <v>0.1</v>
      </c>
      <c r="H635" s="252">
        <f t="shared" si="49"/>
        <v>5831</v>
      </c>
      <c r="I635" s="914"/>
    </row>
    <row r="636" spans="1:9" s="38" customFormat="1" ht="13.5" thickBot="1" x14ac:dyDescent="0.25">
      <c r="A636" s="132" t="s">
        <v>139</v>
      </c>
      <c r="B636" s="543" t="s">
        <v>135</v>
      </c>
      <c r="C636" s="111" t="s">
        <v>136</v>
      </c>
      <c r="D636" s="112" t="s">
        <v>411</v>
      </c>
      <c r="E636" s="199">
        <f>5/10</f>
        <v>0.5</v>
      </c>
      <c r="F636" s="90">
        <f>VLOOKUP(B636,'BASE DE DATOS'!$A$5:$E$997,5,FALSE)</f>
        <v>12852</v>
      </c>
      <c r="G636" s="154">
        <v>0</v>
      </c>
      <c r="H636" s="479">
        <f t="shared" si="49"/>
        <v>6426</v>
      </c>
      <c r="I636" s="922"/>
    </row>
    <row r="637" spans="1:9" s="41" customFormat="1" ht="30" x14ac:dyDescent="0.2">
      <c r="A637" s="67" t="s">
        <v>1158</v>
      </c>
      <c r="B637" s="526"/>
      <c r="C637" s="363" t="s">
        <v>109</v>
      </c>
      <c r="D637" s="326" t="s">
        <v>3225</v>
      </c>
      <c r="E637" s="414"/>
      <c r="F637" s="357">
        <f>ROUND(SUM(H637:H641),0)</f>
        <v>542944</v>
      </c>
      <c r="G637" s="683"/>
      <c r="H637" s="330"/>
      <c r="I637" s="914"/>
    </row>
    <row r="638" spans="1:9" s="324" customFormat="1" ht="12.75" x14ac:dyDescent="0.2">
      <c r="A638" s="502" t="s">
        <v>382</v>
      </c>
      <c r="B638" s="244" t="s">
        <v>1396</v>
      </c>
      <c r="C638" s="182" t="s">
        <v>39</v>
      </c>
      <c r="D638" s="138" t="s">
        <v>406</v>
      </c>
      <c r="E638" s="194">
        <v>3.5</v>
      </c>
      <c r="F638" s="320">
        <f>VLOOKUP(B638,'BASE DE DATOS'!$A$5:$E$997,5,FALSE)</f>
        <v>20276</v>
      </c>
      <c r="G638" s="681">
        <v>1.03</v>
      </c>
      <c r="H638" s="252">
        <f>IF(G638&gt;0,(G638*F638*E638),(F638*E638))</f>
        <v>73094.98</v>
      </c>
      <c r="I638" s="914"/>
    </row>
    <row r="639" spans="1:9" s="324" customFormat="1" ht="14.25" x14ac:dyDescent="0.2">
      <c r="A639" s="505" t="s">
        <v>3252</v>
      </c>
      <c r="B639" s="244" t="s">
        <v>797</v>
      </c>
      <c r="C639" s="62" t="s">
        <v>3275</v>
      </c>
      <c r="D639" s="19" t="s">
        <v>285</v>
      </c>
      <c r="E639" s="194">
        <v>1</v>
      </c>
      <c r="F639" s="320">
        <f>CONSTRUCCION!F18</f>
        <v>421463</v>
      </c>
      <c r="G639" s="681">
        <v>1.05</v>
      </c>
      <c r="H639" s="252">
        <f>IF(G639&gt;0,(G639*F639*E639),(F639*E639))</f>
        <v>442536.15</v>
      </c>
      <c r="I639" s="914"/>
    </row>
    <row r="640" spans="1:9" s="324" customFormat="1" ht="12.75" x14ac:dyDescent="0.2">
      <c r="A640" s="508" t="s">
        <v>2555</v>
      </c>
      <c r="B640" s="244" t="s">
        <v>644</v>
      </c>
      <c r="C640" s="62" t="s">
        <v>645</v>
      </c>
      <c r="D640" s="19" t="s">
        <v>585</v>
      </c>
      <c r="E640" s="198">
        <v>1</v>
      </c>
      <c r="F640" s="320">
        <f>VLOOKUP(B640,'BASE DE DATOS'!$A$5:$E$997,5,FALSE)</f>
        <v>248302</v>
      </c>
      <c r="G640" s="681">
        <f>1/10</f>
        <v>0.1</v>
      </c>
      <c r="H640" s="252">
        <f>IF(G640&gt;0,(G640*F640*E640),(F640*E640))</f>
        <v>24830.2</v>
      </c>
      <c r="I640" s="914"/>
    </row>
    <row r="641" spans="1:9" s="324" customFormat="1" ht="13.5" thickBot="1" x14ac:dyDescent="0.25">
      <c r="A641" s="504" t="s">
        <v>293</v>
      </c>
      <c r="B641" s="543" t="s">
        <v>269</v>
      </c>
      <c r="C641" s="169" t="s">
        <v>284</v>
      </c>
      <c r="D641" s="112" t="s">
        <v>586</v>
      </c>
      <c r="E641" s="206">
        <v>0.1</v>
      </c>
      <c r="F641" s="321">
        <f>+H640</f>
        <v>24830.2</v>
      </c>
      <c r="G641" s="686">
        <v>0</v>
      </c>
      <c r="H641" s="255">
        <f>IF(G641&gt;0,(G641*F641*E641),(F641*E641))</f>
        <v>2483.0200000000004</v>
      </c>
      <c r="I641" s="914"/>
    </row>
    <row r="642" spans="1:9" s="41" customFormat="1" ht="17.25" x14ac:dyDescent="0.2">
      <c r="A642" s="67" t="s">
        <v>1159</v>
      </c>
      <c r="B642" s="526"/>
      <c r="C642" s="325" t="s">
        <v>3552</v>
      </c>
      <c r="D642" s="326" t="s">
        <v>3225</v>
      </c>
      <c r="E642" s="400"/>
      <c r="F642" s="357">
        <f>ROUND(SUM(H642:H646),0)</f>
        <v>492091</v>
      </c>
      <c r="G642" s="683"/>
      <c r="H642" s="330"/>
      <c r="I642" s="914"/>
    </row>
    <row r="643" spans="1:9" s="324" customFormat="1" ht="14.25" x14ac:dyDescent="0.2">
      <c r="A643" s="505" t="s">
        <v>3252</v>
      </c>
      <c r="B643" s="244" t="s">
        <v>796</v>
      </c>
      <c r="C643" s="62" t="s">
        <v>3254</v>
      </c>
      <c r="D643" s="19" t="s">
        <v>285</v>
      </c>
      <c r="E643" s="194">
        <v>1</v>
      </c>
      <c r="F643" s="320">
        <f>CONSTRUCCION!F10</f>
        <v>374067</v>
      </c>
      <c r="G643" s="681">
        <v>1.05</v>
      </c>
      <c r="H643" s="252">
        <f>IF(G643&gt;0,(G643*F643*E643),(F643*E643))</f>
        <v>392770.35000000003</v>
      </c>
      <c r="I643" s="914"/>
    </row>
    <row r="644" spans="1:9" s="324" customFormat="1" ht="12.75" x14ac:dyDescent="0.2">
      <c r="A644" s="947" t="s">
        <v>2555</v>
      </c>
      <c r="B644" s="244" t="s">
        <v>644</v>
      </c>
      <c r="C644" s="62" t="s">
        <v>645</v>
      </c>
      <c r="D644" s="19" t="s">
        <v>585</v>
      </c>
      <c r="E644" s="194">
        <v>1</v>
      </c>
      <c r="F644" s="320">
        <f>VLOOKUP(B644,'BASE DE DATOS'!$A$5:$E$997,5,FALSE)</f>
        <v>248302</v>
      </c>
      <c r="G644" s="681">
        <f>1/3</f>
        <v>0.33333333333333331</v>
      </c>
      <c r="H644" s="252">
        <f>IF(G644&gt;0,(G644*F644*E644),(F644*E644))</f>
        <v>82767.333333333328</v>
      </c>
      <c r="I644" s="914"/>
    </row>
    <row r="645" spans="1:9" s="324" customFormat="1" ht="12.75" x14ac:dyDescent="0.2">
      <c r="A645" s="947"/>
      <c r="B645" s="244" t="s">
        <v>266</v>
      </c>
      <c r="C645" s="62" t="s">
        <v>283</v>
      </c>
      <c r="D645" s="19" t="s">
        <v>586</v>
      </c>
      <c r="E645" s="194">
        <v>0.1</v>
      </c>
      <c r="F645" s="320">
        <f>+H644</f>
        <v>82767.333333333328</v>
      </c>
      <c r="G645" s="681">
        <v>0</v>
      </c>
      <c r="H645" s="252">
        <f>IF(G645&gt;0,(G645*F645*E645),(F645*E645))</f>
        <v>8276.7333333333336</v>
      </c>
      <c r="I645" s="914"/>
    </row>
    <row r="646" spans="1:9" s="102" customFormat="1" ht="13.5" thickBot="1" x14ac:dyDescent="0.25">
      <c r="A646" s="504" t="s">
        <v>293</v>
      </c>
      <c r="B646" s="543" t="s">
        <v>269</v>
      </c>
      <c r="C646" s="169" t="s">
        <v>284</v>
      </c>
      <c r="D646" s="112" t="s">
        <v>586</v>
      </c>
      <c r="E646" s="201">
        <v>0.1</v>
      </c>
      <c r="F646" s="321">
        <f>+H644</f>
        <v>82767.333333333328</v>
      </c>
      <c r="G646" s="686">
        <v>0</v>
      </c>
      <c r="H646" s="255">
        <f>IF(G646&gt;0,(G646*F646*E646),(F646*E646))</f>
        <v>8276.7333333333336</v>
      </c>
      <c r="I646" s="917"/>
    </row>
    <row r="647" spans="1:9" s="41" customFormat="1" ht="45" x14ac:dyDescent="0.2">
      <c r="A647" s="67" t="s">
        <v>1160</v>
      </c>
      <c r="B647" s="526"/>
      <c r="C647" s="325" t="s">
        <v>2196</v>
      </c>
      <c r="D647" s="326" t="s">
        <v>3225</v>
      </c>
      <c r="E647" s="414"/>
      <c r="F647" s="357">
        <f>ROUND(SUM(H647:H654),0)</f>
        <v>208452</v>
      </c>
      <c r="G647" s="683"/>
      <c r="H647" s="330"/>
      <c r="I647" s="914"/>
    </row>
    <row r="648" spans="1:9" s="324" customFormat="1" ht="12.75" x14ac:dyDescent="0.2">
      <c r="A648" s="1039" t="s">
        <v>382</v>
      </c>
      <c r="B648" s="244" t="s">
        <v>1281</v>
      </c>
      <c r="C648" s="62" t="s">
        <v>633</v>
      </c>
      <c r="D648" s="19" t="s">
        <v>406</v>
      </c>
      <c r="E648" s="194">
        <v>1.1499999999999999</v>
      </c>
      <c r="F648" s="320">
        <f>VLOOKUP(B648,'BASE DE DATOS'!$A$5:$E$997,5,FALSE)</f>
        <v>11400</v>
      </c>
      <c r="G648" s="681">
        <v>0</v>
      </c>
      <c r="H648" s="252">
        <f>IF(G648&gt;0,(G648*F648*E648),(F648*E648))</f>
        <v>13109.999999999998</v>
      </c>
      <c r="I648" s="914"/>
    </row>
    <row r="649" spans="1:9" s="324" customFormat="1" ht="12.75" x14ac:dyDescent="0.2">
      <c r="A649" s="1039"/>
      <c r="B649" s="244" t="s">
        <v>1367</v>
      </c>
      <c r="C649" s="62" t="s">
        <v>592</v>
      </c>
      <c r="D649" s="19" t="s">
        <v>405</v>
      </c>
      <c r="E649" s="194">
        <v>3</v>
      </c>
      <c r="F649" s="320">
        <f>VLOOKUP(B649,'BASE DE DATOS'!$A$5:$E$997,5,FALSE)</f>
        <v>6534</v>
      </c>
      <c r="G649" s="681">
        <f>1/3</f>
        <v>0.33333333333333331</v>
      </c>
      <c r="H649" s="252">
        <f>IF(G649&gt;0,(G649*F649*E649),(F649*E649))</f>
        <v>6534</v>
      </c>
      <c r="I649" s="914"/>
    </row>
    <row r="650" spans="1:9" s="27" customFormat="1" ht="12.75" x14ac:dyDescent="0.2">
      <c r="A650" s="1039"/>
      <c r="B650" s="244" t="s">
        <v>1477</v>
      </c>
      <c r="C650" s="182" t="s">
        <v>3856</v>
      </c>
      <c r="D650" s="138" t="s">
        <v>411</v>
      </c>
      <c r="E650" s="194">
        <v>0.5</v>
      </c>
      <c r="F650" s="320">
        <f>VLOOKUP(B650,'BASE DE DATOS'!$A$5:$E$997,5,FALSE)</f>
        <v>72483</v>
      </c>
      <c r="G650" s="681">
        <v>0</v>
      </c>
      <c r="H650" s="252">
        <f>IF(G650&gt;0,(G650*F650*E650),(F650*E650))</f>
        <v>36241.5</v>
      </c>
      <c r="I650" s="915"/>
    </row>
    <row r="651" spans="1:9" s="324" customFormat="1" ht="14.25" x14ac:dyDescent="0.2">
      <c r="A651" s="1039"/>
      <c r="B651" s="244" t="s">
        <v>1521</v>
      </c>
      <c r="C651" s="62" t="s">
        <v>1963</v>
      </c>
      <c r="D651" s="19" t="s">
        <v>285</v>
      </c>
      <c r="E651" s="194">
        <v>1</v>
      </c>
      <c r="F651" s="320">
        <f>VLOOKUP(B651,'BASE DE DATOS'!$A$5:$E$997,5,FALSE)</f>
        <v>77345</v>
      </c>
      <c r="G651" s="681">
        <v>1.03</v>
      </c>
      <c r="H651" s="252">
        <f t="shared" ref="H651:H654" si="50">IF(G651&gt;0,(G651*F651*E651),(F651*E651))</f>
        <v>79665.350000000006</v>
      </c>
      <c r="I651" s="914"/>
    </row>
    <row r="652" spans="1:9" s="324" customFormat="1" ht="12.75" x14ac:dyDescent="0.2">
      <c r="A652" s="1039"/>
      <c r="B652" s="244" t="s">
        <v>1711</v>
      </c>
      <c r="C652" s="62" t="s">
        <v>632</v>
      </c>
      <c r="D652" s="19" t="s">
        <v>405</v>
      </c>
      <c r="E652" s="194">
        <v>6</v>
      </c>
      <c r="F652" s="320">
        <f>VLOOKUP(B652,'BASE DE DATOS'!$A$5:$E$997,5,FALSE)</f>
        <v>10991</v>
      </c>
      <c r="G652" s="681">
        <f>1/3</f>
        <v>0.33333333333333331</v>
      </c>
      <c r="H652" s="252">
        <f t="shared" si="50"/>
        <v>21982</v>
      </c>
      <c r="I652" s="914"/>
    </row>
    <row r="653" spans="1:9" s="324" customFormat="1" ht="12.75" x14ac:dyDescent="0.2">
      <c r="A653" s="590" t="s">
        <v>2555</v>
      </c>
      <c r="B653" s="244" t="s">
        <v>587</v>
      </c>
      <c r="C653" s="62" t="s">
        <v>588</v>
      </c>
      <c r="D653" s="19" t="s">
        <v>585</v>
      </c>
      <c r="E653" s="194">
        <v>1</v>
      </c>
      <c r="F653" s="320">
        <f>VLOOKUP(B653,'BASE DE DATOS'!$A$5:$E$997,5,FALSE)</f>
        <v>514339</v>
      </c>
      <c r="G653" s="681">
        <v>0.09</v>
      </c>
      <c r="H653" s="252">
        <f t="shared" si="50"/>
        <v>46290.509999999995</v>
      </c>
      <c r="I653" s="914"/>
    </row>
    <row r="654" spans="1:9" s="324" customFormat="1" ht="13.5" thickBot="1" x14ac:dyDescent="0.25">
      <c r="A654" s="592" t="s">
        <v>293</v>
      </c>
      <c r="B654" s="543" t="s">
        <v>269</v>
      </c>
      <c r="C654" s="169" t="s">
        <v>284</v>
      </c>
      <c r="D654" s="112" t="s">
        <v>586</v>
      </c>
      <c r="E654" s="201">
        <v>0.1</v>
      </c>
      <c r="F654" s="321">
        <f>+H653</f>
        <v>46290.509999999995</v>
      </c>
      <c r="G654" s="686">
        <v>0</v>
      </c>
      <c r="H654" s="255">
        <f t="shared" si="50"/>
        <v>4629.0509999999995</v>
      </c>
      <c r="I654" s="914"/>
    </row>
    <row r="655" spans="1:9" s="41" customFormat="1" ht="30" x14ac:dyDescent="0.2">
      <c r="A655" s="67" t="s">
        <v>1161</v>
      </c>
      <c r="B655" s="526"/>
      <c r="C655" s="325" t="s">
        <v>2155</v>
      </c>
      <c r="D655" s="326" t="s">
        <v>3225</v>
      </c>
      <c r="E655" s="414"/>
      <c r="F655" s="357">
        <f>ROUND(SUM(H655:H660),0)</f>
        <v>156293</v>
      </c>
      <c r="G655" s="683"/>
      <c r="H655" s="330"/>
      <c r="I655" s="914"/>
    </row>
    <row r="656" spans="1:9" s="324" customFormat="1" ht="14.25" x14ac:dyDescent="0.2">
      <c r="A656" s="936" t="s">
        <v>382</v>
      </c>
      <c r="B656" s="244" t="s">
        <v>1410</v>
      </c>
      <c r="C656" s="62" t="s">
        <v>634</v>
      </c>
      <c r="D656" s="19" t="s">
        <v>288</v>
      </c>
      <c r="E656" s="194">
        <v>7</v>
      </c>
      <c r="F656" s="320">
        <f>VLOOKUP(B656,'BASE DE DATOS'!$A$5:$E$997,5,FALSE)</f>
        <v>2971</v>
      </c>
      <c r="G656" s="681">
        <v>1.05</v>
      </c>
      <c r="H656" s="252">
        <f>IF(G656&gt;0,(G656*F656*E656),(F656*E656))</f>
        <v>21836.850000000002</v>
      </c>
      <c r="I656" s="914"/>
    </row>
    <row r="657" spans="1:9" s="27" customFormat="1" ht="14.25" x14ac:dyDescent="0.2">
      <c r="A657" s="936"/>
      <c r="B657" s="244" t="s">
        <v>1521</v>
      </c>
      <c r="C657" s="62" t="s">
        <v>1963</v>
      </c>
      <c r="D657" s="19" t="s">
        <v>285</v>
      </c>
      <c r="E657" s="194">
        <v>1</v>
      </c>
      <c r="F657" s="320">
        <f>VLOOKUP(B657,'BASE DE DATOS'!$A$5:$E$997,5,FALSE)</f>
        <v>77345</v>
      </c>
      <c r="G657" s="681">
        <v>1.1000000000000001</v>
      </c>
      <c r="H657" s="252">
        <f>IF(G657&gt;0,(G657*F657*E657),(F657*E657))</f>
        <v>85079.5</v>
      </c>
      <c r="I657" s="915"/>
    </row>
    <row r="658" spans="1:9" s="324" customFormat="1" ht="12.75" x14ac:dyDescent="0.2">
      <c r="A658" s="947" t="s">
        <v>2555</v>
      </c>
      <c r="B658" s="244" t="s">
        <v>587</v>
      </c>
      <c r="C658" s="62" t="s">
        <v>588</v>
      </c>
      <c r="D658" s="19" t="s">
        <v>585</v>
      </c>
      <c r="E658" s="194">
        <v>1</v>
      </c>
      <c r="F658" s="320">
        <f>VLOOKUP(B658,'BASE DE DATOS'!$A$5:$E$997,5,FALSE)</f>
        <v>514339</v>
      </c>
      <c r="G658" s="681">
        <f>1/15*1.2</f>
        <v>0.08</v>
      </c>
      <c r="H658" s="252">
        <f>IF(G658&gt;0,(G658*F658*E658),(F658*E658))</f>
        <v>41147.120000000003</v>
      </c>
      <c r="I658" s="914"/>
    </row>
    <row r="659" spans="1:9" s="324" customFormat="1" ht="12.75" x14ac:dyDescent="0.2">
      <c r="A659" s="947"/>
      <c r="B659" s="244" t="s">
        <v>266</v>
      </c>
      <c r="C659" s="62" t="s">
        <v>283</v>
      </c>
      <c r="D659" s="19" t="s">
        <v>586</v>
      </c>
      <c r="E659" s="194">
        <v>0.1</v>
      </c>
      <c r="F659" s="320">
        <f>+H658</f>
        <v>41147.120000000003</v>
      </c>
      <c r="G659" s="681">
        <v>0</v>
      </c>
      <c r="H659" s="252">
        <f>IF(G659&gt;0,(G659*F659*E659),(F659*E659))</f>
        <v>4114.7120000000004</v>
      </c>
      <c r="I659" s="914"/>
    </row>
    <row r="660" spans="1:9" s="324" customFormat="1" ht="13.5" thickBot="1" x14ac:dyDescent="0.25">
      <c r="A660" s="504" t="s">
        <v>293</v>
      </c>
      <c r="B660" s="543" t="s">
        <v>269</v>
      </c>
      <c r="C660" s="169" t="s">
        <v>284</v>
      </c>
      <c r="D660" s="112" t="s">
        <v>586</v>
      </c>
      <c r="E660" s="201">
        <v>0.1</v>
      </c>
      <c r="F660" s="321">
        <f>+H658</f>
        <v>41147.120000000003</v>
      </c>
      <c r="G660" s="686">
        <v>0</v>
      </c>
      <c r="H660" s="255">
        <f>IF(G660&gt;0,(G660*F660*E660),(F660*E660))</f>
        <v>4114.7120000000004</v>
      </c>
      <c r="I660" s="914"/>
    </row>
    <row r="661" spans="1:9" s="41" customFormat="1" ht="30" x14ac:dyDescent="0.2">
      <c r="A661" s="67" t="s">
        <v>1162</v>
      </c>
      <c r="B661" s="526"/>
      <c r="C661" s="325" t="s">
        <v>2156</v>
      </c>
      <c r="D661" s="326" t="s">
        <v>3225</v>
      </c>
      <c r="E661" s="414"/>
      <c r="F661" s="357">
        <f>ROUND(SUM(H661:H667),0)</f>
        <v>189574</v>
      </c>
      <c r="G661" s="683"/>
      <c r="H661" s="330"/>
      <c r="I661" s="914"/>
    </row>
    <row r="662" spans="1:9" s="324" customFormat="1" ht="14.25" x14ac:dyDescent="0.2">
      <c r="A662" s="936" t="s">
        <v>382</v>
      </c>
      <c r="B662" s="244" t="s">
        <v>1410</v>
      </c>
      <c r="C662" s="62" t="s">
        <v>634</v>
      </c>
      <c r="D662" s="19" t="s">
        <v>288</v>
      </c>
      <c r="E662" s="194">
        <v>7</v>
      </c>
      <c r="F662" s="320">
        <f>VLOOKUP(B662,'BASE DE DATOS'!$A$5:$E$997,5,FALSE)</f>
        <v>2971</v>
      </c>
      <c r="G662" s="681">
        <v>1.05</v>
      </c>
      <c r="H662" s="252">
        <f>IF(G662&gt;0,(G662*F662*E662),(F662*E662))</f>
        <v>21836.850000000002</v>
      </c>
      <c r="I662" s="914"/>
    </row>
    <row r="663" spans="1:9" s="324" customFormat="1" ht="14.25" x14ac:dyDescent="0.2">
      <c r="A663" s="936"/>
      <c r="B663" s="244" t="s">
        <v>1521</v>
      </c>
      <c r="C663" s="62" t="s">
        <v>1963</v>
      </c>
      <c r="D663" s="19" t="s">
        <v>285</v>
      </c>
      <c r="E663" s="194">
        <v>1</v>
      </c>
      <c r="F663" s="320">
        <f>VLOOKUP(B663,'BASE DE DATOS'!$A$5:$E$997,5,FALSE)</f>
        <v>77345</v>
      </c>
      <c r="G663" s="681">
        <v>1.1000000000000001</v>
      </c>
      <c r="H663" s="252">
        <f t="shared" ref="H663:H667" si="51">IF(G663&gt;0,(G663*F663*E663),(F663*E663))</f>
        <v>85079.5</v>
      </c>
      <c r="I663" s="914"/>
    </row>
    <row r="664" spans="1:9" s="324" customFormat="1" ht="12.75" x14ac:dyDescent="0.2">
      <c r="A664" s="936"/>
      <c r="B664" s="244" t="s">
        <v>1642</v>
      </c>
      <c r="C664" s="62" t="s">
        <v>7</v>
      </c>
      <c r="D664" s="19" t="s">
        <v>684</v>
      </c>
      <c r="E664" s="194">
        <v>1.85</v>
      </c>
      <c r="F664" s="320">
        <f>VLOOKUP(B664,'BASE DE DATOS'!$A$5:$E$997,5,FALSE)</f>
        <v>17990</v>
      </c>
      <c r="G664" s="681">
        <v>1</v>
      </c>
      <c r="H664" s="252">
        <f t="shared" si="51"/>
        <v>33281.5</v>
      </c>
      <c r="I664" s="914"/>
    </row>
    <row r="665" spans="1:9" s="373" customFormat="1" ht="12.75" x14ac:dyDescent="0.2">
      <c r="A665" s="947" t="s">
        <v>2555</v>
      </c>
      <c r="B665" s="244" t="s">
        <v>587</v>
      </c>
      <c r="C665" s="62" t="s">
        <v>588</v>
      </c>
      <c r="D665" s="19" t="s">
        <v>585</v>
      </c>
      <c r="E665" s="194">
        <v>1</v>
      </c>
      <c r="F665" s="320">
        <f>VLOOKUP(B665,'BASE DE DATOS'!$A$5:$E$997,5,FALSE)</f>
        <v>514339</v>
      </c>
      <c r="G665" s="681">
        <f>1/15*1.2</f>
        <v>0.08</v>
      </c>
      <c r="H665" s="252">
        <f>IF(G665&gt;0,(G665*F665*E665),(F665*E665))</f>
        <v>41147.120000000003</v>
      </c>
      <c r="I665" s="921"/>
    </row>
    <row r="666" spans="1:9" s="373" customFormat="1" ht="12.75" x14ac:dyDescent="0.2">
      <c r="A666" s="947"/>
      <c r="B666" s="244" t="s">
        <v>266</v>
      </c>
      <c r="C666" s="62" t="s">
        <v>283</v>
      </c>
      <c r="D666" s="19" t="s">
        <v>586</v>
      </c>
      <c r="E666" s="194">
        <v>0.1</v>
      </c>
      <c r="F666" s="320">
        <f>+H665</f>
        <v>41147.120000000003</v>
      </c>
      <c r="G666" s="681">
        <v>0</v>
      </c>
      <c r="H666" s="252">
        <f t="shared" si="51"/>
        <v>4114.7120000000004</v>
      </c>
      <c r="I666" s="921"/>
    </row>
    <row r="667" spans="1:9" s="324" customFormat="1" ht="13.5" thickBot="1" x14ac:dyDescent="0.25">
      <c r="A667" s="504" t="s">
        <v>293</v>
      </c>
      <c r="B667" s="543" t="s">
        <v>269</v>
      </c>
      <c r="C667" s="169" t="s">
        <v>284</v>
      </c>
      <c r="D667" s="112" t="s">
        <v>586</v>
      </c>
      <c r="E667" s="201">
        <v>0.1</v>
      </c>
      <c r="F667" s="321">
        <f>+H665</f>
        <v>41147.120000000003</v>
      </c>
      <c r="G667" s="686">
        <v>0</v>
      </c>
      <c r="H667" s="255">
        <f t="shared" si="51"/>
        <v>4114.7120000000004</v>
      </c>
      <c r="I667" s="914"/>
    </row>
    <row r="668" spans="1:9" s="41" customFormat="1" ht="30" x14ac:dyDescent="0.2">
      <c r="A668" s="67" t="s">
        <v>1163</v>
      </c>
      <c r="B668" s="526"/>
      <c r="C668" s="325" t="s">
        <v>145</v>
      </c>
      <c r="D668" s="326" t="s">
        <v>411</v>
      </c>
      <c r="E668" s="414"/>
      <c r="F668" s="357">
        <f>ROUND(SUM(H668:H674),0)</f>
        <v>523870</v>
      </c>
      <c r="G668" s="683"/>
      <c r="H668" s="330"/>
      <c r="I668" s="914"/>
    </row>
    <row r="669" spans="1:9" s="324" customFormat="1" ht="12.75" x14ac:dyDescent="0.2">
      <c r="A669" s="936" t="s">
        <v>382</v>
      </c>
      <c r="B669" s="244" t="s">
        <v>1463</v>
      </c>
      <c r="C669" s="62" t="s">
        <v>593</v>
      </c>
      <c r="D669" s="19" t="s">
        <v>405</v>
      </c>
      <c r="E669" s="194">
        <v>2</v>
      </c>
      <c r="F669" s="320">
        <f>VLOOKUP(B669,'BASE DE DATOS'!$A$5:$E$997,5,FALSE)</f>
        <v>4704</v>
      </c>
      <c r="G669" s="681">
        <f>1/2</f>
        <v>0.5</v>
      </c>
      <c r="H669" s="252">
        <f>IF(G669&gt;0,(G669*F669*E669),(F669*E669))</f>
        <v>4704</v>
      </c>
      <c r="I669" s="914"/>
    </row>
    <row r="670" spans="1:9" s="27" customFormat="1" ht="12.75" x14ac:dyDescent="0.2">
      <c r="A670" s="936"/>
      <c r="B670" s="244" t="s">
        <v>1558</v>
      </c>
      <c r="C670" s="62" t="s">
        <v>603</v>
      </c>
      <c r="D670" s="19" t="s">
        <v>590</v>
      </c>
      <c r="E670" s="194">
        <v>0.2</v>
      </c>
      <c r="F670" s="320">
        <f>VLOOKUP(B670,'BASE DE DATOS'!$A$5:$E$997,5,FALSE)</f>
        <v>5650</v>
      </c>
      <c r="G670" s="681">
        <v>0</v>
      </c>
      <c r="H670" s="252">
        <f>IF(G670&gt;0,(G670*F670*E670),(F670*E670))</f>
        <v>1130</v>
      </c>
      <c r="I670" s="915"/>
    </row>
    <row r="671" spans="1:9" s="324" customFormat="1" ht="12.75" x14ac:dyDescent="0.2">
      <c r="A671" s="936"/>
      <c r="B671" s="244" t="s">
        <v>1711</v>
      </c>
      <c r="C671" s="62" t="s">
        <v>632</v>
      </c>
      <c r="D671" s="19" t="s">
        <v>405</v>
      </c>
      <c r="E671" s="194">
        <v>4</v>
      </c>
      <c r="F671" s="320">
        <f>VLOOKUP(B671,'BASE DE DATOS'!$A$5:$E$997,5,FALSE)</f>
        <v>10991</v>
      </c>
      <c r="G671" s="681">
        <f>1/2</f>
        <v>0.5</v>
      </c>
      <c r="H671" s="252">
        <f t="shared" ref="H671:H674" si="52">IF(G671&gt;0,(G671*F671*E671),(F671*E671))</f>
        <v>21982</v>
      </c>
      <c r="I671" s="914"/>
    </row>
    <row r="672" spans="1:9" s="324" customFormat="1" ht="14.25" x14ac:dyDescent="0.2">
      <c r="A672" s="505" t="s">
        <v>3252</v>
      </c>
      <c r="B672" s="244" t="s">
        <v>799</v>
      </c>
      <c r="C672" s="62" t="s">
        <v>3276</v>
      </c>
      <c r="D672" s="19" t="s">
        <v>285</v>
      </c>
      <c r="E672" s="194">
        <v>0.62</v>
      </c>
      <c r="F672" s="320">
        <f>CONSTRUCCION!F34</f>
        <v>482282</v>
      </c>
      <c r="G672" s="681">
        <v>1.05</v>
      </c>
      <c r="H672" s="252">
        <f t="shared" si="52"/>
        <v>313965.58199999999</v>
      </c>
      <c r="I672" s="914"/>
    </row>
    <row r="673" spans="1:9" s="324" customFormat="1" ht="12.75" x14ac:dyDescent="0.2">
      <c r="A673" s="508" t="s">
        <v>2555</v>
      </c>
      <c r="B673" s="244" t="s">
        <v>644</v>
      </c>
      <c r="C673" s="62" t="s">
        <v>645</v>
      </c>
      <c r="D673" s="19" t="s">
        <v>585</v>
      </c>
      <c r="E673" s="194">
        <v>1</v>
      </c>
      <c r="F673" s="320">
        <f>VLOOKUP(B673,'BASE DE DATOS'!$A$5:$E$997,5,FALSE)</f>
        <v>248302</v>
      </c>
      <c r="G673" s="681">
        <f>1/1.5</f>
        <v>0.66666666666666663</v>
      </c>
      <c r="H673" s="252">
        <f t="shared" si="52"/>
        <v>165534.66666666666</v>
      </c>
      <c r="I673" s="914"/>
    </row>
    <row r="674" spans="1:9" s="324" customFormat="1" ht="13.5" thickBot="1" x14ac:dyDescent="0.25">
      <c r="A674" s="504" t="s">
        <v>293</v>
      </c>
      <c r="B674" s="543" t="s">
        <v>269</v>
      </c>
      <c r="C674" s="169" t="s">
        <v>284</v>
      </c>
      <c r="D674" s="112" t="s">
        <v>586</v>
      </c>
      <c r="E674" s="201">
        <v>0.1</v>
      </c>
      <c r="F674" s="321">
        <f>+H673</f>
        <v>165534.66666666666</v>
      </c>
      <c r="G674" s="686">
        <v>0</v>
      </c>
      <c r="H674" s="255">
        <f t="shared" si="52"/>
        <v>16553.466666666667</v>
      </c>
      <c r="I674" s="914"/>
    </row>
    <row r="675" spans="1:9" s="41" customFormat="1" ht="45" x14ac:dyDescent="0.2">
      <c r="A675" s="67" t="s">
        <v>1164</v>
      </c>
      <c r="B675" s="526"/>
      <c r="C675" s="325" t="s">
        <v>3553</v>
      </c>
      <c r="D675" s="326" t="s">
        <v>405</v>
      </c>
      <c r="E675" s="414"/>
      <c r="F675" s="357">
        <f>ROUND(SUM(H675:H680),0)</f>
        <v>718263</v>
      </c>
      <c r="G675" s="683"/>
      <c r="H675" s="330"/>
      <c r="I675" s="914"/>
    </row>
    <row r="676" spans="1:9" s="324" customFormat="1" ht="14.25" x14ac:dyDescent="0.2">
      <c r="A676" s="505" t="s">
        <v>3252</v>
      </c>
      <c r="B676" s="244" t="s">
        <v>799</v>
      </c>
      <c r="C676" s="62" t="s">
        <v>3276</v>
      </c>
      <c r="D676" s="19" t="s">
        <v>285</v>
      </c>
      <c r="E676" s="194">
        <v>0.76</v>
      </c>
      <c r="F676" s="320">
        <f>CONSTRUCCION!F34</f>
        <v>482282</v>
      </c>
      <c r="G676" s="681">
        <v>1.05</v>
      </c>
      <c r="H676" s="252">
        <f>IF(G676&gt;0,(G676*F676*E676),(F676*E676))</f>
        <v>384861.03600000002</v>
      </c>
      <c r="I676" s="914"/>
    </row>
    <row r="677" spans="1:9" s="27" customFormat="1" ht="12.75" x14ac:dyDescent="0.2">
      <c r="A677" s="508" t="s">
        <v>2555</v>
      </c>
      <c r="B677" s="244" t="s">
        <v>587</v>
      </c>
      <c r="C677" s="62" t="s">
        <v>588</v>
      </c>
      <c r="D677" s="19" t="s">
        <v>585</v>
      </c>
      <c r="E677" s="194">
        <v>1</v>
      </c>
      <c r="F677" s="320">
        <f>VLOOKUP(B677,'BASE DE DATOS'!$A$5:$E$997,5,FALSE)</f>
        <v>514339</v>
      </c>
      <c r="G677" s="681">
        <f>1/2</f>
        <v>0.5</v>
      </c>
      <c r="H677" s="252">
        <f>IF(G677&gt;0,(G677*F677*E677),(F677*E677))</f>
        <v>257169.5</v>
      </c>
      <c r="I677" s="915"/>
    </row>
    <row r="678" spans="1:9" s="324" customFormat="1" ht="12.75" x14ac:dyDescent="0.2">
      <c r="A678" s="944" t="s">
        <v>293</v>
      </c>
      <c r="B678" s="244" t="s">
        <v>666</v>
      </c>
      <c r="C678" s="474" t="s">
        <v>667</v>
      </c>
      <c r="D678" s="215" t="s">
        <v>585</v>
      </c>
      <c r="E678" s="194">
        <v>1</v>
      </c>
      <c r="F678" s="320">
        <f>VLOOKUP(B678,'BASE DE DATOS'!$A$5:$E$997,5,FALSE)</f>
        <v>47600</v>
      </c>
      <c r="G678" s="684">
        <v>0</v>
      </c>
      <c r="H678" s="252">
        <f>IF(G678&gt;0,(G678*F678*E678),(F678*E678))</f>
        <v>47600</v>
      </c>
      <c r="I678" s="914"/>
    </row>
    <row r="679" spans="1:9" s="324" customFormat="1" ht="12.75" x14ac:dyDescent="0.2">
      <c r="A679" s="944"/>
      <c r="B679" s="244" t="s">
        <v>269</v>
      </c>
      <c r="C679" s="474" t="s">
        <v>284</v>
      </c>
      <c r="D679" s="215" t="s">
        <v>586</v>
      </c>
      <c r="E679" s="194">
        <v>0.1</v>
      </c>
      <c r="F679" s="320">
        <f>+H677</f>
        <v>257169.5</v>
      </c>
      <c r="G679" s="684">
        <v>0</v>
      </c>
      <c r="H679" s="252">
        <f>IF(G679&gt;0,(G679*F679*E679),(F679*E679))</f>
        <v>25716.95</v>
      </c>
      <c r="I679" s="914"/>
    </row>
    <row r="680" spans="1:9" s="324" customFormat="1" ht="13.5" thickBot="1" x14ac:dyDescent="0.25">
      <c r="A680" s="945"/>
      <c r="B680" s="543" t="s">
        <v>668</v>
      </c>
      <c r="C680" s="75" t="s">
        <v>669</v>
      </c>
      <c r="D680" s="49" t="s">
        <v>585</v>
      </c>
      <c r="E680" s="195">
        <v>1</v>
      </c>
      <c r="F680" s="355">
        <f>VLOOKUP(B680,'BASE DE DATOS'!$A$5:$E$997,5,FALSE)</f>
        <v>58310</v>
      </c>
      <c r="G680" s="682">
        <f>1/20</f>
        <v>0.05</v>
      </c>
      <c r="H680" s="255">
        <f>IF(G680&gt;0,(G680*F680*E680),(F680*E680))</f>
        <v>2915.5</v>
      </c>
      <c r="I680" s="914"/>
    </row>
    <row r="681" spans="1:9" s="41" customFormat="1" ht="30" x14ac:dyDescent="0.2">
      <c r="A681" s="67" t="s">
        <v>1165</v>
      </c>
      <c r="B681" s="526"/>
      <c r="C681" s="325" t="s">
        <v>3554</v>
      </c>
      <c r="D681" s="326" t="s">
        <v>411</v>
      </c>
      <c r="E681" s="414"/>
      <c r="F681" s="357">
        <f>ROUND(SUM(H681:H686),0)</f>
        <v>540037</v>
      </c>
      <c r="G681" s="683"/>
      <c r="H681" s="330"/>
      <c r="I681" s="914"/>
    </row>
    <row r="682" spans="1:9" s="324" customFormat="1" ht="14.25" x14ac:dyDescent="0.2">
      <c r="A682" s="953" t="s">
        <v>3252</v>
      </c>
      <c r="B682" s="244" t="s">
        <v>799</v>
      </c>
      <c r="C682" s="62" t="s">
        <v>3276</v>
      </c>
      <c r="D682" s="19" t="s">
        <v>285</v>
      </c>
      <c r="E682" s="194">
        <v>0.6</v>
      </c>
      <c r="F682" s="320">
        <f>CONSTRUCCION!F34</f>
        <v>482282</v>
      </c>
      <c r="G682" s="681">
        <v>1.05</v>
      </c>
      <c r="H682" s="252">
        <f>IF(G682&gt;0,(G682*F682*E682),(F682*E682))</f>
        <v>303837.66000000003</v>
      </c>
      <c r="I682" s="914"/>
    </row>
    <row r="683" spans="1:9" s="324" customFormat="1" ht="12.75" x14ac:dyDescent="0.2">
      <c r="A683" s="953"/>
      <c r="B683" s="244" t="s">
        <v>814</v>
      </c>
      <c r="C683" s="62" t="s">
        <v>2018</v>
      </c>
      <c r="D683" s="19" t="s">
        <v>406</v>
      </c>
      <c r="E683" s="194">
        <f>0.4*8</f>
        <v>3.2</v>
      </c>
      <c r="F683" s="320">
        <f>CONSTRUCCION!F118</f>
        <v>7440</v>
      </c>
      <c r="G683" s="681">
        <v>0</v>
      </c>
      <c r="H683" s="252">
        <f>IF(G683&gt;0,(G683*F683*E683),(F683*E683))</f>
        <v>23808</v>
      </c>
      <c r="I683" s="914"/>
    </row>
    <row r="684" spans="1:9" s="324" customFormat="1" ht="12.75" x14ac:dyDescent="0.2">
      <c r="A684" s="508" t="s">
        <v>2555</v>
      </c>
      <c r="B684" s="244" t="s">
        <v>587</v>
      </c>
      <c r="C684" s="62" t="s">
        <v>588</v>
      </c>
      <c r="D684" s="19" t="s">
        <v>585</v>
      </c>
      <c r="E684" s="194">
        <v>1</v>
      </c>
      <c r="F684" s="320">
        <f>VLOOKUP(B684,'BASE DE DATOS'!$A$5:$E$997,5,FALSE)</f>
        <v>514339</v>
      </c>
      <c r="G684" s="681">
        <f>1/3</f>
        <v>0.33333333333333331</v>
      </c>
      <c r="H684" s="252">
        <f>IF(G684&gt;0,(G684*F684*E684),(F684*E684))</f>
        <v>171446.33333333331</v>
      </c>
      <c r="I684" s="914"/>
    </row>
    <row r="685" spans="1:9" s="324" customFormat="1" ht="12.75" x14ac:dyDescent="0.2">
      <c r="A685" s="944" t="s">
        <v>293</v>
      </c>
      <c r="B685" s="244" t="s">
        <v>277</v>
      </c>
      <c r="C685" s="474" t="s">
        <v>50</v>
      </c>
      <c r="D685" s="215" t="s">
        <v>585</v>
      </c>
      <c r="E685" s="194">
        <v>1</v>
      </c>
      <c r="F685" s="320">
        <f>VLOOKUP(B685,'BASE DE DATOS'!$A$5:$E$997,5,FALSE)</f>
        <v>23800</v>
      </c>
      <c r="G685" s="684">
        <v>0</v>
      </c>
      <c r="H685" s="252">
        <f>IF(G685&gt;0,(G685*F685*E685),(F685*E685))</f>
        <v>23800</v>
      </c>
      <c r="I685" s="914"/>
    </row>
    <row r="686" spans="1:9" s="27" customFormat="1" ht="13.5" thickBot="1" x14ac:dyDescent="0.25">
      <c r="A686" s="945"/>
      <c r="B686" s="543" t="s">
        <v>269</v>
      </c>
      <c r="C686" s="75" t="s">
        <v>284</v>
      </c>
      <c r="D686" s="49" t="s">
        <v>586</v>
      </c>
      <c r="E686" s="195">
        <v>0.1</v>
      </c>
      <c r="F686" s="355">
        <f>+H684</f>
        <v>171446.33333333331</v>
      </c>
      <c r="G686" s="682">
        <v>0</v>
      </c>
      <c r="H686" s="255">
        <f>IF(G686&gt;0,(G686*F686*E686),(F686*E686))</f>
        <v>17144.633333333331</v>
      </c>
      <c r="I686" s="915"/>
    </row>
    <row r="687" spans="1:9" s="41" customFormat="1" ht="30" x14ac:dyDescent="0.2">
      <c r="A687" s="67" t="s">
        <v>1166</v>
      </c>
      <c r="B687" s="526"/>
      <c r="C687" s="325" t="s">
        <v>2649</v>
      </c>
      <c r="D687" s="326" t="s">
        <v>411</v>
      </c>
      <c r="E687" s="414"/>
      <c r="F687" s="357">
        <f>ROUND(SUM(H687:H690),0)</f>
        <v>934674</v>
      </c>
      <c r="G687" s="683"/>
      <c r="H687" s="370"/>
      <c r="I687" s="914"/>
    </row>
    <row r="688" spans="1:9" s="324" customFormat="1" ht="75" customHeight="1" x14ac:dyDescent="0.2">
      <c r="A688" s="666" t="s">
        <v>295</v>
      </c>
      <c r="B688" s="244" t="s">
        <v>1293</v>
      </c>
      <c r="C688" s="62" t="s">
        <v>3919</v>
      </c>
      <c r="D688" s="19" t="s">
        <v>411</v>
      </c>
      <c r="E688" s="194">
        <v>1</v>
      </c>
      <c r="F688" s="320">
        <f>VLOOKUP(B688,'BASE DE DATOS'!$A$5:$E$997,5,FALSE)</f>
        <v>791900</v>
      </c>
      <c r="G688" s="681">
        <v>0</v>
      </c>
      <c r="H688" s="252">
        <f>IF(G688&gt;0,(G688*F688*E688),(F688*E688))</f>
        <v>791900</v>
      </c>
      <c r="I688" s="914"/>
    </row>
    <row r="689" spans="1:9" s="324" customFormat="1" ht="12.75" x14ac:dyDescent="0.2">
      <c r="A689" s="508" t="s">
        <v>2555</v>
      </c>
      <c r="B689" s="244" t="s">
        <v>644</v>
      </c>
      <c r="C689" s="62" t="s">
        <v>645</v>
      </c>
      <c r="D689" s="19" t="s">
        <v>585</v>
      </c>
      <c r="E689" s="194">
        <v>1</v>
      </c>
      <c r="F689" s="320">
        <f>VLOOKUP(B689,'BASE DE DATOS'!$A$5:$E$997,5,FALSE)</f>
        <v>248302</v>
      </c>
      <c r="G689" s="681">
        <f>1/2</f>
        <v>0.5</v>
      </c>
      <c r="H689" s="252">
        <f t="shared" ref="H689:H740" si="53">IF(G689&gt;0,(G689*F689*E689),(F689*E689))</f>
        <v>124151</v>
      </c>
      <c r="I689" s="914"/>
    </row>
    <row r="690" spans="1:9" s="324" customFormat="1" ht="13.5" thickBot="1" x14ac:dyDescent="0.25">
      <c r="A690" s="504" t="s">
        <v>293</v>
      </c>
      <c r="B690" s="543" t="s">
        <v>269</v>
      </c>
      <c r="C690" s="169" t="s">
        <v>284</v>
      </c>
      <c r="D690" s="112" t="s">
        <v>586</v>
      </c>
      <c r="E690" s="201">
        <v>0.15</v>
      </c>
      <c r="F690" s="321">
        <f>+H689</f>
        <v>124151</v>
      </c>
      <c r="G690" s="686">
        <v>0</v>
      </c>
      <c r="H690" s="255">
        <f t="shared" si="53"/>
        <v>18622.649999999998</v>
      </c>
      <c r="I690" s="914"/>
    </row>
    <row r="691" spans="1:9" s="41" customFormat="1" ht="30" x14ac:dyDescent="0.2">
      <c r="A691" s="67" t="s">
        <v>1167</v>
      </c>
      <c r="B691" s="526"/>
      <c r="C691" s="325" t="s">
        <v>3555</v>
      </c>
      <c r="D691" s="326" t="s">
        <v>411</v>
      </c>
      <c r="E691" s="414"/>
      <c r="F691" s="357">
        <f>ROUND(SUM(H691:H698),0)</f>
        <v>1015235</v>
      </c>
      <c r="G691" s="683"/>
      <c r="H691" s="370"/>
      <c r="I691" s="914"/>
    </row>
    <row r="692" spans="1:9" s="324" customFormat="1" ht="12.75" x14ac:dyDescent="0.2">
      <c r="A692" s="939" t="s">
        <v>295</v>
      </c>
      <c r="B692" s="244" t="s">
        <v>1558</v>
      </c>
      <c r="C692" s="62" t="s">
        <v>603</v>
      </c>
      <c r="D692" s="19" t="s">
        <v>590</v>
      </c>
      <c r="E692" s="194">
        <v>1</v>
      </c>
      <c r="F692" s="320">
        <f>VLOOKUP(B692,'BASE DE DATOS'!$A$5:$E$997,5,FALSE)</f>
        <v>5650</v>
      </c>
      <c r="G692" s="681">
        <v>0</v>
      </c>
      <c r="H692" s="252">
        <f>IF(G692&gt;0,(G692*F692*E692),(F692*E692))</f>
        <v>5650</v>
      </c>
      <c r="I692" s="914"/>
    </row>
    <row r="693" spans="1:9" s="27" customFormat="1" ht="12.75" x14ac:dyDescent="0.2">
      <c r="A693" s="939"/>
      <c r="B693" s="244" t="s">
        <v>1711</v>
      </c>
      <c r="C693" s="62" t="s">
        <v>632</v>
      </c>
      <c r="D693" s="19" t="s">
        <v>405</v>
      </c>
      <c r="E693" s="194">
        <v>1</v>
      </c>
      <c r="F693" s="320">
        <f>VLOOKUP(B693,'BASE DE DATOS'!$A$5:$E$997,5,FALSE)</f>
        <v>10991</v>
      </c>
      <c r="G693" s="681">
        <f>1/10</f>
        <v>0.1</v>
      </c>
      <c r="H693" s="252">
        <f>IF(G693&gt;0,(G693*F693*E693),(F693*E693))</f>
        <v>1099.1000000000001</v>
      </c>
      <c r="I693" s="915"/>
    </row>
    <row r="694" spans="1:9" s="324" customFormat="1" ht="76.5" x14ac:dyDescent="0.2">
      <c r="A694" s="939"/>
      <c r="B694" s="244" t="s">
        <v>1587</v>
      </c>
      <c r="C694" s="182" t="s">
        <v>3920</v>
      </c>
      <c r="D694" s="19" t="s">
        <v>411</v>
      </c>
      <c r="E694" s="194">
        <v>1</v>
      </c>
      <c r="F694" s="320">
        <f>VLOOKUP(B694,'BASE DE DATOS'!$A$5:$E$997,5,FALSE)</f>
        <v>791900</v>
      </c>
      <c r="G694" s="681">
        <v>0</v>
      </c>
      <c r="H694" s="252">
        <f t="shared" si="53"/>
        <v>791900</v>
      </c>
      <c r="I694" s="914"/>
    </row>
    <row r="695" spans="1:9" s="324" customFormat="1" ht="12.75" x14ac:dyDescent="0.2">
      <c r="A695" s="939"/>
      <c r="B695" s="244" t="s">
        <v>1690</v>
      </c>
      <c r="C695" s="62" t="s">
        <v>2749</v>
      </c>
      <c r="D695" s="19" t="s">
        <v>405</v>
      </c>
      <c r="E695" s="194">
        <v>1</v>
      </c>
      <c r="F695" s="320">
        <f>VLOOKUP(B695,'BASE DE DATOS'!$A$5:$E$997,5,FALSE)</f>
        <v>1540</v>
      </c>
      <c r="G695" s="681">
        <f>1/2</f>
        <v>0.5</v>
      </c>
      <c r="H695" s="252">
        <f t="shared" si="53"/>
        <v>770</v>
      </c>
      <c r="I695" s="914"/>
    </row>
    <row r="696" spans="1:9" s="324" customFormat="1" ht="14.25" x14ac:dyDescent="0.2">
      <c r="A696" s="505" t="s">
        <v>3252</v>
      </c>
      <c r="B696" s="244" t="s">
        <v>799</v>
      </c>
      <c r="C696" s="62" t="s">
        <v>3276</v>
      </c>
      <c r="D696" s="19" t="s">
        <v>285</v>
      </c>
      <c r="E696" s="194">
        <v>0.16</v>
      </c>
      <c r="F696" s="320">
        <f>CONSTRUCCION!F34</f>
        <v>482282</v>
      </c>
      <c r="G696" s="681">
        <v>1.05</v>
      </c>
      <c r="H696" s="252">
        <f t="shared" si="53"/>
        <v>81023.376000000004</v>
      </c>
      <c r="I696" s="914"/>
    </row>
    <row r="697" spans="1:9" s="324" customFormat="1" ht="12.75" x14ac:dyDescent="0.2">
      <c r="A697" s="508" t="s">
        <v>2555</v>
      </c>
      <c r="B697" s="244" t="s">
        <v>605</v>
      </c>
      <c r="C697" s="62" t="s">
        <v>606</v>
      </c>
      <c r="D697" s="19" t="s">
        <v>585</v>
      </c>
      <c r="E697" s="194">
        <v>1</v>
      </c>
      <c r="F697" s="320">
        <f>VLOOKUP(B697,'BASE DE DATOS'!$A$5:$E$997,5,FALSE)</f>
        <v>673962</v>
      </c>
      <c r="G697" s="681">
        <f>1/5.5</f>
        <v>0.18181818181818182</v>
      </c>
      <c r="H697" s="252">
        <f t="shared" si="53"/>
        <v>122538.54545454546</v>
      </c>
      <c r="I697" s="914"/>
    </row>
    <row r="698" spans="1:9" s="324" customFormat="1" ht="13.5" thickBot="1" x14ac:dyDescent="0.25">
      <c r="A698" s="504" t="s">
        <v>293</v>
      </c>
      <c r="B698" s="543" t="s">
        <v>269</v>
      </c>
      <c r="C698" s="169" t="s">
        <v>284</v>
      </c>
      <c r="D698" s="112" t="s">
        <v>586</v>
      </c>
      <c r="E698" s="201">
        <v>0.1</v>
      </c>
      <c r="F698" s="321">
        <f>+H697</f>
        <v>122538.54545454546</v>
      </c>
      <c r="G698" s="686">
        <v>0</v>
      </c>
      <c r="H698" s="255">
        <f t="shared" si="53"/>
        <v>12253.854545454546</v>
      </c>
      <c r="I698" s="914"/>
    </row>
    <row r="699" spans="1:9" s="41" customFormat="1" ht="30" x14ac:dyDescent="0.2">
      <c r="A699" s="67" t="s">
        <v>1168</v>
      </c>
      <c r="B699" s="526"/>
      <c r="C699" s="325" t="s">
        <v>3556</v>
      </c>
      <c r="D699" s="326" t="s">
        <v>411</v>
      </c>
      <c r="E699" s="414"/>
      <c r="F699" s="357">
        <f>ROUND(SUM(H699:H708),0)</f>
        <v>2007196</v>
      </c>
      <c r="G699" s="683"/>
      <c r="H699" s="330"/>
      <c r="I699" s="914"/>
    </row>
    <row r="700" spans="1:9" s="324" customFormat="1" ht="12.75" x14ac:dyDescent="0.2">
      <c r="A700" s="939" t="s">
        <v>295</v>
      </c>
      <c r="B700" s="244" t="s">
        <v>1264</v>
      </c>
      <c r="C700" s="62" t="s">
        <v>641</v>
      </c>
      <c r="D700" s="19" t="s">
        <v>642</v>
      </c>
      <c r="E700" s="194">
        <v>0.5</v>
      </c>
      <c r="F700" s="320">
        <f>VLOOKUP(B700,'BASE DE DATOS'!$A$5:$E$997,5,FALSE)</f>
        <v>10959</v>
      </c>
      <c r="G700" s="681">
        <v>1.05</v>
      </c>
      <c r="H700" s="252">
        <f>IF(G700&gt;0,(G700*F700*E700),(F700*E700))</f>
        <v>5753.4750000000004</v>
      </c>
      <c r="I700" s="914"/>
    </row>
    <row r="701" spans="1:9" s="324" customFormat="1" ht="12.75" x14ac:dyDescent="0.2">
      <c r="A701" s="939"/>
      <c r="B701" s="244" t="s">
        <v>1558</v>
      </c>
      <c r="C701" s="62" t="s">
        <v>603</v>
      </c>
      <c r="D701" s="19" t="s">
        <v>590</v>
      </c>
      <c r="E701" s="194">
        <v>1.5</v>
      </c>
      <c r="F701" s="320">
        <f>VLOOKUP(B701,'BASE DE DATOS'!$A$5:$E$997,5,FALSE)</f>
        <v>5650</v>
      </c>
      <c r="G701" s="681">
        <v>0</v>
      </c>
      <c r="H701" s="252">
        <f>IF(G701&gt;0,(G701*F701*E701),(F701*E701))</f>
        <v>8475</v>
      </c>
      <c r="I701" s="914"/>
    </row>
    <row r="702" spans="1:9" s="324" customFormat="1" ht="25.5" x14ac:dyDescent="0.2">
      <c r="A702" s="939"/>
      <c r="B702" s="244" t="s">
        <v>2686</v>
      </c>
      <c r="C702" s="311" t="s">
        <v>3262</v>
      </c>
      <c r="D702" s="19" t="s">
        <v>411</v>
      </c>
      <c r="E702" s="194">
        <v>2</v>
      </c>
      <c r="F702" s="320">
        <f>VLOOKUP(B702,'BASE DE DATOS'!$A$5:$E$997,5,FALSE)</f>
        <v>534310</v>
      </c>
      <c r="G702" s="681">
        <v>0</v>
      </c>
      <c r="H702" s="252">
        <f>IF(G702&gt;0,(G702*F702*E702),(F702*E702))</f>
        <v>1068620</v>
      </c>
      <c r="I702" s="914"/>
    </row>
    <row r="703" spans="1:9" s="324" customFormat="1" ht="13.15" customHeight="1" x14ac:dyDescent="0.2">
      <c r="A703" s="939"/>
      <c r="B703" s="244" t="s">
        <v>1711</v>
      </c>
      <c r="C703" s="62" t="s">
        <v>632</v>
      </c>
      <c r="D703" s="19" t="s">
        <v>405</v>
      </c>
      <c r="E703" s="194">
        <v>21</v>
      </c>
      <c r="F703" s="320">
        <f>VLOOKUP(B703,'BASE DE DATOS'!$A$5:$E$997,5,FALSE)</f>
        <v>10991</v>
      </c>
      <c r="G703" s="681">
        <f>1/3</f>
        <v>0.33333333333333331</v>
      </c>
      <c r="H703" s="252">
        <f t="shared" si="53"/>
        <v>76937</v>
      </c>
      <c r="I703" s="914"/>
    </row>
    <row r="704" spans="1:9" s="27" customFormat="1" ht="12.75" x14ac:dyDescent="0.2">
      <c r="A704" s="939"/>
      <c r="B704" s="244" t="s">
        <v>1690</v>
      </c>
      <c r="C704" s="62" t="s">
        <v>2749</v>
      </c>
      <c r="D704" s="19" t="s">
        <v>405</v>
      </c>
      <c r="E704" s="194">
        <v>1</v>
      </c>
      <c r="F704" s="320">
        <f>VLOOKUP(B704,'BASE DE DATOS'!$A$5:$E$997,5,FALSE)</f>
        <v>1540</v>
      </c>
      <c r="G704" s="681">
        <f>1/3</f>
        <v>0.33333333333333331</v>
      </c>
      <c r="H704" s="252">
        <f t="shared" si="53"/>
        <v>513.33333333333326</v>
      </c>
      <c r="I704" s="915"/>
    </row>
    <row r="705" spans="1:9" s="324" customFormat="1" ht="14.25" x14ac:dyDescent="0.2">
      <c r="A705" s="953" t="s">
        <v>3252</v>
      </c>
      <c r="B705" s="244" t="s">
        <v>799</v>
      </c>
      <c r="C705" s="62" t="s">
        <v>3276</v>
      </c>
      <c r="D705" s="19" t="s">
        <v>285</v>
      </c>
      <c r="E705" s="194">
        <v>0.7</v>
      </c>
      <c r="F705" s="320">
        <f>CONSTRUCCION!F34</f>
        <v>482282</v>
      </c>
      <c r="G705" s="681">
        <v>1.05</v>
      </c>
      <c r="H705" s="252">
        <f t="shared" si="53"/>
        <v>354477.27</v>
      </c>
      <c r="I705" s="914"/>
    </row>
    <row r="706" spans="1:9" s="324" customFormat="1" ht="12.75" x14ac:dyDescent="0.2">
      <c r="A706" s="953"/>
      <c r="B706" s="244" t="s">
        <v>814</v>
      </c>
      <c r="C706" s="62" t="s">
        <v>2018</v>
      </c>
      <c r="D706" s="19" t="s">
        <v>406</v>
      </c>
      <c r="E706" s="194">
        <v>5</v>
      </c>
      <c r="F706" s="320">
        <f>CONSTRUCCION!F118</f>
        <v>7440</v>
      </c>
      <c r="G706" s="681">
        <v>0</v>
      </c>
      <c r="H706" s="252">
        <f t="shared" si="53"/>
        <v>37200</v>
      </c>
      <c r="I706" s="914"/>
    </row>
    <row r="707" spans="1:9" s="324" customFormat="1" ht="12.75" x14ac:dyDescent="0.2">
      <c r="A707" s="508" t="s">
        <v>2555</v>
      </c>
      <c r="B707" s="244" t="s">
        <v>644</v>
      </c>
      <c r="C707" s="62" t="s">
        <v>645</v>
      </c>
      <c r="D707" s="19" t="s">
        <v>585</v>
      </c>
      <c r="E707" s="194">
        <v>1</v>
      </c>
      <c r="F707" s="320">
        <f>VLOOKUP(B707,'BASE DE DATOS'!$A$5:$E$997,5,FALSE)</f>
        <v>248302</v>
      </c>
      <c r="G707" s="681">
        <f>1/0.6</f>
        <v>1.6666666666666667</v>
      </c>
      <c r="H707" s="252">
        <f t="shared" si="53"/>
        <v>413836.66666666669</v>
      </c>
      <c r="I707" s="914"/>
    </row>
    <row r="708" spans="1:9" s="324" customFormat="1" ht="13.5" thickBot="1" x14ac:dyDescent="0.25">
      <c r="A708" s="504" t="s">
        <v>293</v>
      </c>
      <c r="B708" s="543" t="s">
        <v>269</v>
      </c>
      <c r="C708" s="169" t="s">
        <v>284</v>
      </c>
      <c r="D708" s="112" t="s">
        <v>586</v>
      </c>
      <c r="E708" s="201">
        <v>0.1</v>
      </c>
      <c r="F708" s="321">
        <f>+H707</f>
        <v>413836.66666666669</v>
      </c>
      <c r="G708" s="686">
        <v>0</v>
      </c>
      <c r="H708" s="255">
        <f t="shared" si="53"/>
        <v>41383.666666666672</v>
      </c>
      <c r="I708" s="914"/>
    </row>
    <row r="709" spans="1:9" s="41" customFormat="1" ht="30" x14ac:dyDescent="0.2">
      <c r="A709" s="67" t="s">
        <v>1169</v>
      </c>
      <c r="B709" s="526"/>
      <c r="C709" s="325" t="s">
        <v>3557</v>
      </c>
      <c r="D709" s="326" t="s">
        <v>405</v>
      </c>
      <c r="E709" s="414"/>
      <c r="F709" s="357">
        <f>ROUND(SUM(H709:H717),0)</f>
        <v>149003</v>
      </c>
      <c r="G709" s="683"/>
      <c r="H709" s="330"/>
      <c r="I709" s="914"/>
    </row>
    <row r="710" spans="1:9" s="324" customFormat="1" ht="12.75" x14ac:dyDescent="0.2">
      <c r="A710" s="936" t="s">
        <v>382</v>
      </c>
      <c r="B710" s="244" t="s">
        <v>1264</v>
      </c>
      <c r="C710" s="62" t="s">
        <v>641</v>
      </c>
      <c r="D710" s="19" t="s">
        <v>642</v>
      </c>
      <c r="E710" s="194">
        <v>0.3</v>
      </c>
      <c r="F710" s="320">
        <f>VLOOKUP(B710,'BASE DE DATOS'!$A$5:$E$997,5,FALSE)</f>
        <v>10959</v>
      </c>
      <c r="G710" s="681">
        <v>1.05</v>
      </c>
      <c r="H710" s="252">
        <f>IF(G710&gt;0,(G710*F710*E710),(F710*E710))</f>
        <v>3452.085</v>
      </c>
      <c r="I710" s="914"/>
    </row>
    <row r="711" spans="1:9" s="324" customFormat="1" ht="12.75" x14ac:dyDescent="0.2">
      <c r="A711" s="936"/>
      <c r="B711" s="244" t="s">
        <v>1290</v>
      </c>
      <c r="C711" s="62" t="s">
        <v>2697</v>
      </c>
      <c r="D711" s="19" t="s">
        <v>406</v>
      </c>
      <c r="E711" s="194">
        <v>0.1</v>
      </c>
      <c r="F711" s="320">
        <f>VLOOKUP(B711,'BASE DE DATOS'!$A$5:$E$997,5,FALSE)</f>
        <v>13045</v>
      </c>
      <c r="G711" s="681">
        <v>1.03</v>
      </c>
      <c r="H711" s="252">
        <f>IF(G711&gt;0,(G711*F711*E711),(F711*E711))</f>
        <v>1343.6350000000002</v>
      </c>
      <c r="I711" s="914"/>
    </row>
    <row r="712" spans="1:9" s="324" customFormat="1" ht="12.75" x14ac:dyDescent="0.2">
      <c r="A712" s="936"/>
      <c r="B712" s="244" t="s">
        <v>1558</v>
      </c>
      <c r="C712" s="62" t="s">
        <v>603</v>
      </c>
      <c r="D712" s="19" t="s">
        <v>590</v>
      </c>
      <c r="E712" s="194">
        <v>0.2</v>
      </c>
      <c r="F712" s="320">
        <f>VLOOKUP(B712,'BASE DE DATOS'!$A$5:$E$997,5,FALSE)</f>
        <v>5650</v>
      </c>
      <c r="G712" s="681">
        <v>0</v>
      </c>
      <c r="H712" s="252">
        <f>IF(G712&gt;0,(G712*F712*E712),(F712*E712))</f>
        <v>1130</v>
      </c>
      <c r="I712" s="914"/>
    </row>
    <row r="713" spans="1:9" s="324" customFormat="1" ht="12.75" x14ac:dyDescent="0.2">
      <c r="A713" s="936"/>
      <c r="B713" s="244" t="s">
        <v>1711</v>
      </c>
      <c r="C713" s="62" t="s">
        <v>632</v>
      </c>
      <c r="D713" s="19" t="s">
        <v>405</v>
      </c>
      <c r="E713" s="194">
        <v>4</v>
      </c>
      <c r="F713" s="320">
        <f>VLOOKUP(B713,'BASE DE DATOS'!$A$5:$E$997,5,FALSE)</f>
        <v>10991</v>
      </c>
      <c r="G713" s="681">
        <f>1/2</f>
        <v>0.5</v>
      </c>
      <c r="H713" s="252">
        <f t="shared" si="53"/>
        <v>21982</v>
      </c>
      <c r="I713" s="914"/>
    </row>
    <row r="714" spans="1:9" s="324" customFormat="1" ht="12.75" x14ac:dyDescent="0.2">
      <c r="A714" s="936"/>
      <c r="B714" s="244" t="s">
        <v>1690</v>
      </c>
      <c r="C714" s="62" t="s">
        <v>2749</v>
      </c>
      <c r="D714" s="19" t="s">
        <v>405</v>
      </c>
      <c r="E714" s="194">
        <v>3</v>
      </c>
      <c r="F714" s="320">
        <f>VLOOKUP(B714,'BASE DE DATOS'!$A$5:$E$997,5,FALSE)</f>
        <v>1540</v>
      </c>
      <c r="G714" s="681">
        <f>1/2</f>
        <v>0.5</v>
      </c>
      <c r="H714" s="252">
        <f t="shared" si="53"/>
        <v>2310</v>
      </c>
      <c r="I714" s="914"/>
    </row>
    <row r="715" spans="1:9" s="324" customFormat="1" ht="14.25" x14ac:dyDescent="0.2">
      <c r="A715" s="505" t="s">
        <v>3252</v>
      </c>
      <c r="B715" s="244" t="s">
        <v>799</v>
      </c>
      <c r="C715" s="62" t="s">
        <v>3276</v>
      </c>
      <c r="D715" s="19" t="s">
        <v>285</v>
      </c>
      <c r="E715" s="194">
        <v>0.13</v>
      </c>
      <c r="F715" s="320">
        <f>CONSTRUCCION!F34</f>
        <v>482282</v>
      </c>
      <c r="G715" s="681">
        <v>1.05</v>
      </c>
      <c r="H715" s="252">
        <f t="shared" si="53"/>
        <v>65831.493000000002</v>
      </c>
      <c r="I715" s="914"/>
    </row>
    <row r="716" spans="1:9" s="324" customFormat="1" ht="12.75" x14ac:dyDescent="0.2">
      <c r="A716" s="508" t="s">
        <v>2555</v>
      </c>
      <c r="B716" s="244" t="s">
        <v>607</v>
      </c>
      <c r="C716" s="62" t="s">
        <v>608</v>
      </c>
      <c r="D716" s="19" t="s">
        <v>585</v>
      </c>
      <c r="E716" s="194">
        <v>1</v>
      </c>
      <c r="F716" s="320">
        <f>VLOOKUP(B716,'BASE DE DATOS'!$A$5:$E$997,5,FALSE)</f>
        <v>336981</v>
      </c>
      <c r="G716" s="681">
        <f>1/7</f>
        <v>0.14285714285714285</v>
      </c>
      <c r="H716" s="252">
        <f t="shared" si="53"/>
        <v>48140.142857142855</v>
      </c>
      <c r="I716" s="914"/>
    </row>
    <row r="717" spans="1:9" s="324" customFormat="1" ht="13.5" thickBot="1" x14ac:dyDescent="0.25">
      <c r="A717" s="504" t="s">
        <v>293</v>
      </c>
      <c r="B717" s="543" t="s">
        <v>269</v>
      </c>
      <c r="C717" s="169" t="s">
        <v>284</v>
      </c>
      <c r="D717" s="112" t="s">
        <v>586</v>
      </c>
      <c r="E717" s="201">
        <v>0.1</v>
      </c>
      <c r="F717" s="321">
        <f>+H716</f>
        <v>48140.142857142855</v>
      </c>
      <c r="G717" s="686">
        <v>0</v>
      </c>
      <c r="H717" s="255">
        <f t="shared" si="53"/>
        <v>4814.0142857142855</v>
      </c>
      <c r="I717" s="914"/>
    </row>
    <row r="718" spans="1:9" s="41" customFormat="1" ht="30" x14ac:dyDescent="0.2">
      <c r="A718" s="67" t="s">
        <v>1170</v>
      </c>
      <c r="B718" s="526"/>
      <c r="C718" s="325" t="s">
        <v>3558</v>
      </c>
      <c r="D718" s="326" t="s">
        <v>405</v>
      </c>
      <c r="E718" s="414"/>
      <c r="F718" s="357">
        <f>ROUND(SUM(H718:H728),0)</f>
        <v>121095</v>
      </c>
      <c r="G718" s="683"/>
      <c r="H718" s="330"/>
      <c r="I718" s="914"/>
    </row>
    <row r="719" spans="1:9" s="324" customFormat="1" ht="12.75" x14ac:dyDescent="0.2">
      <c r="A719" s="936" t="s">
        <v>382</v>
      </c>
      <c r="B719" s="244" t="s">
        <v>1264</v>
      </c>
      <c r="C719" s="62" t="s">
        <v>641</v>
      </c>
      <c r="D719" s="19" t="s">
        <v>642</v>
      </c>
      <c r="E719" s="194">
        <v>0.1</v>
      </c>
      <c r="F719" s="320">
        <f>VLOOKUP(B719,'BASE DE DATOS'!$A$5:$E$997,5,FALSE)</f>
        <v>10959</v>
      </c>
      <c r="G719" s="681">
        <v>1.05</v>
      </c>
      <c r="H719" s="252">
        <f>IF(G719&gt;0,(G719*F719*E719),(F719*E719))</f>
        <v>1150.6950000000002</v>
      </c>
      <c r="I719" s="914"/>
    </row>
    <row r="720" spans="1:9" s="324" customFormat="1" ht="12.75" x14ac:dyDescent="0.2">
      <c r="A720" s="936"/>
      <c r="B720" s="244" t="s">
        <v>1290</v>
      </c>
      <c r="C720" s="62" t="s">
        <v>2697</v>
      </c>
      <c r="D720" s="19" t="s">
        <v>406</v>
      </c>
      <c r="E720" s="194">
        <v>0.2</v>
      </c>
      <c r="F720" s="320">
        <f>VLOOKUP(B720,'BASE DE DATOS'!$A$5:$E$997,5,FALSE)</f>
        <v>13045</v>
      </c>
      <c r="G720" s="681">
        <v>1.03</v>
      </c>
      <c r="H720" s="252">
        <f>IF(G720&gt;0,(G720*F720*E720),(F720*E720))</f>
        <v>2687.2700000000004</v>
      </c>
      <c r="I720" s="914"/>
    </row>
    <row r="721" spans="1:9" s="324" customFormat="1" ht="12.75" x14ac:dyDescent="0.2">
      <c r="A721" s="936"/>
      <c r="B721" s="244" t="s">
        <v>1558</v>
      </c>
      <c r="C721" s="62" t="s">
        <v>603</v>
      </c>
      <c r="D721" s="19" t="s">
        <v>590</v>
      </c>
      <c r="E721" s="194">
        <v>0.3</v>
      </c>
      <c r="F721" s="320">
        <f>VLOOKUP(B721,'BASE DE DATOS'!$A$5:$E$997,5,FALSE)</f>
        <v>5650</v>
      </c>
      <c r="G721" s="681">
        <v>0</v>
      </c>
      <c r="H721" s="252">
        <f>IF(G721&gt;0,(G721*F721*E721),(F721*E721))</f>
        <v>1695</v>
      </c>
      <c r="I721" s="914"/>
    </row>
    <row r="722" spans="1:9" s="324" customFormat="1" ht="12.75" x14ac:dyDescent="0.2">
      <c r="A722" s="936"/>
      <c r="B722" s="244" t="s">
        <v>1711</v>
      </c>
      <c r="C722" s="62" t="s">
        <v>632</v>
      </c>
      <c r="D722" s="19" t="s">
        <v>405</v>
      </c>
      <c r="E722" s="194">
        <v>1</v>
      </c>
      <c r="F722" s="320">
        <f>VLOOKUP(B722,'BASE DE DATOS'!$A$5:$E$997,5,FALSE)</f>
        <v>10991</v>
      </c>
      <c r="G722" s="681">
        <f>1/3</f>
        <v>0.33333333333333331</v>
      </c>
      <c r="H722" s="252">
        <f t="shared" si="53"/>
        <v>3663.6666666666665</v>
      </c>
      <c r="I722" s="914"/>
    </row>
    <row r="723" spans="1:9" s="324" customFormat="1" ht="12.75" x14ac:dyDescent="0.2">
      <c r="A723" s="936"/>
      <c r="B723" s="244" t="s">
        <v>1690</v>
      </c>
      <c r="C723" s="62" t="s">
        <v>2749</v>
      </c>
      <c r="D723" s="19" t="s">
        <v>405</v>
      </c>
      <c r="E723" s="194">
        <v>3.5</v>
      </c>
      <c r="F723" s="320">
        <f>VLOOKUP(B723,'BASE DE DATOS'!$A$5:$E$997,5,FALSE)</f>
        <v>1540</v>
      </c>
      <c r="G723" s="681">
        <f>1/2</f>
        <v>0.5</v>
      </c>
      <c r="H723" s="252">
        <f t="shared" si="53"/>
        <v>2695</v>
      </c>
      <c r="I723" s="914"/>
    </row>
    <row r="724" spans="1:9" s="324" customFormat="1" ht="14.25" x14ac:dyDescent="0.2">
      <c r="A724" s="948" t="s">
        <v>3252</v>
      </c>
      <c r="B724" s="244" t="s">
        <v>799</v>
      </c>
      <c r="C724" s="62" t="s">
        <v>3276</v>
      </c>
      <c r="D724" s="19" t="s">
        <v>285</v>
      </c>
      <c r="E724" s="194">
        <v>0.1</v>
      </c>
      <c r="F724" s="320">
        <f>CONSTRUCCION!F34</f>
        <v>482282</v>
      </c>
      <c r="G724" s="681">
        <v>1.05</v>
      </c>
      <c r="H724" s="252">
        <f>IF(G724&gt;0,(G724*F724*E724),(F724*E724))</f>
        <v>50639.610000000008</v>
      </c>
      <c r="I724" s="914"/>
    </row>
    <row r="725" spans="1:9" s="324" customFormat="1" ht="14.25" x14ac:dyDescent="0.2">
      <c r="A725" s="948"/>
      <c r="B725" s="244" t="s">
        <v>766</v>
      </c>
      <c r="C725" s="62" t="s">
        <v>133</v>
      </c>
      <c r="D725" s="19" t="s">
        <v>285</v>
      </c>
      <c r="E725" s="194">
        <v>0.1</v>
      </c>
      <c r="F725" s="320">
        <f>CONSTRUCCION!F472</f>
        <v>43205</v>
      </c>
      <c r="G725" s="681">
        <v>0</v>
      </c>
      <c r="H725" s="252">
        <f t="shared" si="53"/>
        <v>4320.5</v>
      </c>
      <c r="I725" s="914"/>
    </row>
    <row r="726" spans="1:9" s="27" customFormat="1" ht="14.25" x14ac:dyDescent="0.2">
      <c r="A726" s="948"/>
      <c r="B726" s="244" t="s">
        <v>788</v>
      </c>
      <c r="C726" s="62" t="s">
        <v>693</v>
      </c>
      <c r="D726" s="19" t="s">
        <v>285</v>
      </c>
      <c r="E726" s="194">
        <v>0.1</v>
      </c>
      <c r="F726" s="320">
        <f>CONSTRUCCION!F588</f>
        <v>70960</v>
      </c>
      <c r="G726" s="681">
        <v>0</v>
      </c>
      <c r="H726" s="252">
        <f t="shared" si="53"/>
        <v>7096</v>
      </c>
      <c r="I726" s="915"/>
    </row>
    <row r="727" spans="1:9" s="324" customFormat="1" ht="12.75" x14ac:dyDescent="0.2">
      <c r="A727" s="508" t="s">
        <v>2555</v>
      </c>
      <c r="B727" s="244" t="s">
        <v>587</v>
      </c>
      <c r="C727" s="62" t="s">
        <v>588</v>
      </c>
      <c r="D727" s="19" t="s">
        <v>585</v>
      </c>
      <c r="E727" s="194">
        <v>1</v>
      </c>
      <c r="F727" s="320">
        <f>VLOOKUP(B727,'BASE DE DATOS'!$A$5:$E$997,5,FALSE)</f>
        <v>514339</v>
      </c>
      <c r="G727" s="681">
        <f>1/12</f>
        <v>8.3333333333333329E-2</v>
      </c>
      <c r="H727" s="252">
        <f t="shared" si="53"/>
        <v>42861.583333333328</v>
      </c>
      <c r="I727" s="914"/>
    </row>
    <row r="728" spans="1:9" s="324" customFormat="1" ht="13.5" thickBot="1" x14ac:dyDescent="0.25">
      <c r="A728" s="504" t="s">
        <v>293</v>
      </c>
      <c r="B728" s="543" t="s">
        <v>269</v>
      </c>
      <c r="C728" s="169" t="s">
        <v>284</v>
      </c>
      <c r="D728" s="112" t="s">
        <v>586</v>
      </c>
      <c r="E728" s="201">
        <v>0.1</v>
      </c>
      <c r="F728" s="321">
        <f>+H727</f>
        <v>42861.583333333328</v>
      </c>
      <c r="G728" s="686">
        <v>0</v>
      </c>
      <c r="H728" s="255">
        <f t="shared" si="53"/>
        <v>4286.1583333333328</v>
      </c>
      <c r="I728" s="914"/>
    </row>
    <row r="729" spans="1:9" s="41" customFormat="1" ht="45" x14ac:dyDescent="0.2">
      <c r="A729" s="67" t="s">
        <v>1171</v>
      </c>
      <c r="B729" s="526"/>
      <c r="C729" s="325" t="s">
        <v>3559</v>
      </c>
      <c r="D729" s="326" t="s">
        <v>405</v>
      </c>
      <c r="E729" s="414"/>
      <c r="F729" s="357">
        <f>ROUND(SUM(H729:H740),0)</f>
        <v>182649</v>
      </c>
      <c r="G729" s="683"/>
      <c r="H729" s="330"/>
      <c r="I729" s="914"/>
    </row>
    <row r="730" spans="1:9" s="324" customFormat="1" ht="12.75" x14ac:dyDescent="0.2">
      <c r="A730" s="936" t="s">
        <v>382</v>
      </c>
      <c r="B730" s="244" t="s">
        <v>1264</v>
      </c>
      <c r="C730" s="62" t="s">
        <v>641</v>
      </c>
      <c r="D730" s="19" t="s">
        <v>642</v>
      </c>
      <c r="E730" s="194">
        <v>0.1</v>
      </c>
      <c r="F730" s="320">
        <f>VLOOKUP(B730,'BASE DE DATOS'!$A$5:$E$997,5,FALSE)</f>
        <v>10959</v>
      </c>
      <c r="G730" s="681">
        <v>1.05</v>
      </c>
      <c r="H730" s="252">
        <f>IF(G730&gt;0,(G730*F730*E730),(F730*E730))</f>
        <v>1150.6950000000002</v>
      </c>
      <c r="I730" s="914"/>
    </row>
    <row r="731" spans="1:9" s="324" customFormat="1" ht="12.75" x14ac:dyDescent="0.2">
      <c r="A731" s="936"/>
      <c r="B731" s="244" t="s">
        <v>1290</v>
      </c>
      <c r="C731" s="62" t="s">
        <v>2697</v>
      </c>
      <c r="D731" s="19" t="s">
        <v>406</v>
      </c>
      <c r="E731" s="194">
        <v>0.2</v>
      </c>
      <c r="F731" s="320">
        <f>VLOOKUP(B731,'BASE DE DATOS'!$A$5:$E$997,5,FALSE)</f>
        <v>13045</v>
      </c>
      <c r="G731" s="681">
        <v>1.03</v>
      </c>
      <c r="H731" s="252">
        <f>IF(G731&gt;0,(G731*F731*E731),(F731*E731))</f>
        <v>2687.2700000000004</v>
      </c>
      <c r="I731" s="914"/>
    </row>
    <row r="732" spans="1:9" s="324" customFormat="1" ht="12.75" x14ac:dyDescent="0.2">
      <c r="A732" s="936"/>
      <c r="B732" s="244" t="s">
        <v>1558</v>
      </c>
      <c r="C732" s="62" t="s">
        <v>603</v>
      </c>
      <c r="D732" s="19" t="s">
        <v>590</v>
      </c>
      <c r="E732" s="194">
        <v>0.3</v>
      </c>
      <c r="F732" s="320">
        <f>VLOOKUP(B732,'BASE DE DATOS'!$A$5:$E$997,5,FALSE)</f>
        <v>5650</v>
      </c>
      <c r="G732" s="681">
        <v>0</v>
      </c>
      <c r="H732" s="252">
        <f>IF(G732&gt;0,(G732*F732*E732),(F732*E732))</f>
        <v>1695</v>
      </c>
      <c r="I732" s="914"/>
    </row>
    <row r="733" spans="1:9" s="324" customFormat="1" ht="15" customHeight="1" x14ac:dyDescent="0.2">
      <c r="A733" s="936"/>
      <c r="B733" s="244" t="s">
        <v>1711</v>
      </c>
      <c r="C733" s="62" t="s">
        <v>632</v>
      </c>
      <c r="D733" s="19" t="s">
        <v>405</v>
      </c>
      <c r="E733" s="194">
        <v>1</v>
      </c>
      <c r="F733" s="320">
        <f>VLOOKUP(B733,'BASE DE DATOS'!$A$5:$E$997,5,FALSE)</f>
        <v>10991</v>
      </c>
      <c r="G733" s="681">
        <f>1/3</f>
        <v>0.33333333333333331</v>
      </c>
      <c r="H733" s="252">
        <f t="shared" si="53"/>
        <v>3663.6666666666665</v>
      </c>
      <c r="I733" s="914"/>
    </row>
    <row r="734" spans="1:9" s="324" customFormat="1" ht="12.75" x14ac:dyDescent="0.2">
      <c r="A734" s="936"/>
      <c r="B734" s="244" t="s">
        <v>1690</v>
      </c>
      <c r="C734" s="62" t="s">
        <v>2749</v>
      </c>
      <c r="D734" s="19" t="s">
        <v>405</v>
      </c>
      <c r="E734" s="194">
        <v>3.5</v>
      </c>
      <c r="F734" s="320">
        <f>VLOOKUP(B734,'BASE DE DATOS'!$A$5:$E$997,5,FALSE)</f>
        <v>1540</v>
      </c>
      <c r="G734" s="681">
        <f>1/2</f>
        <v>0.5</v>
      </c>
      <c r="H734" s="252">
        <f t="shared" si="53"/>
        <v>2695</v>
      </c>
      <c r="I734" s="914"/>
    </row>
    <row r="735" spans="1:9" s="324" customFormat="1" ht="14.25" x14ac:dyDescent="0.2">
      <c r="A735" s="948" t="s">
        <v>3252</v>
      </c>
      <c r="B735" s="244" t="s">
        <v>799</v>
      </c>
      <c r="C735" s="62" t="s">
        <v>3276</v>
      </c>
      <c r="D735" s="19" t="s">
        <v>285</v>
      </c>
      <c r="E735" s="194">
        <v>0.113</v>
      </c>
      <c r="F735" s="320">
        <f>CONSTRUCCION!F34</f>
        <v>482282</v>
      </c>
      <c r="G735" s="681">
        <v>1.05</v>
      </c>
      <c r="H735" s="252">
        <f>IF(G735&gt;0,(G735*F735*E735),(F735*E735))</f>
        <v>57222.759300000005</v>
      </c>
      <c r="I735" s="914"/>
    </row>
    <row r="736" spans="1:9" s="324" customFormat="1" ht="12.75" x14ac:dyDescent="0.2">
      <c r="A736" s="948"/>
      <c r="B736" s="244" t="s">
        <v>814</v>
      </c>
      <c r="C736" s="62" t="s">
        <v>2018</v>
      </c>
      <c r="D736" s="19" t="s">
        <v>406</v>
      </c>
      <c r="E736" s="194">
        <v>5.68</v>
      </c>
      <c r="F736" s="320">
        <f>CONSTRUCCION!F118</f>
        <v>7440</v>
      </c>
      <c r="G736" s="681">
        <v>1</v>
      </c>
      <c r="H736" s="252">
        <f t="shared" si="53"/>
        <v>42259.199999999997</v>
      </c>
      <c r="I736" s="914"/>
    </row>
    <row r="737" spans="1:9" s="324" customFormat="1" ht="14.25" x14ac:dyDescent="0.2">
      <c r="A737" s="948"/>
      <c r="B737" s="244" t="s">
        <v>766</v>
      </c>
      <c r="C737" s="62" t="s">
        <v>133</v>
      </c>
      <c r="D737" s="19" t="s">
        <v>285</v>
      </c>
      <c r="E737" s="194">
        <v>0.29499999999999998</v>
      </c>
      <c r="F737" s="320">
        <f>CONSTRUCCION!F472</f>
        <v>43205</v>
      </c>
      <c r="G737" s="681">
        <v>0</v>
      </c>
      <c r="H737" s="252">
        <f t="shared" si="53"/>
        <v>12745.474999999999</v>
      </c>
      <c r="I737" s="914"/>
    </row>
    <row r="738" spans="1:9" s="27" customFormat="1" ht="14.25" x14ac:dyDescent="0.2">
      <c r="A738" s="948"/>
      <c r="B738" s="244" t="s">
        <v>788</v>
      </c>
      <c r="C738" s="62" t="s">
        <v>693</v>
      </c>
      <c r="D738" s="19" t="s">
        <v>285</v>
      </c>
      <c r="E738" s="194">
        <v>0.1</v>
      </c>
      <c r="F738" s="320">
        <f>CONSTRUCCION!F588</f>
        <v>70960</v>
      </c>
      <c r="G738" s="681">
        <v>0</v>
      </c>
      <c r="H738" s="252">
        <f t="shared" si="53"/>
        <v>7096</v>
      </c>
      <c r="I738" s="915"/>
    </row>
    <row r="739" spans="1:9" s="324" customFormat="1" ht="12.75" x14ac:dyDescent="0.2">
      <c r="A739" s="508" t="s">
        <v>2555</v>
      </c>
      <c r="B739" s="244" t="s">
        <v>587</v>
      </c>
      <c r="C739" s="62" t="s">
        <v>588</v>
      </c>
      <c r="D739" s="19" t="s">
        <v>585</v>
      </c>
      <c r="E739" s="194">
        <v>1</v>
      </c>
      <c r="F739" s="320">
        <f>VLOOKUP(B739,'BASE DE DATOS'!$A$5:$E$997,5,FALSE)</f>
        <v>514339</v>
      </c>
      <c r="G739" s="681">
        <f>1/11</f>
        <v>9.0909090909090912E-2</v>
      </c>
      <c r="H739" s="252">
        <f t="shared" si="53"/>
        <v>46758.090909090912</v>
      </c>
      <c r="I739" s="914"/>
    </row>
    <row r="740" spans="1:9" s="324" customFormat="1" ht="13.5" thickBot="1" x14ac:dyDescent="0.25">
      <c r="A740" s="504" t="s">
        <v>293</v>
      </c>
      <c r="B740" s="543" t="s">
        <v>269</v>
      </c>
      <c r="C740" s="169" t="s">
        <v>284</v>
      </c>
      <c r="D740" s="112" t="s">
        <v>586</v>
      </c>
      <c r="E740" s="201">
        <v>0.1</v>
      </c>
      <c r="F740" s="321">
        <f>+H739</f>
        <v>46758.090909090912</v>
      </c>
      <c r="G740" s="686">
        <v>0</v>
      </c>
      <c r="H740" s="255">
        <f t="shared" si="53"/>
        <v>4675.8090909090915</v>
      </c>
      <c r="I740" s="914"/>
    </row>
    <row r="741" spans="1:9" s="41" customFormat="1" ht="90" x14ac:dyDescent="0.2">
      <c r="A741" s="67" t="s">
        <v>1172</v>
      </c>
      <c r="B741" s="526"/>
      <c r="C741" s="325" t="s">
        <v>3736</v>
      </c>
      <c r="D741" s="326" t="s">
        <v>405</v>
      </c>
      <c r="E741" s="414"/>
      <c r="F741" s="357">
        <f>ROUND(SUM(H741:H755),0)</f>
        <v>228247</v>
      </c>
      <c r="G741" s="683"/>
      <c r="H741" s="330"/>
      <c r="I741" s="914"/>
    </row>
    <row r="742" spans="1:9" s="324" customFormat="1" ht="12.75" x14ac:dyDescent="0.2">
      <c r="A742" s="936" t="s">
        <v>382</v>
      </c>
      <c r="B742" s="244" t="s">
        <v>1264</v>
      </c>
      <c r="C742" s="62" t="s">
        <v>641</v>
      </c>
      <c r="D742" s="19" t="s">
        <v>642</v>
      </c>
      <c r="E742" s="194">
        <v>0.1</v>
      </c>
      <c r="F742" s="320">
        <f>VLOOKUP(B742,'BASE DE DATOS'!$A$5:$E$997,5,FALSE)</f>
        <v>10959</v>
      </c>
      <c r="G742" s="681">
        <v>1.05</v>
      </c>
      <c r="H742" s="252">
        <f>IF(G742&gt;0,(G742*F742*E742),(F742*E742))</f>
        <v>1150.6950000000002</v>
      </c>
      <c r="I742" s="914"/>
    </row>
    <row r="743" spans="1:9" s="324" customFormat="1" ht="12.75" x14ac:dyDescent="0.2">
      <c r="A743" s="936"/>
      <c r="B743" s="244" t="s">
        <v>1290</v>
      </c>
      <c r="C743" s="62" t="s">
        <v>2697</v>
      </c>
      <c r="D743" s="19" t="s">
        <v>406</v>
      </c>
      <c r="E743" s="194">
        <v>0.2</v>
      </c>
      <c r="F743" s="320">
        <f>VLOOKUP(B743,'BASE DE DATOS'!$A$5:$E$997,5,FALSE)</f>
        <v>13045</v>
      </c>
      <c r="G743" s="681">
        <v>1.03</v>
      </c>
      <c r="H743" s="252">
        <f>IF(G743&gt;0,(G743*F743*E743),(F743*E743))</f>
        <v>2687.2700000000004</v>
      </c>
      <c r="I743" s="914"/>
    </row>
    <row r="744" spans="1:9" s="324" customFormat="1" ht="12.75" x14ac:dyDescent="0.2">
      <c r="A744" s="936"/>
      <c r="B744" s="244" t="s">
        <v>1558</v>
      </c>
      <c r="C744" s="62" t="s">
        <v>603</v>
      </c>
      <c r="D744" s="19" t="s">
        <v>590</v>
      </c>
      <c r="E744" s="194">
        <v>0.3</v>
      </c>
      <c r="F744" s="320">
        <f>VLOOKUP(B744,'BASE DE DATOS'!$A$5:$E$997,5,FALSE)</f>
        <v>5650</v>
      </c>
      <c r="G744" s="681">
        <v>0</v>
      </c>
      <c r="H744" s="252">
        <f>IF(G744&gt;0,(G744*F744*E744),(F744*E744))</f>
        <v>1695</v>
      </c>
      <c r="I744" s="914"/>
    </row>
    <row r="745" spans="1:9" s="324" customFormat="1" ht="15" customHeight="1" x14ac:dyDescent="0.2">
      <c r="A745" s="936"/>
      <c r="B745" s="244" t="s">
        <v>1711</v>
      </c>
      <c r="C745" s="62" t="s">
        <v>632</v>
      </c>
      <c r="D745" s="19" t="s">
        <v>405</v>
      </c>
      <c r="E745" s="194">
        <v>1</v>
      </c>
      <c r="F745" s="320">
        <f>VLOOKUP(B745,'BASE DE DATOS'!$A$5:$E$997,5,FALSE)</f>
        <v>10991</v>
      </c>
      <c r="G745" s="681">
        <f>1/3</f>
        <v>0.33333333333333331</v>
      </c>
      <c r="H745" s="252">
        <f t="shared" ref="H745:H755" si="54">IF(G745&gt;0,(G745*F745*E745),(F745*E745))</f>
        <v>3663.6666666666665</v>
      </c>
      <c r="I745" s="914"/>
    </row>
    <row r="746" spans="1:9" s="102" customFormat="1" ht="12.75" x14ac:dyDescent="0.2">
      <c r="A746" s="936"/>
      <c r="B746" s="244" t="s">
        <v>1690</v>
      </c>
      <c r="C746" s="62" t="s">
        <v>2749</v>
      </c>
      <c r="D746" s="19" t="s">
        <v>405</v>
      </c>
      <c r="E746" s="194">
        <v>3.5</v>
      </c>
      <c r="F746" s="320">
        <f>VLOOKUP(B746,'BASE DE DATOS'!$A$5:$E$997,5,FALSE)</f>
        <v>1540</v>
      </c>
      <c r="G746" s="681">
        <f>1/2</f>
        <v>0.5</v>
      </c>
      <c r="H746" s="252">
        <f t="shared" si="54"/>
        <v>2695</v>
      </c>
      <c r="I746" s="917"/>
    </row>
    <row r="747" spans="1:9" s="324" customFormat="1" ht="14.25" x14ac:dyDescent="0.2">
      <c r="A747" s="948" t="s">
        <v>3252</v>
      </c>
      <c r="B747" s="244" t="s">
        <v>799</v>
      </c>
      <c r="C747" s="62" t="s">
        <v>3276</v>
      </c>
      <c r="D747" s="19" t="s">
        <v>285</v>
      </c>
      <c r="E747" s="194">
        <v>0.19</v>
      </c>
      <c r="F747" s="320">
        <f>CONSTRUCCION!F34</f>
        <v>482282</v>
      </c>
      <c r="G747" s="681">
        <v>1.05</v>
      </c>
      <c r="H747" s="252">
        <f>IF(G747&gt;0,(G747*F747*E747),(F747*E747))</f>
        <v>96215.259000000005</v>
      </c>
      <c r="I747" s="914"/>
    </row>
    <row r="748" spans="1:9" s="324" customFormat="1" ht="12.75" x14ac:dyDescent="0.2">
      <c r="A748" s="948"/>
      <c r="B748" s="244" t="s">
        <v>814</v>
      </c>
      <c r="C748" s="77" t="s">
        <v>2018</v>
      </c>
      <c r="D748" s="19" t="s">
        <v>406</v>
      </c>
      <c r="E748" s="194">
        <v>4.8029999999999999</v>
      </c>
      <c r="F748" s="320">
        <f>CONSTRUCCION!F118</f>
        <v>7440</v>
      </c>
      <c r="G748" s="681">
        <v>0.02</v>
      </c>
      <c r="H748" s="252">
        <f>IF(G748&gt;0,(G748*F748*E748),(F748*E748))</f>
        <v>714.68640000000005</v>
      </c>
      <c r="I748" s="914"/>
    </row>
    <row r="749" spans="1:9" s="324" customFormat="1" ht="14.25" x14ac:dyDescent="0.2">
      <c r="A749" s="948"/>
      <c r="B749" s="244" t="s">
        <v>766</v>
      </c>
      <c r="C749" s="62" t="s">
        <v>133</v>
      </c>
      <c r="D749" s="19" t="s">
        <v>285</v>
      </c>
      <c r="E749" s="194">
        <v>0.56999999999999995</v>
      </c>
      <c r="F749" s="320">
        <f>CONSTRUCCION!F472</f>
        <v>43205</v>
      </c>
      <c r="G749" s="681">
        <v>0</v>
      </c>
      <c r="H749" s="252">
        <f t="shared" si="54"/>
        <v>24626.85</v>
      </c>
      <c r="I749" s="914"/>
    </row>
    <row r="750" spans="1:9" s="324" customFormat="1" ht="14.25" x14ac:dyDescent="0.2">
      <c r="A750" s="948"/>
      <c r="B750" s="244" t="s">
        <v>1125</v>
      </c>
      <c r="C750" s="62" t="s">
        <v>3590</v>
      </c>
      <c r="D750" s="19" t="s">
        <v>285</v>
      </c>
      <c r="E750" s="194">
        <v>0.13100000000000001</v>
      </c>
      <c r="F750" s="320">
        <f>F271</f>
        <v>185743</v>
      </c>
      <c r="G750" s="681">
        <v>1.03</v>
      </c>
      <c r="H750" s="252">
        <f t="shared" si="54"/>
        <v>25062.302990000004</v>
      </c>
      <c r="I750" s="914"/>
    </row>
    <row r="751" spans="1:9" s="324" customFormat="1" ht="12.75" x14ac:dyDescent="0.2">
      <c r="A751" s="948"/>
      <c r="B751" s="244" t="s">
        <v>1099</v>
      </c>
      <c r="C751" s="77" t="s">
        <v>54</v>
      </c>
      <c r="D751" s="19" t="s">
        <v>405</v>
      </c>
      <c r="E751" s="194">
        <f>(0.522+0.5)/2.8</f>
        <v>0.36500000000000005</v>
      </c>
      <c r="F751" s="320">
        <f>F60</f>
        <v>4683</v>
      </c>
      <c r="G751" s="681">
        <v>0</v>
      </c>
      <c r="H751" s="252">
        <f t="shared" si="54"/>
        <v>1709.2950000000003</v>
      </c>
      <c r="I751" s="914"/>
    </row>
    <row r="752" spans="1:9" s="27" customFormat="1" ht="14.25" x14ac:dyDescent="0.2">
      <c r="A752" s="948"/>
      <c r="B752" s="244" t="s">
        <v>788</v>
      </c>
      <c r="C752" s="62" t="s">
        <v>3541</v>
      </c>
      <c r="D752" s="19" t="s">
        <v>285</v>
      </c>
      <c r="E752" s="194">
        <f>0.4*0.35/2</f>
        <v>6.9999999999999993E-2</v>
      </c>
      <c r="F752" s="320">
        <f>CONSTRUCCION!F567</f>
        <v>39349</v>
      </c>
      <c r="G752" s="681">
        <v>0</v>
      </c>
      <c r="H752" s="252">
        <f t="shared" si="54"/>
        <v>2754.43</v>
      </c>
      <c r="I752" s="915"/>
    </row>
    <row r="753" spans="1:9" s="324" customFormat="1" ht="12.75" x14ac:dyDescent="0.2">
      <c r="A753" s="948"/>
      <c r="B753" s="244" t="s">
        <v>1145</v>
      </c>
      <c r="C753" s="77" t="s">
        <v>35</v>
      </c>
      <c r="D753" s="19" t="s">
        <v>405</v>
      </c>
      <c r="E753" s="194">
        <f>(0.522+0.5)/2.8</f>
        <v>0.36500000000000005</v>
      </c>
      <c r="F753" s="320">
        <f>F496</f>
        <v>6599</v>
      </c>
      <c r="G753" s="681">
        <v>0</v>
      </c>
      <c r="H753" s="252">
        <f t="shared" si="54"/>
        <v>2408.6350000000002</v>
      </c>
      <c r="I753" s="914"/>
    </row>
    <row r="754" spans="1:9" s="324" customFormat="1" ht="12.75" x14ac:dyDescent="0.2">
      <c r="A754" s="508" t="s">
        <v>2555</v>
      </c>
      <c r="B754" s="244" t="s">
        <v>587</v>
      </c>
      <c r="C754" s="62" t="s">
        <v>588</v>
      </c>
      <c r="D754" s="19" t="s">
        <v>585</v>
      </c>
      <c r="E754" s="194">
        <v>1</v>
      </c>
      <c r="F754" s="320">
        <f>VLOOKUP(B754,'BASE DE DATOS'!$A$5:$E$997,5,FALSE)</f>
        <v>514339</v>
      </c>
      <c r="G754" s="681">
        <f>1/9</f>
        <v>0.1111111111111111</v>
      </c>
      <c r="H754" s="252">
        <f t="shared" si="54"/>
        <v>57148.777777777774</v>
      </c>
      <c r="I754" s="914"/>
    </row>
    <row r="755" spans="1:9" s="324" customFormat="1" ht="13.5" thickBot="1" x14ac:dyDescent="0.25">
      <c r="A755" s="504" t="s">
        <v>293</v>
      </c>
      <c r="B755" s="543" t="s">
        <v>269</v>
      </c>
      <c r="C755" s="169" t="s">
        <v>284</v>
      </c>
      <c r="D755" s="112" t="s">
        <v>586</v>
      </c>
      <c r="E755" s="201">
        <v>0.1</v>
      </c>
      <c r="F755" s="321">
        <f>+H754</f>
        <v>57148.777777777774</v>
      </c>
      <c r="G755" s="686">
        <v>0</v>
      </c>
      <c r="H755" s="255">
        <f t="shared" si="54"/>
        <v>5714.8777777777777</v>
      </c>
      <c r="I755" s="914"/>
    </row>
    <row r="756" spans="1:9" s="41" customFormat="1" ht="30" x14ac:dyDescent="0.2">
      <c r="A756" s="67" t="s">
        <v>1173</v>
      </c>
      <c r="B756" s="526"/>
      <c r="C756" s="325" t="s">
        <v>3560</v>
      </c>
      <c r="D756" s="326" t="s">
        <v>405</v>
      </c>
      <c r="E756" s="414"/>
      <c r="F756" s="357">
        <f>ROUND(SUM(H756:H766),0)</f>
        <v>153370</v>
      </c>
      <c r="G756" s="683"/>
      <c r="H756" s="330"/>
      <c r="I756" s="914"/>
    </row>
    <row r="757" spans="1:9" s="324" customFormat="1" ht="12.75" x14ac:dyDescent="0.2">
      <c r="A757" s="939" t="s">
        <v>295</v>
      </c>
      <c r="B757" s="244" t="s">
        <v>1264</v>
      </c>
      <c r="C757" s="62" t="s">
        <v>641</v>
      </c>
      <c r="D757" s="19" t="s">
        <v>642</v>
      </c>
      <c r="E757" s="194">
        <v>0.3</v>
      </c>
      <c r="F757" s="320">
        <f>VLOOKUP(B757,'BASE DE DATOS'!$A$5:$E$997,5,FALSE)</f>
        <v>10959</v>
      </c>
      <c r="G757" s="681">
        <v>1.05</v>
      </c>
      <c r="H757" s="252">
        <f>IF(G757&gt;0,(G757*F757*E757),(F757*E757))</f>
        <v>3452.085</v>
      </c>
      <c r="I757" s="914"/>
    </row>
    <row r="758" spans="1:9" s="324" customFormat="1" ht="12.75" x14ac:dyDescent="0.2">
      <c r="A758" s="939"/>
      <c r="B758" s="244" t="s">
        <v>1282</v>
      </c>
      <c r="C758" s="62" t="s">
        <v>604</v>
      </c>
      <c r="D758" s="19" t="s">
        <v>406</v>
      </c>
      <c r="E758" s="194">
        <v>1</v>
      </c>
      <c r="F758" s="320">
        <f>VLOOKUP(B758,'BASE DE DATOS'!$A$5:$E$997,5,FALSE)</f>
        <v>7790</v>
      </c>
      <c r="G758" s="681">
        <v>0.12</v>
      </c>
      <c r="H758" s="252">
        <f>IF(G758&gt;0,(G758*F758*E758),(F758*E758))</f>
        <v>934.8</v>
      </c>
      <c r="I758" s="914"/>
    </row>
    <row r="759" spans="1:9" s="102" customFormat="1" ht="12.75" x14ac:dyDescent="0.2">
      <c r="A759" s="939"/>
      <c r="B759" s="244" t="s">
        <v>1290</v>
      </c>
      <c r="C759" s="62" t="s">
        <v>2697</v>
      </c>
      <c r="D759" s="19" t="s">
        <v>406</v>
      </c>
      <c r="E759" s="194">
        <v>0.2</v>
      </c>
      <c r="F759" s="320">
        <f>VLOOKUP(B759,'BASE DE DATOS'!$A$5:$E$997,5,FALSE)</f>
        <v>13045</v>
      </c>
      <c r="G759" s="681">
        <v>1.03</v>
      </c>
      <c r="H759" s="252">
        <f>IF(G759&gt;0,(G759*F759*E759),(F759*E759))</f>
        <v>2687.2700000000004</v>
      </c>
      <c r="I759" s="917"/>
    </row>
    <row r="760" spans="1:9" s="324" customFormat="1" ht="12.75" x14ac:dyDescent="0.2">
      <c r="A760" s="939"/>
      <c r="B760" s="244" t="s">
        <v>1558</v>
      </c>
      <c r="C760" s="62" t="s">
        <v>603</v>
      </c>
      <c r="D760" s="19" t="s">
        <v>590</v>
      </c>
      <c r="E760" s="194">
        <v>0.25</v>
      </c>
      <c r="F760" s="320">
        <f>VLOOKUP(B760,'BASE DE DATOS'!$A$5:$E$997,5,FALSE)</f>
        <v>5650</v>
      </c>
      <c r="G760" s="681">
        <v>0</v>
      </c>
      <c r="H760" s="252">
        <f>IF(G760&gt;0,(G760*F760*E760),(F760*E760))</f>
        <v>1412.5</v>
      </c>
      <c r="I760" s="914"/>
    </row>
    <row r="761" spans="1:9" s="324" customFormat="1" ht="13.15" customHeight="1" x14ac:dyDescent="0.2">
      <c r="A761" s="939"/>
      <c r="B761" s="244" t="s">
        <v>1711</v>
      </c>
      <c r="C761" s="62" t="s">
        <v>632</v>
      </c>
      <c r="D761" s="19" t="s">
        <v>405</v>
      </c>
      <c r="E761" s="194">
        <v>4</v>
      </c>
      <c r="F761" s="320">
        <f>VLOOKUP(B761,'BASE DE DATOS'!$A$5:$E$997,5,FALSE)</f>
        <v>10991</v>
      </c>
      <c r="G761" s="681">
        <f>1/2</f>
        <v>0.5</v>
      </c>
      <c r="H761" s="252">
        <f t="shared" ref="H761:H766" si="55">IF(G761&gt;0,(G761*F761*E761),(F761*E761))</f>
        <v>21982</v>
      </c>
      <c r="I761" s="914"/>
    </row>
    <row r="762" spans="1:9" s="324" customFormat="1" ht="12.75" x14ac:dyDescent="0.2">
      <c r="A762" s="939"/>
      <c r="B762" s="244" t="s">
        <v>1690</v>
      </c>
      <c r="C762" s="62" t="s">
        <v>2749</v>
      </c>
      <c r="D762" s="19" t="s">
        <v>405</v>
      </c>
      <c r="E762" s="194">
        <v>3.3</v>
      </c>
      <c r="F762" s="320">
        <f>VLOOKUP(B762,'BASE DE DATOS'!$A$5:$E$997,5,FALSE)</f>
        <v>1540</v>
      </c>
      <c r="G762" s="681">
        <f>1/2</f>
        <v>0.5</v>
      </c>
      <c r="H762" s="252">
        <f t="shared" si="55"/>
        <v>2541</v>
      </c>
      <c r="I762" s="914"/>
    </row>
    <row r="763" spans="1:9" s="324" customFormat="1" ht="14.25" x14ac:dyDescent="0.2">
      <c r="A763" s="505" t="s">
        <v>3252</v>
      </c>
      <c r="B763" s="244" t="s">
        <v>799</v>
      </c>
      <c r="C763" s="62" t="s">
        <v>3276</v>
      </c>
      <c r="D763" s="19" t="s">
        <v>285</v>
      </c>
      <c r="E763" s="194">
        <v>0.12</v>
      </c>
      <c r="F763" s="320">
        <f>CONSTRUCCION!F34</f>
        <v>482282</v>
      </c>
      <c r="G763" s="681">
        <v>1.05</v>
      </c>
      <c r="H763" s="252">
        <f t="shared" si="55"/>
        <v>60767.531999999999</v>
      </c>
      <c r="I763" s="914"/>
    </row>
    <row r="764" spans="1:9" s="324" customFormat="1" ht="12.75" x14ac:dyDescent="0.2">
      <c r="A764" s="979" t="s">
        <v>2555</v>
      </c>
      <c r="B764" s="244" t="s">
        <v>644</v>
      </c>
      <c r="C764" s="62" t="s">
        <v>645</v>
      </c>
      <c r="D764" s="19" t="s">
        <v>585</v>
      </c>
      <c r="E764" s="194">
        <v>1</v>
      </c>
      <c r="F764" s="320">
        <f>VLOOKUP(B764,'BASE DE DATOS'!$A$5:$E$997,5,FALSE)</f>
        <v>248302</v>
      </c>
      <c r="G764" s="681">
        <f>1/5</f>
        <v>0.2</v>
      </c>
      <c r="H764" s="252">
        <f>IF(G764&gt;0,(G764*F764*E764),(F764*E764))</f>
        <v>49660.4</v>
      </c>
      <c r="I764" s="914"/>
    </row>
    <row r="765" spans="1:9" s="324" customFormat="1" ht="12.75" x14ac:dyDescent="0.2">
      <c r="A765" s="979"/>
      <c r="B765" s="244" t="s">
        <v>266</v>
      </c>
      <c r="C765" s="62" t="s">
        <v>283</v>
      </c>
      <c r="D765" s="19" t="s">
        <v>586</v>
      </c>
      <c r="E765" s="194">
        <v>0.1</v>
      </c>
      <c r="F765" s="320">
        <f>+H764</f>
        <v>49660.4</v>
      </c>
      <c r="G765" s="681">
        <v>0</v>
      </c>
      <c r="H765" s="252">
        <f t="shared" si="55"/>
        <v>4966.0400000000009</v>
      </c>
      <c r="I765" s="914"/>
    </row>
    <row r="766" spans="1:9" s="324" customFormat="1" ht="13.5" thickBot="1" x14ac:dyDescent="0.25">
      <c r="A766" s="504" t="s">
        <v>293</v>
      </c>
      <c r="B766" s="543" t="s">
        <v>269</v>
      </c>
      <c r="C766" s="169" t="s">
        <v>284</v>
      </c>
      <c r="D766" s="112" t="s">
        <v>586</v>
      </c>
      <c r="E766" s="201">
        <v>0.1</v>
      </c>
      <c r="F766" s="321">
        <f>+H764</f>
        <v>49660.4</v>
      </c>
      <c r="G766" s="686">
        <v>0</v>
      </c>
      <c r="H766" s="255">
        <f t="shared" si="55"/>
        <v>4966.0400000000009</v>
      </c>
      <c r="I766" s="914"/>
    </row>
    <row r="767" spans="1:9" s="41" customFormat="1" ht="30" x14ac:dyDescent="0.2">
      <c r="A767" s="67" t="s">
        <v>1174</v>
      </c>
      <c r="B767" s="526"/>
      <c r="C767" s="325" t="s">
        <v>3561</v>
      </c>
      <c r="D767" s="326" t="s">
        <v>3225</v>
      </c>
      <c r="E767" s="414"/>
      <c r="F767" s="357">
        <f>ROUND(SUM(H767:H778),0)</f>
        <v>1516240</v>
      </c>
      <c r="G767" s="683"/>
      <c r="H767" s="330"/>
      <c r="I767" s="914"/>
    </row>
    <row r="768" spans="1:9" s="324" customFormat="1" ht="12.75" x14ac:dyDescent="0.2">
      <c r="A768" s="939" t="s">
        <v>295</v>
      </c>
      <c r="B768" s="244" t="s">
        <v>1264</v>
      </c>
      <c r="C768" s="62" t="s">
        <v>641</v>
      </c>
      <c r="D768" s="19" t="s">
        <v>642</v>
      </c>
      <c r="E768" s="194">
        <v>1</v>
      </c>
      <c r="F768" s="320">
        <f>VLOOKUP(B768,'BASE DE DATOS'!$A$5:$E$997,5,FALSE)</f>
        <v>10959</v>
      </c>
      <c r="G768" s="681">
        <v>1.05</v>
      </c>
      <c r="H768" s="252">
        <f>IF(G768&gt;0,(G768*F768*E768),(F768*E768))</f>
        <v>11506.95</v>
      </c>
      <c r="I768" s="914"/>
    </row>
    <row r="769" spans="1:9" s="324" customFormat="1" ht="12.75" x14ac:dyDescent="0.2">
      <c r="A769" s="939"/>
      <c r="B769" s="244" t="s">
        <v>1282</v>
      </c>
      <c r="C769" s="62" t="s">
        <v>604</v>
      </c>
      <c r="D769" s="19" t="s">
        <v>406</v>
      </c>
      <c r="E769" s="194">
        <v>1</v>
      </c>
      <c r="F769" s="320">
        <f>VLOOKUP(B769,'BASE DE DATOS'!$A$5:$E$997,5,FALSE)</f>
        <v>7790</v>
      </c>
      <c r="G769" s="681">
        <v>0</v>
      </c>
      <c r="H769" s="252">
        <f>IF(G769&gt;0,(G769*F769*E769),(F769*E769))</f>
        <v>7790</v>
      </c>
      <c r="I769" s="914"/>
    </row>
    <row r="770" spans="1:9" s="102" customFormat="1" ht="12.75" x14ac:dyDescent="0.2">
      <c r="A770" s="939"/>
      <c r="B770" s="244" t="s">
        <v>1290</v>
      </c>
      <c r="C770" s="62" t="s">
        <v>2697</v>
      </c>
      <c r="D770" s="19" t="s">
        <v>406</v>
      </c>
      <c r="E770" s="194">
        <v>2</v>
      </c>
      <c r="F770" s="320">
        <f>VLOOKUP(B770,'BASE DE DATOS'!$A$5:$E$997,5,FALSE)</f>
        <v>13045</v>
      </c>
      <c r="G770" s="681">
        <v>1.03</v>
      </c>
      <c r="H770" s="252">
        <f>IF(G770&gt;0,(G770*F770*E770),(F770*E770))</f>
        <v>26872.7</v>
      </c>
      <c r="I770" s="917"/>
    </row>
    <row r="771" spans="1:9" s="324" customFormat="1" ht="12.75" x14ac:dyDescent="0.2">
      <c r="A771" s="939"/>
      <c r="B771" s="244" t="s">
        <v>1367</v>
      </c>
      <c r="C771" s="62" t="s">
        <v>592</v>
      </c>
      <c r="D771" s="19" t="s">
        <v>405</v>
      </c>
      <c r="E771" s="194">
        <v>26</v>
      </c>
      <c r="F771" s="320">
        <f>VLOOKUP(B771,'BASE DE DATOS'!$A$5:$E$997,5,FALSE)</f>
        <v>6534</v>
      </c>
      <c r="G771" s="681">
        <f>1/3</f>
        <v>0.33333333333333331</v>
      </c>
      <c r="H771" s="252">
        <f t="shared" ref="H771:H778" si="56">IF(G771&gt;0,(G771*F771*E771),(F771*E771))</f>
        <v>56628</v>
      </c>
      <c r="I771" s="914"/>
    </row>
    <row r="772" spans="1:9" s="324" customFormat="1" ht="12.75" x14ac:dyDescent="0.2">
      <c r="A772" s="939"/>
      <c r="B772" s="244" t="s">
        <v>1418</v>
      </c>
      <c r="C772" s="62" t="s">
        <v>591</v>
      </c>
      <c r="D772" s="19" t="s">
        <v>411</v>
      </c>
      <c r="E772" s="194">
        <v>4</v>
      </c>
      <c r="F772" s="320">
        <f>VLOOKUP(B772,'BASE DE DATOS'!$A$5:$E$997,5,FALSE)</f>
        <v>5250</v>
      </c>
      <c r="G772" s="681">
        <f>1/3</f>
        <v>0.33333333333333331</v>
      </c>
      <c r="H772" s="252">
        <f t="shared" si="56"/>
        <v>7000</v>
      </c>
      <c r="I772" s="914"/>
    </row>
    <row r="773" spans="1:9" s="324" customFormat="1" ht="12.75" x14ac:dyDescent="0.2">
      <c r="A773" s="939"/>
      <c r="B773" s="244" t="s">
        <v>1558</v>
      </c>
      <c r="C773" s="62" t="s">
        <v>603</v>
      </c>
      <c r="D773" s="19" t="s">
        <v>590</v>
      </c>
      <c r="E773" s="194">
        <v>2</v>
      </c>
      <c r="F773" s="320">
        <f>VLOOKUP(B773,'BASE DE DATOS'!$A$5:$E$997,5,FALSE)</f>
        <v>5650</v>
      </c>
      <c r="G773" s="681">
        <v>0</v>
      </c>
      <c r="H773" s="252">
        <f t="shared" si="56"/>
        <v>11300</v>
      </c>
      <c r="I773" s="914"/>
    </row>
    <row r="774" spans="1:9" s="324" customFormat="1" ht="13.15" customHeight="1" x14ac:dyDescent="0.2">
      <c r="A774" s="939"/>
      <c r="B774" s="244" t="s">
        <v>1711</v>
      </c>
      <c r="C774" s="62" t="s">
        <v>632</v>
      </c>
      <c r="D774" s="19" t="s">
        <v>405</v>
      </c>
      <c r="E774" s="194">
        <v>32</v>
      </c>
      <c r="F774" s="320">
        <f>VLOOKUP(B774,'BASE DE DATOS'!$A$5:$E$997,5,FALSE)</f>
        <v>10991</v>
      </c>
      <c r="G774" s="681">
        <f>1/3</f>
        <v>0.33333333333333331</v>
      </c>
      <c r="H774" s="252">
        <f>IF(G774&gt;0,(G774*F774*E774),(F774*E774))</f>
        <v>117237.33333333333</v>
      </c>
      <c r="I774" s="914"/>
    </row>
    <row r="775" spans="1:9" s="324" customFormat="1" ht="14.25" x14ac:dyDescent="0.2">
      <c r="A775" s="505" t="s">
        <v>3252</v>
      </c>
      <c r="B775" s="244" t="s">
        <v>799</v>
      </c>
      <c r="C775" s="62" t="s">
        <v>3276</v>
      </c>
      <c r="D775" s="19" t="s">
        <v>285</v>
      </c>
      <c r="E775" s="194">
        <v>1</v>
      </c>
      <c r="F775" s="320">
        <f>CONSTRUCCION!F34</f>
        <v>482282</v>
      </c>
      <c r="G775" s="681">
        <v>1.05</v>
      </c>
      <c r="H775" s="252">
        <f t="shared" si="56"/>
        <v>506396.10000000003</v>
      </c>
      <c r="I775" s="914"/>
    </row>
    <row r="776" spans="1:9" s="324" customFormat="1" ht="12.75" x14ac:dyDescent="0.2">
      <c r="A776" s="979" t="s">
        <v>2555</v>
      </c>
      <c r="B776" s="244" t="s">
        <v>587</v>
      </c>
      <c r="C776" s="62" t="s">
        <v>588</v>
      </c>
      <c r="D776" s="19" t="s">
        <v>585</v>
      </c>
      <c r="E776" s="194">
        <v>1</v>
      </c>
      <c r="F776" s="320">
        <f>VLOOKUP(B776,'BASE DE DATOS'!$A$5:$E$997,5,FALSE)</f>
        <v>514339</v>
      </c>
      <c r="G776" s="681">
        <f>1/0.8</f>
        <v>1.25</v>
      </c>
      <c r="H776" s="252">
        <f>IF(G776&gt;0,(G776*F776*E776),(F776*E776))</f>
        <v>642923.75</v>
      </c>
      <c r="I776" s="914"/>
    </row>
    <row r="777" spans="1:9" s="324" customFormat="1" ht="12.75" x14ac:dyDescent="0.2">
      <c r="A777" s="979"/>
      <c r="B777" s="244" t="s">
        <v>266</v>
      </c>
      <c r="C777" s="62" t="s">
        <v>283</v>
      </c>
      <c r="D777" s="19" t="s">
        <v>586</v>
      </c>
      <c r="E777" s="194">
        <v>0.1</v>
      </c>
      <c r="F777" s="320">
        <f>+H776</f>
        <v>642923.75</v>
      </c>
      <c r="G777" s="681">
        <v>0</v>
      </c>
      <c r="H777" s="252">
        <f t="shared" si="56"/>
        <v>64292.375</v>
      </c>
      <c r="I777" s="914"/>
    </row>
    <row r="778" spans="1:9" s="324" customFormat="1" ht="13.5" thickBot="1" x14ac:dyDescent="0.25">
      <c r="A778" s="504" t="s">
        <v>293</v>
      </c>
      <c r="B778" s="543" t="s">
        <v>269</v>
      </c>
      <c r="C778" s="169" t="s">
        <v>284</v>
      </c>
      <c r="D778" s="112" t="s">
        <v>586</v>
      </c>
      <c r="E778" s="201">
        <v>0.1</v>
      </c>
      <c r="F778" s="321">
        <f>+H776</f>
        <v>642923.75</v>
      </c>
      <c r="G778" s="686">
        <v>0</v>
      </c>
      <c r="H778" s="255">
        <f t="shared" si="56"/>
        <v>64292.375</v>
      </c>
      <c r="I778" s="914"/>
    </row>
    <row r="779" spans="1:9" s="41" customFormat="1" ht="45" x14ac:dyDescent="0.2">
      <c r="A779" s="67" t="s">
        <v>1175</v>
      </c>
      <c r="B779" s="526"/>
      <c r="C779" s="325" t="s">
        <v>3562</v>
      </c>
      <c r="D779" s="326" t="s">
        <v>3225</v>
      </c>
      <c r="E779" s="414"/>
      <c r="F779" s="357">
        <f>ROUND(SUM(H779:H788),0)</f>
        <v>908432</v>
      </c>
      <c r="G779" s="683"/>
      <c r="H779" s="330"/>
      <c r="I779" s="914"/>
    </row>
    <row r="780" spans="1:9" s="324" customFormat="1" ht="12.75" x14ac:dyDescent="0.2">
      <c r="A780" s="936" t="s">
        <v>382</v>
      </c>
      <c r="B780" s="244" t="s">
        <v>1264</v>
      </c>
      <c r="C780" s="62" t="s">
        <v>641</v>
      </c>
      <c r="D780" s="19" t="s">
        <v>642</v>
      </c>
      <c r="E780" s="194">
        <v>0.8</v>
      </c>
      <c r="F780" s="320">
        <f>VLOOKUP(B780,'BASE DE DATOS'!$A$5:$E$997,5,FALSE)</f>
        <v>10959</v>
      </c>
      <c r="G780" s="681">
        <v>1.05</v>
      </c>
      <c r="H780" s="252">
        <f>IF(G780&gt;0,(G780*F780*E780),(F780*E780))</f>
        <v>9205.5600000000013</v>
      </c>
      <c r="I780" s="914"/>
    </row>
    <row r="781" spans="1:9" s="324" customFormat="1" ht="12.75" x14ac:dyDescent="0.2">
      <c r="A781" s="936"/>
      <c r="B781" s="244" t="s">
        <v>1290</v>
      </c>
      <c r="C781" s="62" t="s">
        <v>2697</v>
      </c>
      <c r="D781" s="19" t="s">
        <v>406</v>
      </c>
      <c r="E781" s="194">
        <v>2</v>
      </c>
      <c r="F781" s="320">
        <f>VLOOKUP(B781,'BASE DE DATOS'!$A$5:$E$997,5,FALSE)</f>
        <v>13045</v>
      </c>
      <c r="G781" s="681">
        <v>1.03</v>
      </c>
      <c r="H781" s="252">
        <f>IF(G781&gt;0,(G781*F781*E781),(F781*E781))</f>
        <v>26872.7</v>
      </c>
      <c r="I781" s="914"/>
    </row>
    <row r="782" spans="1:9" s="324" customFormat="1" ht="12.75" x14ac:dyDescent="0.2">
      <c r="A782" s="936"/>
      <c r="B782" s="244" t="s">
        <v>1463</v>
      </c>
      <c r="C782" s="62" t="s">
        <v>593</v>
      </c>
      <c r="D782" s="19" t="s">
        <v>405</v>
      </c>
      <c r="E782" s="194">
        <v>4</v>
      </c>
      <c r="F782" s="320">
        <f>VLOOKUP(B782,'BASE DE DATOS'!$A$5:$E$997,5,FALSE)</f>
        <v>4704</v>
      </c>
      <c r="G782" s="681">
        <f>1/3</f>
        <v>0.33333333333333331</v>
      </c>
      <c r="H782" s="252">
        <f t="shared" ref="H782:H788" si="57">IF(G782&gt;0,(G782*F782*E782),(F782*E782))</f>
        <v>6272</v>
      </c>
      <c r="I782" s="914"/>
    </row>
    <row r="783" spans="1:9" s="324" customFormat="1" ht="12.75" x14ac:dyDescent="0.2">
      <c r="A783" s="936"/>
      <c r="B783" s="244" t="s">
        <v>1558</v>
      </c>
      <c r="C783" s="62" t="s">
        <v>603</v>
      </c>
      <c r="D783" s="19" t="s">
        <v>590</v>
      </c>
      <c r="E783" s="194">
        <v>1.5</v>
      </c>
      <c r="F783" s="320">
        <f>VLOOKUP(B783,'BASE DE DATOS'!$A$5:$E$997,5,FALSE)</f>
        <v>5650</v>
      </c>
      <c r="G783" s="681">
        <v>0</v>
      </c>
      <c r="H783" s="252">
        <f t="shared" si="57"/>
        <v>8475</v>
      </c>
      <c r="I783" s="914"/>
    </row>
    <row r="784" spans="1:9" s="324" customFormat="1" ht="15" customHeight="1" x14ac:dyDescent="0.2">
      <c r="A784" s="936"/>
      <c r="B784" s="244" t="s">
        <v>1711</v>
      </c>
      <c r="C784" s="62" t="s">
        <v>632</v>
      </c>
      <c r="D784" s="19" t="s">
        <v>405</v>
      </c>
      <c r="E784" s="194">
        <v>6</v>
      </c>
      <c r="F784" s="320">
        <f>VLOOKUP(B784,'BASE DE DATOS'!$A$5:$E$997,5,FALSE)</f>
        <v>10991</v>
      </c>
      <c r="G784" s="681">
        <f>1/3</f>
        <v>0.33333333333333331</v>
      </c>
      <c r="H784" s="252">
        <f>IF(G784&gt;0,(G784*F784*E784),(F784*E784))</f>
        <v>21982</v>
      </c>
      <c r="I784" s="914"/>
    </row>
    <row r="785" spans="1:9" s="324" customFormat="1" ht="14.25" x14ac:dyDescent="0.2">
      <c r="A785" s="505" t="s">
        <v>3252</v>
      </c>
      <c r="B785" s="244" t="s">
        <v>802</v>
      </c>
      <c r="C785" s="62" t="s">
        <v>2154</v>
      </c>
      <c r="D785" s="19" t="s">
        <v>285</v>
      </c>
      <c r="E785" s="194">
        <v>1</v>
      </c>
      <c r="F785" s="320">
        <f>CONSTRUCCION!F58</f>
        <v>523640.36249999999</v>
      </c>
      <c r="G785" s="681">
        <v>1.05</v>
      </c>
      <c r="H785" s="252">
        <f t="shared" si="57"/>
        <v>549822.38062499999</v>
      </c>
      <c r="I785" s="914"/>
    </row>
    <row r="786" spans="1:9" s="324" customFormat="1" ht="12.75" x14ac:dyDescent="0.2">
      <c r="A786" s="508" t="s">
        <v>2555</v>
      </c>
      <c r="B786" s="244" t="s">
        <v>587</v>
      </c>
      <c r="C786" s="62" t="s">
        <v>588</v>
      </c>
      <c r="D786" s="19" t="s">
        <v>585</v>
      </c>
      <c r="E786" s="194">
        <v>1</v>
      </c>
      <c r="F786" s="320">
        <f>VLOOKUP(B786,'BASE DE DATOS'!$A$5:$E$997,5,FALSE)</f>
        <v>514339</v>
      </c>
      <c r="G786" s="681">
        <f>1/2</f>
        <v>0.5</v>
      </c>
      <c r="H786" s="252">
        <f t="shared" si="57"/>
        <v>257169.5</v>
      </c>
      <c r="I786" s="914"/>
    </row>
    <row r="787" spans="1:9" s="102" customFormat="1" ht="12.75" x14ac:dyDescent="0.2">
      <c r="A787" s="937" t="s">
        <v>293</v>
      </c>
      <c r="B787" s="244" t="s">
        <v>269</v>
      </c>
      <c r="C787" s="62" t="s">
        <v>284</v>
      </c>
      <c r="D787" s="19" t="s">
        <v>586</v>
      </c>
      <c r="E787" s="194">
        <v>0.1</v>
      </c>
      <c r="F787" s="320">
        <f>+H786</f>
        <v>257169.5</v>
      </c>
      <c r="G787" s="681">
        <v>0</v>
      </c>
      <c r="H787" s="252">
        <f t="shared" si="57"/>
        <v>25716.95</v>
      </c>
      <c r="I787" s="917"/>
    </row>
    <row r="788" spans="1:9" s="324" customFormat="1" ht="13.5" thickBot="1" x14ac:dyDescent="0.25">
      <c r="A788" s="938"/>
      <c r="B788" s="543" t="s">
        <v>668</v>
      </c>
      <c r="C788" s="169" t="s">
        <v>669</v>
      </c>
      <c r="D788" s="112" t="s">
        <v>585</v>
      </c>
      <c r="E788" s="201">
        <v>1</v>
      </c>
      <c r="F788" s="321">
        <f>VLOOKUP(B788,'BASE DE DATOS'!$A$5:$E$997,5,FALSE)</f>
        <v>58310</v>
      </c>
      <c r="G788" s="686">
        <f>1/20</f>
        <v>0.05</v>
      </c>
      <c r="H788" s="255">
        <f t="shared" si="57"/>
        <v>2915.5</v>
      </c>
      <c r="I788" s="914"/>
    </row>
    <row r="789" spans="1:9" s="41" customFormat="1" ht="45" x14ac:dyDescent="0.2">
      <c r="A789" s="67" t="s">
        <v>1176</v>
      </c>
      <c r="B789" s="526"/>
      <c r="C789" s="325" t="s">
        <v>3563</v>
      </c>
      <c r="D789" s="326" t="s">
        <v>3225</v>
      </c>
      <c r="E789" s="414"/>
      <c r="F789" s="357">
        <f>ROUND(SUM(H789:H800),0)</f>
        <v>1179557</v>
      </c>
      <c r="G789" s="683"/>
      <c r="H789" s="330"/>
      <c r="I789" s="914"/>
    </row>
    <row r="790" spans="1:9" s="324" customFormat="1" ht="12.75" x14ac:dyDescent="0.2">
      <c r="A790" s="939" t="s">
        <v>295</v>
      </c>
      <c r="B790" s="244" t="s">
        <v>1264</v>
      </c>
      <c r="C790" s="62" t="s">
        <v>641</v>
      </c>
      <c r="D790" s="19" t="s">
        <v>642</v>
      </c>
      <c r="E790" s="194">
        <v>1.5</v>
      </c>
      <c r="F790" s="320">
        <f>VLOOKUP(B790,'BASE DE DATOS'!$A$5:$E$997,5,FALSE)</f>
        <v>10959</v>
      </c>
      <c r="G790" s="681">
        <v>1.05</v>
      </c>
      <c r="H790" s="252">
        <f t="shared" ref="H790:H795" si="58">IF(G790&gt;0,(G790*F790*E790),(F790*E790))</f>
        <v>17260.425000000003</v>
      </c>
      <c r="I790" s="914"/>
    </row>
    <row r="791" spans="1:9" s="324" customFormat="1" ht="12.75" x14ac:dyDescent="0.2">
      <c r="A791" s="939"/>
      <c r="B791" s="244" t="s">
        <v>1282</v>
      </c>
      <c r="C791" s="62" t="s">
        <v>604</v>
      </c>
      <c r="D791" s="19" t="s">
        <v>406</v>
      </c>
      <c r="E791" s="194">
        <v>0.5</v>
      </c>
      <c r="F791" s="320">
        <f>VLOOKUP(B791,'BASE DE DATOS'!$A$5:$E$997,5,FALSE)</f>
        <v>7790</v>
      </c>
      <c r="G791" s="681">
        <v>0</v>
      </c>
      <c r="H791" s="252">
        <f t="shared" si="58"/>
        <v>3895</v>
      </c>
      <c r="I791" s="914"/>
    </row>
    <row r="792" spans="1:9" s="324" customFormat="1" ht="12.75" x14ac:dyDescent="0.2">
      <c r="A792" s="939"/>
      <c r="B792" s="244" t="s">
        <v>1290</v>
      </c>
      <c r="C792" s="62" t="s">
        <v>2697</v>
      </c>
      <c r="D792" s="19" t="s">
        <v>406</v>
      </c>
      <c r="E792" s="194">
        <v>2</v>
      </c>
      <c r="F792" s="320">
        <f>VLOOKUP(B792,'BASE DE DATOS'!$A$5:$E$997,5,FALSE)</f>
        <v>13045</v>
      </c>
      <c r="G792" s="681">
        <v>1.03</v>
      </c>
      <c r="H792" s="252">
        <f t="shared" si="58"/>
        <v>26872.7</v>
      </c>
      <c r="I792" s="914"/>
    </row>
    <row r="793" spans="1:9" s="324" customFormat="1" ht="12.75" x14ac:dyDescent="0.2">
      <c r="A793" s="939"/>
      <c r="B793" s="244" t="s">
        <v>1367</v>
      </c>
      <c r="C793" s="62" t="s">
        <v>592</v>
      </c>
      <c r="D793" s="19" t="s">
        <v>405</v>
      </c>
      <c r="E793" s="194">
        <v>24</v>
      </c>
      <c r="F793" s="320">
        <f>VLOOKUP(B793,'BASE DE DATOS'!$A$5:$E$997,5,FALSE)</f>
        <v>6534</v>
      </c>
      <c r="G793" s="681">
        <f>1/3</f>
        <v>0.33333333333333331</v>
      </c>
      <c r="H793" s="252">
        <f t="shared" si="58"/>
        <v>52272</v>
      </c>
      <c r="I793" s="914"/>
    </row>
    <row r="794" spans="1:9" s="324" customFormat="1" ht="12.75" x14ac:dyDescent="0.2">
      <c r="A794" s="939"/>
      <c r="B794" s="244" t="s">
        <v>1418</v>
      </c>
      <c r="C794" s="62" t="s">
        <v>591</v>
      </c>
      <c r="D794" s="19" t="s">
        <v>411</v>
      </c>
      <c r="E794" s="194">
        <v>6</v>
      </c>
      <c r="F794" s="320">
        <f>VLOOKUP(B794,'BASE DE DATOS'!$A$5:$E$997,5,FALSE)</f>
        <v>5250</v>
      </c>
      <c r="G794" s="681">
        <f>1/2</f>
        <v>0.5</v>
      </c>
      <c r="H794" s="252">
        <f t="shared" si="58"/>
        <v>15750</v>
      </c>
      <c r="I794" s="914"/>
    </row>
    <row r="795" spans="1:9" s="324" customFormat="1" ht="12.75" x14ac:dyDescent="0.2">
      <c r="A795" s="939"/>
      <c r="B795" s="244" t="s">
        <v>1558</v>
      </c>
      <c r="C795" s="62" t="s">
        <v>603</v>
      </c>
      <c r="D795" s="19" t="s">
        <v>590</v>
      </c>
      <c r="E795" s="194">
        <v>1.5</v>
      </c>
      <c r="F795" s="320">
        <f>VLOOKUP(B795,'BASE DE DATOS'!$A$5:$E$997,5,FALSE)</f>
        <v>5650</v>
      </c>
      <c r="G795" s="681">
        <v>0</v>
      </c>
      <c r="H795" s="252">
        <f t="shared" si="58"/>
        <v>8475</v>
      </c>
      <c r="I795" s="914"/>
    </row>
    <row r="796" spans="1:9" s="324" customFormat="1" ht="13.15" customHeight="1" x14ac:dyDescent="0.2">
      <c r="A796" s="939"/>
      <c r="B796" s="244" t="s">
        <v>1711</v>
      </c>
      <c r="C796" s="62" t="s">
        <v>632</v>
      </c>
      <c r="D796" s="19" t="s">
        <v>405</v>
      </c>
      <c r="E796" s="194">
        <v>26</v>
      </c>
      <c r="F796" s="320">
        <f>VLOOKUP(B796,'BASE DE DATOS'!$A$5:$E$997,5,FALSE)</f>
        <v>10991</v>
      </c>
      <c r="G796" s="681">
        <f>1/3</f>
        <v>0.33333333333333331</v>
      </c>
      <c r="H796" s="252">
        <f t="shared" ref="H796:H800" si="59">IF(G796&gt;0,(G796*F796*E796),(F796*E796))</f>
        <v>95255.333333333328</v>
      </c>
      <c r="I796" s="914"/>
    </row>
    <row r="797" spans="1:9" s="324" customFormat="1" ht="14.25" x14ac:dyDescent="0.2">
      <c r="A797" s="505" t="s">
        <v>3252</v>
      </c>
      <c r="B797" s="244" t="s">
        <v>802</v>
      </c>
      <c r="C797" s="62" t="s">
        <v>2154</v>
      </c>
      <c r="D797" s="19" t="s">
        <v>285</v>
      </c>
      <c r="E797" s="194">
        <v>1</v>
      </c>
      <c r="F797" s="320">
        <f>CONSTRUCCION!F58</f>
        <v>523640.36249999999</v>
      </c>
      <c r="G797" s="681">
        <v>1.05</v>
      </c>
      <c r="H797" s="252">
        <f t="shared" si="59"/>
        <v>549822.38062499999</v>
      </c>
      <c r="I797" s="914"/>
    </row>
    <row r="798" spans="1:9" s="324" customFormat="1" ht="12.75" x14ac:dyDescent="0.2">
      <c r="A798" s="508" t="s">
        <v>2555</v>
      </c>
      <c r="B798" s="244" t="s">
        <v>587</v>
      </c>
      <c r="C798" s="62" t="s">
        <v>588</v>
      </c>
      <c r="D798" s="19" t="s">
        <v>585</v>
      </c>
      <c r="E798" s="194">
        <v>1</v>
      </c>
      <c r="F798" s="320">
        <f>VLOOKUP(B798,'BASE DE DATOS'!$A$5:$E$997,5,FALSE)</f>
        <v>514339</v>
      </c>
      <c r="G798" s="681">
        <f>1/1.4</f>
        <v>0.7142857142857143</v>
      </c>
      <c r="H798" s="252">
        <f t="shared" si="59"/>
        <v>367385</v>
      </c>
      <c r="I798" s="914"/>
    </row>
    <row r="799" spans="1:9" s="102" customFormat="1" ht="12.75" x14ac:dyDescent="0.2">
      <c r="A799" s="944" t="s">
        <v>293</v>
      </c>
      <c r="B799" s="244" t="s">
        <v>269</v>
      </c>
      <c r="C799" s="62" t="s">
        <v>284</v>
      </c>
      <c r="D799" s="19" t="s">
        <v>586</v>
      </c>
      <c r="E799" s="194">
        <v>0.1</v>
      </c>
      <c r="F799" s="320">
        <f>+H798</f>
        <v>367385</v>
      </c>
      <c r="G799" s="681">
        <v>0</v>
      </c>
      <c r="H799" s="252">
        <f t="shared" si="59"/>
        <v>36738.5</v>
      </c>
      <c r="I799" s="917"/>
    </row>
    <row r="800" spans="1:9" s="324" customFormat="1" ht="13.5" thickBot="1" x14ac:dyDescent="0.25">
      <c r="A800" s="945"/>
      <c r="B800" s="543" t="s">
        <v>668</v>
      </c>
      <c r="C800" s="169" t="s">
        <v>669</v>
      </c>
      <c r="D800" s="112" t="s">
        <v>585</v>
      </c>
      <c r="E800" s="201">
        <v>1</v>
      </c>
      <c r="F800" s="321">
        <f>VLOOKUP(B800,'BASE DE DATOS'!$A$5:$E$997,5,FALSE)</f>
        <v>58310</v>
      </c>
      <c r="G800" s="686">
        <f>1/10</f>
        <v>0.1</v>
      </c>
      <c r="H800" s="255">
        <f t="shared" si="59"/>
        <v>5831</v>
      </c>
      <c r="I800" s="914"/>
    </row>
    <row r="801" spans="1:9" s="41" customFormat="1" ht="30" x14ac:dyDescent="0.2">
      <c r="A801" s="67" t="s">
        <v>1177</v>
      </c>
      <c r="B801" s="526"/>
      <c r="C801" s="325" t="s">
        <v>3564</v>
      </c>
      <c r="D801" s="326" t="s">
        <v>3225</v>
      </c>
      <c r="E801" s="414"/>
      <c r="F801" s="357">
        <f>ROUND(SUM(H801:H812),0)</f>
        <v>1085146</v>
      </c>
      <c r="G801" s="683"/>
      <c r="H801" s="330"/>
      <c r="I801" s="914"/>
    </row>
    <row r="802" spans="1:9" s="324" customFormat="1" ht="12.75" x14ac:dyDescent="0.2">
      <c r="A802" s="939" t="s">
        <v>295</v>
      </c>
      <c r="B802" s="244" t="s">
        <v>1264</v>
      </c>
      <c r="C802" s="62" t="s">
        <v>641</v>
      </c>
      <c r="D802" s="19" t="s">
        <v>642</v>
      </c>
      <c r="E802" s="194">
        <v>1.5</v>
      </c>
      <c r="F802" s="320">
        <f>VLOOKUP(B802,'BASE DE DATOS'!$A$5:$E$997,5,FALSE)</f>
        <v>10959</v>
      </c>
      <c r="G802" s="681">
        <v>1.05</v>
      </c>
      <c r="H802" s="252">
        <f>IF(G802&gt;0,(G802*F802*E802),(F802*E802))</f>
        <v>17260.425000000003</v>
      </c>
      <c r="I802" s="914"/>
    </row>
    <row r="803" spans="1:9" s="324" customFormat="1" ht="12.75" x14ac:dyDescent="0.2">
      <c r="A803" s="939"/>
      <c r="B803" s="244" t="s">
        <v>1282</v>
      </c>
      <c r="C803" s="62" t="s">
        <v>604</v>
      </c>
      <c r="D803" s="19" t="s">
        <v>406</v>
      </c>
      <c r="E803" s="194">
        <v>0.5</v>
      </c>
      <c r="F803" s="320">
        <f>VLOOKUP(B803,'BASE DE DATOS'!$A$5:$E$997,5,FALSE)</f>
        <v>7790</v>
      </c>
      <c r="G803" s="681">
        <v>0</v>
      </c>
      <c r="H803" s="252">
        <f>IF(G803&gt;0,(G803*F803*E803),(F803*E803))</f>
        <v>3895</v>
      </c>
      <c r="I803" s="914"/>
    </row>
    <row r="804" spans="1:9" s="324" customFormat="1" ht="12.75" x14ac:dyDescent="0.2">
      <c r="A804" s="939"/>
      <c r="B804" s="244" t="s">
        <v>1290</v>
      </c>
      <c r="C804" s="62" t="s">
        <v>2697</v>
      </c>
      <c r="D804" s="19" t="s">
        <v>406</v>
      </c>
      <c r="E804" s="194">
        <v>2.5</v>
      </c>
      <c r="F804" s="320">
        <f>VLOOKUP(B804,'BASE DE DATOS'!$A$5:$E$997,5,FALSE)</f>
        <v>13045</v>
      </c>
      <c r="G804" s="681">
        <v>1.03</v>
      </c>
      <c r="H804" s="252">
        <f>IF(G804&gt;0,(G804*F804*E804),(F804*E804))</f>
        <v>33590.875</v>
      </c>
      <c r="I804" s="914"/>
    </row>
    <row r="805" spans="1:9" s="324" customFormat="1" ht="12.75" x14ac:dyDescent="0.2">
      <c r="A805" s="939"/>
      <c r="B805" s="244" t="s">
        <v>1367</v>
      </c>
      <c r="C805" s="62" t="s">
        <v>592</v>
      </c>
      <c r="D805" s="19" t="s">
        <v>405</v>
      </c>
      <c r="E805" s="194">
        <v>24</v>
      </c>
      <c r="F805" s="320">
        <f>VLOOKUP(B805,'BASE DE DATOS'!$A$5:$E$997,5,FALSE)</f>
        <v>6534</v>
      </c>
      <c r="G805" s="681">
        <f>1/3</f>
        <v>0.33333333333333331</v>
      </c>
      <c r="H805" s="252">
        <f t="shared" ref="H805:H812" si="60">IF(G805&gt;0,(G805*F805*E805),(F805*E805))</f>
        <v>52272</v>
      </c>
      <c r="I805" s="914"/>
    </row>
    <row r="806" spans="1:9" s="324" customFormat="1" ht="12.75" x14ac:dyDescent="0.2">
      <c r="A806" s="939"/>
      <c r="B806" s="244" t="s">
        <v>1418</v>
      </c>
      <c r="C806" s="62" t="s">
        <v>591</v>
      </c>
      <c r="D806" s="19" t="s">
        <v>411</v>
      </c>
      <c r="E806" s="194">
        <v>3</v>
      </c>
      <c r="F806" s="320">
        <f>VLOOKUP(B806,'BASE DE DATOS'!$A$5:$E$997,5,FALSE)</f>
        <v>5250</v>
      </c>
      <c r="G806" s="681">
        <f>1/3</f>
        <v>0.33333333333333331</v>
      </c>
      <c r="H806" s="252">
        <f t="shared" si="60"/>
        <v>5250</v>
      </c>
      <c r="I806" s="914"/>
    </row>
    <row r="807" spans="1:9" s="324" customFormat="1" ht="12.75" x14ac:dyDescent="0.2">
      <c r="A807" s="939"/>
      <c r="B807" s="244" t="s">
        <v>1558</v>
      </c>
      <c r="C807" s="62" t="s">
        <v>603</v>
      </c>
      <c r="D807" s="19" t="s">
        <v>590</v>
      </c>
      <c r="E807" s="194">
        <v>1.5</v>
      </c>
      <c r="F807" s="320">
        <f>VLOOKUP(B807,'BASE DE DATOS'!$A$5:$E$997,5,FALSE)</f>
        <v>5650</v>
      </c>
      <c r="G807" s="681">
        <v>0</v>
      </c>
      <c r="H807" s="252">
        <f t="shared" si="60"/>
        <v>8475</v>
      </c>
      <c r="I807" s="914"/>
    </row>
    <row r="808" spans="1:9" s="324" customFormat="1" ht="13.15" customHeight="1" x14ac:dyDescent="0.2">
      <c r="A808" s="939"/>
      <c r="B808" s="244" t="s">
        <v>1711</v>
      </c>
      <c r="C808" s="62" t="s">
        <v>632</v>
      </c>
      <c r="D808" s="19" t="s">
        <v>405</v>
      </c>
      <c r="E808" s="194">
        <v>21</v>
      </c>
      <c r="F808" s="320">
        <f>VLOOKUP(B808,'BASE DE DATOS'!$A$5:$E$997,5,FALSE)</f>
        <v>10991</v>
      </c>
      <c r="G808" s="681">
        <f>1/3</f>
        <v>0.33333333333333331</v>
      </c>
      <c r="H808" s="252">
        <f>IF(G808&gt;0,(G808*F808*E808),(F808*E808))</f>
        <v>76937</v>
      </c>
      <c r="I808" s="914"/>
    </row>
    <row r="809" spans="1:9" s="324" customFormat="1" ht="14.25" x14ac:dyDescent="0.2">
      <c r="A809" s="505" t="s">
        <v>3252</v>
      </c>
      <c r="B809" s="244" t="s">
        <v>799</v>
      </c>
      <c r="C809" s="62" t="s">
        <v>3276</v>
      </c>
      <c r="D809" s="19" t="s">
        <v>285</v>
      </c>
      <c r="E809" s="194">
        <v>1</v>
      </c>
      <c r="F809" s="320">
        <f>CONSTRUCCION!F34</f>
        <v>482282</v>
      </c>
      <c r="G809" s="681">
        <v>1.05</v>
      </c>
      <c r="H809" s="252">
        <f t="shared" si="60"/>
        <v>506396.10000000003</v>
      </c>
      <c r="I809" s="914"/>
    </row>
    <row r="810" spans="1:9" s="27" customFormat="1" ht="12.75" x14ac:dyDescent="0.2">
      <c r="A810" s="508" t="s">
        <v>2555</v>
      </c>
      <c r="B810" s="244" t="s">
        <v>587</v>
      </c>
      <c r="C810" s="62" t="s">
        <v>588</v>
      </c>
      <c r="D810" s="19" t="s">
        <v>585</v>
      </c>
      <c r="E810" s="194">
        <v>1</v>
      </c>
      <c r="F810" s="320">
        <f>VLOOKUP(B810,'BASE DE DATOS'!$A$5:$E$997,5,FALSE)</f>
        <v>514339</v>
      </c>
      <c r="G810" s="681">
        <f>1/1.5</f>
        <v>0.66666666666666663</v>
      </c>
      <c r="H810" s="252">
        <f t="shared" si="60"/>
        <v>342892.66666666663</v>
      </c>
      <c r="I810" s="915"/>
    </row>
    <row r="811" spans="1:9" s="324" customFormat="1" ht="12.75" x14ac:dyDescent="0.2">
      <c r="A811" s="944" t="s">
        <v>293</v>
      </c>
      <c r="B811" s="244" t="s">
        <v>269</v>
      </c>
      <c r="C811" s="62" t="s">
        <v>284</v>
      </c>
      <c r="D811" s="19" t="s">
        <v>586</v>
      </c>
      <c r="E811" s="194">
        <v>0.1</v>
      </c>
      <c r="F811" s="320">
        <f>+H810</f>
        <v>342892.66666666663</v>
      </c>
      <c r="G811" s="681">
        <v>0</v>
      </c>
      <c r="H811" s="252">
        <f t="shared" si="60"/>
        <v>34289.266666666663</v>
      </c>
      <c r="I811" s="914"/>
    </row>
    <row r="812" spans="1:9" s="324" customFormat="1" ht="13.5" thickBot="1" x14ac:dyDescent="0.25">
      <c r="A812" s="945"/>
      <c r="B812" s="543" t="s">
        <v>668</v>
      </c>
      <c r="C812" s="169" t="s">
        <v>669</v>
      </c>
      <c r="D812" s="112" t="s">
        <v>585</v>
      </c>
      <c r="E812" s="201">
        <v>1</v>
      </c>
      <c r="F812" s="321">
        <f>VLOOKUP(B812,'BASE DE DATOS'!$A$5:$E$997,5,FALSE)</f>
        <v>58310</v>
      </c>
      <c r="G812" s="686">
        <f>1/15</f>
        <v>6.6666666666666666E-2</v>
      </c>
      <c r="H812" s="479">
        <f t="shared" si="60"/>
        <v>3887.3333333333335</v>
      </c>
      <c r="I812" s="914"/>
    </row>
    <row r="813" spans="1:9" s="41" customFormat="1" ht="30" x14ac:dyDescent="0.2">
      <c r="A813" s="67" t="s">
        <v>1178</v>
      </c>
      <c r="B813" s="526"/>
      <c r="C813" s="325" t="s">
        <v>3565</v>
      </c>
      <c r="D813" s="326" t="s">
        <v>3225</v>
      </c>
      <c r="E813" s="414"/>
      <c r="F813" s="357">
        <f>ROUND(SUM(H813:H823),0)</f>
        <v>845695</v>
      </c>
      <c r="G813" s="683"/>
      <c r="H813" s="330"/>
      <c r="I813" s="914"/>
    </row>
    <row r="814" spans="1:9" s="324" customFormat="1" ht="12.75" x14ac:dyDescent="0.2">
      <c r="A814" s="939" t="s">
        <v>295</v>
      </c>
      <c r="B814" s="244" t="s">
        <v>1264</v>
      </c>
      <c r="C814" s="62" t="s">
        <v>641</v>
      </c>
      <c r="D814" s="19" t="s">
        <v>642</v>
      </c>
      <c r="E814" s="194">
        <v>0.8</v>
      </c>
      <c r="F814" s="320">
        <f>VLOOKUP(B814,'BASE DE DATOS'!$A$5:$E$997,5,FALSE)</f>
        <v>10959</v>
      </c>
      <c r="G814" s="681">
        <v>1.05</v>
      </c>
      <c r="H814" s="252">
        <f>IF(G814&gt;0,(G814*F814*E814),(F814*E814))</f>
        <v>9205.5600000000013</v>
      </c>
      <c r="I814" s="914"/>
    </row>
    <row r="815" spans="1:9" s="324" customFormat="1" ht="12.75" x14ac:dyDescent="0.2">
      <c r="A815" s="939"/>
      <c r="B815" s="244" t="s">
        <v>1282</v>
      </c>
      <c r="C815" s="62" t="s">
        <v>604</v>
      </c>
      <c r="D815" s="19" t="s">
        <v>406</v>
      </c>
      <c r="E815" s="194">
        <v>0.2</v>
      </c>
      <c r="F815" s="320">
        <f>VLOOKUP(B815,'BASE DE DATOS'!$A$5:$E$997,5,FALSE)</f>
        <v>7790</v>
      </c>
      <c r="G815" s="681">
        <v>0</v>
      </c>
      <c r="H815" s="252">
        <f>IF(G815&gt;0,(G815*F815*E815),(F815*E815))</f>
        <v>1558</v>
      </c>
      <c r="I815" s="914"/>
    </row>
    <row r="816" spans="1:9" s="324" customFormat="1" ht="12.75" x14ac:dyDescent="0.2">
      <c r="A816" s="939"/>
      <c r="B816" s="244" t="s">
        <v>1367</v>
      </c>
      <c r="C816" s="62" t="s">
        <v>592</v>
      </c>
      <c r="D816" s="19" t="s">
        <v>405</v>
      </c>
      <c r="E816" s="194">
        <v>3</v>
      </c>
      <c r="F816" s="320">
        <f>VLOOKUP(B816,'BASE DE DATOS'!$A$5:$E$997,5,FALSE)</f>
        <v>6534</v>
      </c>
      <c r="G816" s="681">
        <f>1/3</f>
        <v>0.33333333333333331</v>
      </c>
      <c r="H816" s="252">
        <f t="shared" ref="H816:H823" si="61">IF(G816&gt;0,(G816*F816*E816),(F816*E816))</f>
        <v>6534</v>
      </c>
      <c r="I816" s="914"/>
    </row>
    <row r="817" spans="1:9" s="324" customFormat="1" ht="12.75" x14ac:dyDescent="0.2">
      <c r="A817" s="939"/>
      <c r="B817" s="244" t="s">
        <v>1418</v>
      </c>
      <c r="C817" s="62" t="s">
        <v>591</v>
      </c>
      <c r="D817" s="19" t="s">
        <v>411</v>
      </c>
      <c r="E817" s="194">
        <v>2</v>
      </c>
      <c r="F817" s="320">
        <f>VLOOKUP(B817,'BASE DE DATOS'!$A$5:$E$997,5,FALSE)</f>
        <v>5250</v>
      </c>
      <c r="G817" s="681">
        <f>1/3</f>
        <v>0.33333333333333331</v>
      </c>
      <c r="H817" s="252">
        <f t="shared" si="61"/>
        <v>3500</v>
      </c>
      <c r="I817" s="914"/>
    </row>
    <row r="818" spans="1:9" s="324" customFormat="1" ht="12.75" x14ac:dyDescent="0.2">
      <c r="A818" s="939"/>
      <c r="B818" s="244" t="s">
        <v>1558</v>
      </c>
      <c r="C818" s="62" t="s">
        <v>603</v>
      </c>
      <c r="D818" s="19" t="s">
        <v>590</v>
      </c>
      <c r="E818" s="194">
        <v>0.6</v>
      </c>
      <c r="F818" s="320">
        <f>VLOOKUP(B818,'BASE DE DATOS'!$A$5:$E$997,5,FALSE)</f>
        <v>5650</v>
      </c>
      <c r="G818" s="681">
        <v>0</v>
      </c>
      <c r="H818" s="252">
        <f t="shared" si="61"/>
        <v>3390</v>
      </c>
      <c r="I818" s="914"/>
    </row>
    <row r="819" spans="1:9" s="324" customFormat="1" ht="13.15" customHeight="1" x14ac:dyDescent="0.2">
      <c r="A819" s="939"/>
      <c r="B819" s="244" t="s">
        <v>1711</v>
      </c>
      <c r="C819" s="62" t="s">
        <v>632</v>
      </c>
      <c r="D819" s="19" t="s">
        <v>405</v>
      </c>
      <c r="E819" s="194">
        <v>8</v>
      </c>
      <c r="F819" s="320">
        <f>VLOOKUP(B819,'BASE DE DATOS'!$A$5:$E$997,5,FALSE)</f>
        <v>10991</v>
      </c>
      <c r="G819" s="681">
        <f>1/3</f>
        <v>0.33333333333333331</v>
      </c>
      <c r="H819" s="252">
        <f>IF(G819&gt;0,(G819*F819*E819),(F819*E819))</f>
        <v>29309.333333333332</v>
      </c>
      <c r="I819" s="914"/>
    </row>
    <row r="820" spans="1:9" s="27" customFormat="1" ht="14.25" x14ac:dyDescent="0.2">
      <c r="A820" s="505" t="s">
        <v>3252</v>
      </c>
      <c r="B820" s="244" t="s">
        <v>799</v>
      </c>
      <c r="C820" s="62" t="s">
        <v>3276</v>
      </c>
      <c r="D820" s="19" t="s">
        <v>285</v>
      </c>
      <c r="E820" s="194">
        <v>1</v>
      </c>
      <c r="F820" s="320">
        <f>CONSTRUCCION!F34</f>
        <v>482282</v>
      </c>
      <c r="G820" s="681">
        <v>1.05</v>
      </c>
      <c r="H820" s="252">
        <f t="shared" si="61"/>
        <v>506396.10000000003</v>
      </c>
      <c r="I820" s="915"/>
    </row>
    <row r="821" spans="1:9" s="324" customFormat="1" ht="12.75" x14ac:dyDescent="0.2">
      <c r="A821" s="508" t="s">
        <v>2555</v>
      </c>
      <c r="B821" s="244" t="s">
        <v>587</v>
      </c>
      <c r="C821" s="62" t="s">
        <v>588</v>
      </c>
      <c r="D821" s="19" t="s">
        <v>585</v>
      </c>
      <c r="E821" s="194">
        <v>1</v>
      </c>
      <c r="F821" s="320">
        <f>VLOOKUP(B821,'BASE DE DATOS'!$A$5:$E$997,5,FALSE)</f>
        <v>514339</v>
      </c>
      <c r="G821" s="681">
        <f>1/2</f>
        <v>0.5</v>
      </c>
      <c r="H821" s="252">
        <f t="shared" si="61"/>
        <v>257169.5</v>
      </c>
      <c r="I821" s="914"/>
    </row>
    <row r="822" spans="1:9" s="324" customFormat="1" ht="12.75" x14ac:dyDescent="0.2">
      <c r="A822" s="944" t="s">
        <v>293</v>
      </c>
      <c r="B822" s="244" t="s">
        <v>269</v>
      </c>
      <c r="C822" s="62" t="s">
        <v>284</v>
      </c>
      <c r="D822" s="19" t="s">
        <v>586</v>
      </c>
      <c r="E822" s="194">
        <v>0.1</v>
      </c>
      <c r="F822" s="320">
        <f>+H821</f>
        <v>257169.5</v>
      </c>
      <c r="G822" s="681">
        <v>0</v>
      </c>
      <c r="H822" s="252">
        <f t="shared" si="61"/>
        <v>25716.95</v>
      </c>
      <c r="I822" s="914"/>
    </row>
    <row r="823" spans="1:9" s="324" customFormat="1" ht="13.5" thickBot="1" x14ac:dyDescent="0.25">
      <c r="A823" s="945"/>
      <c r="B823" s="543" t="s">
        <v>668</v>
      </c>
      <c r="C823" s="169" t="s">
        <v>669</v>
      </c>
      <c r="D823" s="112" t="s">
        <v>585</v>
      </c>
      <c r="E823" s="201">
        <v>1</v>
      </c>
      <c r="F823" s="321">
        <f>VLOOKUP(B823,'BASE DE DATOS'!$A$5:$E$997,5,FALSE)</f>
        <v>58310</v>
      </c>
      <c r="G823" s="686">
        <f>1/20</f>
        <v>0.05</v>
      </c>
      <c r="H823" s="255">
        <f t="shared" si="61"/>
        <v>2915.5</v>
      </c>
      <c r="I823" s="914"/>
    </row>
    <row r="824" spans="1:9" s="41" customFormat="1" ht="17.25" x14ac:dyDescent="0.2">
      <c r="A824" s="67" t="s">
        <v>1179</v>
      </c>
      <c r="B824" s="550"/>
      <c r="C824" s="325" t="s">
        <v>148</v>
      </c>
      <c r="D824" s="326" t="s">
        <v>3225</v>
      </c>
      <c r="E824" s="414"/>
      <c r="F824" s="357">
        <f>ROUND(SUM(H824:H834),0)</f>
        <v>821350</v>
      </c>
      <c r="G824" s="683"/>
      <c r="H824" s="330"/>
      <c r="I824" s="914"/>
    </row>
    <row r="825" spans="1:9" s="324" customFormat="1" ht="12.75" x14ac:dyDescent="0.2">
      <c r="A825" s="939" t="s">
        <v>295</v>
      </c>
      <c r="B825" s="244" t="s">
        <v>1264</v>
      </c>
      <c r="C825" s="62" t="s">
        <v>641</v>
      </c>
      <c r="D825" s="19" t="s">
        <v>642</v>
      </c>
      <c r="E825" s="194">
        <v>0.8</v>
      </c>
      <c r="F825" s="320">
        <f>VLOOKUP(B825,'BASE DE DATOS'!$A$5:$E$997,5,FALSE)</f>
        <v>10959</v>
      </c>
      <c r="G825" s="681">
        <v>0</v>
      </c>
      <c r="H825" s="252">
        <f>IF(G825&gt;0,(G825*F825*E825),(F825*E825))</f>
        <v>8767.2000000000007</v>
      </c>
      <c r="I825" s="914"/>
    </row>
    <row r="826" spans="1:9" s="324" customFormat="1" ht="12.75" x14ac:dyDescent="0.2">
      <c r="A826" s="939"/>
      <c r="B826" s="244" t="s">
        <v>1282</v>
      </c>
      <c r="C826" s="62" t="s">
        <v>604</v>
      </c>
      <c r="D826" s="19" t="s">
        <v>406</v>
      </c>
      <c r="E826" s="194">
        <v>0.2</v>
      </c>
      <c r="F826" s="320">
        <f>VLOOKUP(B826,'BASE DE DATOS'!$A$5:$E$997,5,FALSE)</f>
        <v>7790</v>
      </c>
      <c r="G826" s="681">
        <v>0</v>
      </c>
      <c r="H826" s="252">
        <f>IF(G826&gt;0,(G826*F826*E826),(F826*E826))</f>
        <v>1558</v>
      </c>
      <c r="I826" s="914"/>
    </row>
    <row r="827" spans="1:9" s="373" customFormat="1" ht="12.75" x14ac:dyDescent="0.2">
      <c r="A827" s="939"/>
      <c r="B827" s="244" t="s">
        <v>1290</v>
      </c>
      <c r="C827" s="62" t="s">
        <v>2697</v>
      </c>
      <c r="D827" s="19" t="s">
        <v>406</v>
      </c>
      <c r="E827" s="194">
        <v>2.5</v>
      </c>
      <c r="F827" s="320">
        <f>VLOOKUP(B827,'BASE DE DATOS'!$A$5:$E$997,5,FALSE)</f>
        <v>13045</v>
      </c>
      <c r="G827" s="681">
        <v>1.03</v>
      </c>
      <c r="H827" s="252">
        <f>IF(G827&gt;0,(G827*F827*E827),(F827*E827))</f>
        <v>33590.875</v>
      </c>
      <c r="I827" s="921"/>
    </row>
    <row r="828" spans="1:9" s="324" customFormat="1" ht="12.75" x14ac:dyDescent="0.2">
      <c r="A828" s="939"/>
      <c r="B828" s="244" t="s">
        <v>1367</v>
      </c>
      <c r="C828" s="62" t="s">
        <v>592</v>
      </c>
      <c r="D828" s="19" t="s">
        <v>405</v>
      </c>
      <c r="E828" s="194">
        <v>3</v>
      </c>
      <c r="F828" s="320">
        <f>VLOOKUP(B828,'BASE DE DATOS'!$A$5:$E$997,5,FALSE)</f>
        <v>6534</v>
      </c>
      <c r="G828" s="681">
        <f>1/3</f>
        <v>0.33333333333333331</v>
      </c>
      <c r="H828" s="252">
        <f t="shared" ref="H828:H834" si="62">IF(G828&gt;0,(G828*F828*E828),(F828*E828))</f>
        <v>6534</v>
      </c>
      <c r="I828" s="914"/>
    </row>
    <row r="829" spans="1:9" s="324" customFormat="1" ht="12.75" x14ac:dyDescent="0.2">
      <c r="A829" s="939"/>
      <c r="B829" s="244" t="s">
        <v>1418</v>
      </c>
      <c r="C829" s="62" t="s">
        <v>591</v>
      </c>
      <c r="D829" s="19" t="s">
        <v>411</v>
      </c>
      <c r="E829" s="194">
        <v>3</v>
      </c>
      <c r="F829" s="320">
        <f>VLOOKUP(B829,'BASE DE DATOS'!$A$5:$E$997,5,FALSE)</f>
        <v>5250</v>
      </c>
      <c r="G829" s="681">
        <f>1/3</f>
        <v>0.33333333333333331</v>
      </c>
      <c r="H829" s="252">
        <f t="shared" si="62"/>
        <v>5250</v>
      </c>
      <c r="I829" s="914"/>
    </row>
    <row r="830" spans="1:9" s="324" customFormat="1" ht="12.75" x14ac:dyDescent="0.2">
      <c r="A830" s="939"/>
      <c r="B830" s="244" t="s">
        <v>1558</v>
      </c>
      <c r="C830" s="62" t="s">
        <v>603</v>
      </c>
      <c r="D830" s="19" t="s">
        <v>590</v>
      </c>
      <c r="E830" s="194">
        <v>0.6</v>
      </c>
      <c r="F830" s="320">
        <f>VLOOKUP(B830,'BASE DE DATOS'!$A$5:$E$997,5,FALSE)</f>
        <v>5650</v>
      </c>
      <c r="G830" s="681">
        <v>0</v>
      </c>
      <c r="H830" s="252">
        <f t="shared" si="62"/>
        <v>3390</v>
      </c>
      <c r="I830" s="914"/>
    </row>
    <row r="831" spans="1:9" s="324" customFormat="1" ht="13.15" customHeight="1" x14ac:dyDescent="0.2">
      <c r="A831" s="939"/>
      <c r="B831" s="244" t="s">
        <v>1711</v>
      </c>
      <c r="C831" s="62" t="s">
        <v>632</v>
      </c>
      <c r="D831" s="19" t="s">
        <v>405</v>
      </c>
      <c r="E831" s="194">
        <v>10</v>
      </c>
      <c r="F831" s="320">
        <f>VLOOKUP(B831,'BASE DE DATOS'!$A$5:$E$997,5,FALSE)</f>
        <v>10991</v>
      </c>
      <c r="G831" s="681">
        <f>1/3</f>
        <v>0.33333333333333331</v>
      </c>
      <c r="H831" s="252">
        <f>IF(G831&gt;0,(G831*F831*E831),(F831*E831))</f>
        <v>36636.666666666664</v>
      </c>
      <c r="I831" s="914"/>
    </row>
    <row r="832" spans="1:9" s="324" customFormat="1" ht="14.25" x14ac:dyDescent="0.2">
      <c r="A832" s="505" t="s">
        <v>3252</v>
      </c>
      <c r="B832" s="244" t="s">
        <v>806</v>
      </c>
      <c r="C832" s="62" t="s">
        <v>2145</v>
      </c>
      <c r="D832" s="19" t="s">
        <v>285</v>
      </c>
      <c r="E832" s="194">
        <v>1</v>
      </c>
      <c r="F832" s="320">
        <f>CONSTRUCCION!F70</f>
        <v>475537</v>
      </c>
      <c r="G832" s="681">
        <v>1.05</v>
      </c>
      <c r="H832" s="252">
        <f t="shared" si="62"/>
        <v>499313.85000000003</v>
      </c>
      <c r="I832" s="914"/>
    </row>
    <row r="833" spans="1:9" s="324" customFormat="1" ht="12.75" x14ac:dyDescent="0.2">
      <c r="A833" s="508" t="s">
        <v>2555</v>
      </c>
      <c r="B833" s="244" t="s">
        <v>587</v>
      </c>
      <c r="C833" s="62" t="s">
        <v>588</v>
      </c>
      <c r="D833" s="19" t="s">
        <v>585</v>
      </c>
      <c r="E833" s="194">
        <v>1</v>
      </c>
      <c r="F833" s="320">
        <f>VLOOKUP(B833,'BASE DE DATOS'!$A$5:$E$997,5,FALSE)</f>
        <v>514339</v>
      </c>
      <c r="G833" s="681">
        <f>1/2.5</f>
        <v>0.4</v>
      </c>
      <c r="H833" s="252">
        <f t="shared" si="62"/>
        <v>205735.6</v>
      </c>
      <c r="I833" s="914"/>
    </row>
    <row r="834" spans="1:9" s="324" customFormat="1" ht="13.5" thickBot="1" x14ac:dyDescent="0.25">
      <c r="A834" s="504" t="s">
        <v>293</v>
      </c>
      <c r="B834" s="543" t="s">
        <v>269</v>
      </c>
      <c r="C834" s="169" t="s">
        <v>284</v>
      </c>
      <c r="D834" s="112" t="s">
        <v>586</v>
      </c>
      <c r="E834" s="201">
        <v>0.1</v>
      </c>
      <c r="F834" s="321">
        <f>+H833</f>
        <v>205735.6</v>
      </c>
      <c r="G834" s="686">
        <v>0</v>
      </c>
      <c r="H834" s="255">
        <f t="shared" si="62"/>
        <v>20573.560000000001</v>
      </c>
      <c r="I834" s="914"/>
    </row>
    <row r="835" spans="1:9" s="41" customFormat="1" ht="17.25" x14ac:dyDescent="0.2">
      <c r="A835" s="67" t="s">
        <v>1180</v>
      </c>
      <c r="B835" s="526"/>
      <c r="C835" s="325" t="s">
        <v>437</v>
      </c>
      <c r="D835" s="326" t="s">
        <v>3225</v>
      </c>
      <c r="E835" s="414"/>
      <c r="F835" s="357">
        <f>ROUND(SUM(H835:H845),0)</f>
        <v>963716</v>
      </c>
      <c r="G835" s="683"/>
      <c r="H835" s="330"/>
      <c r="I835" s="914"/>
    </row>
    <row r="836" spans="1:9" s="324" customFormat="1" ht="13.15" customHeight="1" x14ac:dyDescent="0.2">
      <c r="A836" s="939" t="s">
        <v>295</v>
      </c>
      <c r="B836" s="244" t="s">
        <v>1264</v>
      </c>
      <c r="C836" s="62" t="s">
        <v>641</v>
      </c>
      <c r="D836" s="19" t="s">
        <v>642</v>
      </c>
      <c r="E836" s="194">
        <v>0.1</v>
      </c>
      <c r="F836" s="320">
        <f>VLOOKUP(B836,'BASE DE DATOS'!$A$5:$E$997,5,FALSE)</f>
        <v>10959</v>
      </c>
      <c r="G836" s="681">
        <v>0</v>
      </c>
      <c r="H836" s="252">
        <f>IF(G836&gt;0,(G836*F836*E836),(F836*E836))</f>
        <v>1095.9000000000001</v>
      </c>
      <c r="I836" s="914"/>
    </row>
    <row r="837" spans="1:9" s="324" customFormat="1" ht="12.75" x14ac:dyDescent="0.2">
      <c r="A837" s="939"/>
      <c r="B837" s="244" t="s">
        <v>1282</v>
      </c>
      <c r="C837" s="62" t="s">
        <v>604</v>
      </c>
      <c r="D837" s="19" t="s">
        <v>406</v>
      </c>
      <c r="E837" s="194">
        <v>0.5</v>
      </c>
      <c r="F837" s="320">
        <f>VLOOKUP(B837,'BASE DE DATOS'!$A$5:$E$997,5,FALSE)</f>
        <v>7790</v>
      </c>
      <c r="G837" s="681">
        <v>0</v>
      </c>
      <c r="H837" s="252">
        <f>IF(G837&gt;0,(G837*F837*E837),(F837*E837))</f>
        <v>3895</v>
      </c>
      <c r="I837" s="914"/>
    </row>
    <row r="838" spans="1:9" s="102" customFormat="1" ht="12.75" x14ac:dyDescent="0.2">
      <c r="A838" s="939"/>
      <c r="B838" s="244" t="s">
        <v>1290</v>
      </c>
      <c r="C838" s="62" t="s">
        <v>2697</v>
      </c>
      <c r="D838" s="19" t="s">
        <v>406</v>
      </c>
      <c r="E838" s="194">
        <v>2.5</v>
      </c>
      <c r="F838" s="320">
        <f>VLOOKUP(B838,'BASE DE DATOS'!$A$5:$E$997,5,FALSE)</f>
        <v>13045</v>
      </c>
      <c r="G838" s="681">
        <v>1.03</v>
      </c>
      <c r="H838" s="252">
        <f>IF(G838&gt;0,(G838*F838*E838),(F838*E838))</f>
        <v>33590.875</v>
      </c>
      <c r="I838" s="917"/>
    </row>
    <row r="839" spans="1:9" s="324" customFormat="1" ht="12.75" x14ac:dyDescent="0.2">
      <c r="A839" s="939"/>
      <c r="B839" s="244" t="s">
        <v>1367</v>
      </c>
      <c r="C839" s="62" t="s">
        <v>592</v>
      </c>
      <c r="D839" s="19" t="s">
        <v>405</v>
      </c>
      <c r="E839" s="194">
        <v>24</v>
      </c>
      <c r="F839" s="320">
        <f>VLOOKUP(B839,'BASE DE DATOS'!$A$5:$E$997,5,FALSE)</f>
        <v>6534</v>
      </c>
      <c r="G839" s="681">
        <f>1/3</f>
        <v>0.33333333333333331</v>
      </c>
      <c r="H839" s="252">
        <f t="shared" ref="H839:H845" si="63">IF(G839&gt;0,(G839*F839*E839),(F839*E839))</f>
        <v>52272</v>
      </c>
      <c r="I839" s="914"/>
    </row>
    <row r="840" spans="1:9" s="324" customFormat="1" ht="12.75" x14ac:dyDescent="0.2">
      <c r="A840" s="939"/>
      <c r="B840" s="244" t="s">
        <v>1418</v>
      </c>
      <c r="C840" s="62" t="s">
        <v>591</v>
      </c>
      <c r="D840" s="19" t="s">
        <v>411</v>
      </c>
      <c r="E840" s="194">
        <v>3</v>
      </c>
      <c r="F840" s="320">
        <f>VLOOKUP(B840,'BASE DE DATOS'!$A$5:$E$997,5,FALSE)</f>
        <v>5250</v>
      </c>
      <c r="G840" s="681">
        <f>1/3</f>
        <v>0.33333333333333331</v>
      </c>
      <c r="H840" s="252">
        <f t="shared" si="63"/>
        <v>5250</v>
      </c>
      <c r="I840" s="914"/>
    </row>
    <row r="841" spans="1:9" s="324" customFormat="1" ht="12.75" x14ac:dyDescent="0.2">
      <c r="A841" s="939"/>
      <c r="B841" s="244" t="s">
        <v>1558</v>
      </c>
      <c r="C841" s="62" t="s">
        <v>603</v>
      </c>
      <c r="D841" s="19" t="s">
        <v>590</v>
      </c>
      <c r="E841" s="194">
        <v>1.5</v>
      </c>
      <c r="F841" s="320">
        <f>VLOOKUP(B841,'BASE DE DATOS'!$A$5:$E$997,5,FALSE)</f>
        <v>5650</v>
      </c>
      <c r="G841" s="681">
        <v>0</v>
      </c>
      <c r="H841" s="252">
        <f t="shared" si="63"/>
        <v>8475</v>
      </c>
      <c r="I841" s="914"/>
    </row>
    <row r="842" spans="1:9" s="324" customFormat="1" ht="13.15" customHeight="1" x14ac:dyDescent="0.2">
      <c r="A842" s="939"/>
      <c r="B842" s="244" t="s">
        <v>1711</v>
      </c>
      <c r="C842" s="62" t="s">
        <v>632</v>
      </c>
      <c r="D842" s="19" t="s">
        <v>405</v>
      </c>
      <c r="E842" s="194">
        <v>21</v>
      </c>
      <c r="F842" s="320">
        <f>VLOOKUP(B842,'BASE DE DATOS'!$A$5:$E$997,5,FALSE)</f>
        <v>10991</v>
      </c>
      <c r="G842" s="681">
        <f>1/3</f>
        <v>0.33333333333333331</v>
      </c>
      <c r="H842" s="252">
        <f>IF(G842&gt;0,(G842*F842*E842),(F842*E842))</f>
        <v>76937</v>
      </c>
      <c r="I842" s="914"/>
    </row>
    <row r="843" spans="1:9" s="324" customFormat="1" ht="14.25" x14ac:dyDescent="0.2">
      <c r="A843" s="505" t="s">
        <v>3252</v>
      </c>
      <c r="B843" s="244" t="s">
        <v>806</v>
      </c>
      <c r="C843" s="62" t="s">
        <v>2145</v>
      </c>
      <c r="D843" s="19" t="s">
        <v>285</v>
      </c>
      <c r="E843" s="194">
        <v>1</v>
      </c>
      <c r="F843" s="320">
        <f>CONSTRUCCION!F70</f>
        <v>475537</v>
      </c>
      <c r="G843" s="681">
        <v>1.05</v>
      </c>
      <c r="H843" s="252">
        <f t="shared" si="63"/>
        <v>499313.85000000003</v>
      </c>
      <c r="I843" s="914"/>
    </row>
    <row r="844" spans="1:9" s="324" customFormat="1" ht="12.75" x14ac:dyDescent="0.2">
      <c r="A844" s="508" t="s">
        <v>2555</v>
      </c>
      <c r="B844" s="244" t="s">
        <v>587</v>
      </c>
      <c r="C844" s="62" t="s">
        <v>588</v>
      </c>
      <c r="D844" s="19" t="s">
        <v>585</v>
      </c>
      <c r="E844" s="194">
        <v>1</v>
      </c>
      <c r="F844" s="320">
        <f>VLOOKUP(B844,'BASE DE DATOS'!$A$5:$E$997,5,FALSE)</f>
        <v>514339</v>
      </c>
      <c r="G844" s="681">
        <f>1/2</f>
        <v>0.5</v>
      </c>
      <c r="H844" s="252">
        <f t="shared" si="63"/>
        <v>257169.5</v>
      </c>
      <c r="I844" s="914"/>
    </row>
    <row r="845" spans="1:9" s="324" customFormat="1" ht="13.5" thickBot="1" x14ac:dyDescent="0.25">
      <c r="A845" s="504" t="s">
        <v>293</v>
      </c>
      <c r="B845" s="543" t="s">
        <v>269</v>
      </c>
      <c r="C845" s="169" t="s">
        <v>284</v>
      </c>
      <c r="D845" s="112" t="s">
        <v>586</v>
      </c>
      <c r="E845" s="201">
        <v>0.1</v>
      </c>
      <c r="F845" s="321">
        <f>+H844</f>
        <v>257169.5</v>
      </c>
      <c r="G845" s="686">
        <v>0</v>
      </c>
      <c r="H845" s="255">
        <f t="shared" si="63"/>
        <v>25716.95</v>
      </c>
      <c r="I845" s="914"/>
    </row>
    <row r="846" spans="1:9" s="41" customFormat="1" ht="17.25" x14ac:dyDescent="0.2">
      <c r="A846" s="67" t="s">
        <v>1181</v>
      </c>
      <c r="B846" s="526"/>
      <c r="C846" s="325" t="s">
        <v>512</v>
      </c>
      <c r="D846" s="326" t="s">
        <v>3225</v>
      </c>
      <c r="E846" s="414"/>
      <c r="F846" s="357">
        <f>ROUND(SUM(H846:H856),0)</f>
        <v>910975</v>
      </c>
      <c r="G846" s="683"/>
      <c r="H846" s="330"/>
      <c r="I846" s="914"/>
    </row>
    <row r="847" spans="1:9" s="324" customFormat="1" ht="12.75" x14ac:dyDescent="0.2">
      <c r="A847" s="939" t="s">
        <v>295</v>
      </c>
      <c r="B847" s="244" t="s">
        <v>1264</v>
      </c>
      <c r="C847" s="62" t="s">
        <v>641</v>
      </c>
      <c r="D847" s="19" t="s">
        <v>642</v>
      </c>
      <c r="E847" s="194">
        <v>0.1</v>
      </c>
      <c r="F847" s="320">
        <f>VLOOKUP(B847,'BASE DE DATOS'!$A$5:$E$997,5,FALSE)</f>
        <v>10959</v>
      </c>
      <c r="G847" s="681">
        <v>0</v>
      </c>
      <c r="H847" s="252">
        <f>IF(G847&gt;0,(G847*F847*E847),(F847*E847))</f>
        <v>1095.9000000000001</v>
      </c>
      <c r="I847" s="914"/>
    </row>
    <row r="848" spans="1:9" s="324" customFormat="1" ht="12.75" x14ac:dyDescent="0.2">
      <c r="A848" s="939"/>
      <c r="B848" s="244" t="s">
        <v>1282</v>
      </c>
      <c r="C848" s="62" t="s">
        <v>604</v>
      </c>
      <c r="D848" s="19" t="s">
        <v>406</v>
      </c>
      <c r="E848" s="194">
        <v>0.5</v>
      </c>
      <c r="F848" s="320">
        <f>VLOOKUP(B848,'BASE DE DATOS'!$A$5:$E$997,5,FALSE)</f>
        <v>7790</v>
      </c>
      <c r="G848" s="681">
        <v>0</v>
      </c>
      <c r="H848" s="252">
        <f>IF(G848&gt;0,(G848*F848*E848),(F848*E848))</f>
        <v>3895</v>
      </c>
      <c r="I848" s="914"/>
    </row>
    <row r="849" spans="1:9" s="324" customFormat="1" ht="12.75" x14ac:dyDescent="0.2">
      <c r="A849" s="939"/>
      <c r="B849" s="244" t="s">
        <v>1290</v>
      </c>
      <c r="C849" s="62" t="s">
        <v>2697</v>
      </c>
      <c r="D849" s="19" t="s">
        <v>406</v>
      </c>
      <c r="E849" s="194">
        <v>2.5</v>
      </c>
      <c r="F849" s="320">
        <f>VLOOKUP(B849,'BASE DE DATOS'!$A$5:$E$997,5,FALSE)</f>
        <v>13045</v>
      </c>
      <c r="G849" s="681">
        <v>1.03</v>
      </c>
      <c r="H849" s="252">
        <f>IF(G849&gt;0,(G849*F849*E849),(F849*E849))</f>
        <v>33590.875</v>
      </c>
      <c r="I849" s="914"/>
    </row>
    <row r="850" spans="1:9" s="324" customFormat="1" ht="12.75" x14ac:dyDescent="0.2">
      <c r="A850" s="939"/>
      <c r="B850" s="244" t="s">
        <v>1367</v>
      </c>
      <c r="C850" s="62" t="s">
        <v>592</v>
      </c>
      <c r="D850" s="19" t="s">
        <v>405</v>
      </c>
      <c r="E850" s="194">
        <v>17</v>
      </c>
      <c r="F850" s="320">
        <f>VLOOKUP(B850,'BASE DE DATOS'!$A$5:$E$997,5,FALSE)</f>
        <v>6534</v>
      </c>
      <c r="G850" s="681">
        <f>1/3</f>
        <v>0.33333333333333331</v>
      </c>
      <c r="H850" s="252">
        <f t="shared" ref="H850:H856" si="64">IF(G850&gt;0,(G850*F850*E850),(F850*E850))</f>
        <v>37026</v>
      </c>
      <c r="I850" s="914"/>
    </row>
    <row r="851" spans="1:9" s="324" customFormat="1" ht="12.75" x14ac:dyDescent="0.2">
      <c r="A851" s="939"/>
      <c r="B851" s="244" t="s">
        <v>1418</v>
      </c>
      <c r="C851" s="62" t="s">
        <v>591</v>
      </c>
      <c r="D851" s="19" t="s">
        <v>411</v>
      </c>
      <c r="E851" s="194">
        <v>3</v>
      </c>
      <c r="F851" s="320">
        <f>VLOOKUP(B851,'BASE DE DATOS'!$A$5:$E$997,5,FALSE)</f>
        <v>5250</v>
      </c>
      <c r="G851" s="681">
        <f>1/3</f>
        <v>0.33333333333333331</v>
      </c>
      <c r="H851" s="252">
        <f t="shared" si="64"/>
        <v>5250</v>
      </c>
      <c r="I851" s="914"/>
    </row>
    <row r="852" spans="1:9" s="324" customFormat="1" ht="12.75" x14ac:dyDescent="0.2">
      <c r="A852" s="939"/>
      <c r="B852" s="244" t="s">
        <v>1558</v>
      </c>
      <c r="C852" s="62" t="s">
        <v>603</v>
      </c>
      <c r="D852" s="19" t="s">
        <v>590</v>
      </c>
      <c r="E852" s="194">
        <v>0.4</v>
      </c>
      <c r="F852" s="320">
        <f>VLOOKUP(B852,'BASE DE DATOS'!$A$5:$E$997,5,FALSE)</f>
        <v>5650</v>
      </c>
      <c r="G852" s="681">
        <v>0</v>
      </c>
      <c r="H852" s="252">
        <f t="shared" si="64"/>
        <v>2260</v>
      </c>
      <c r="I852" s="914"/>
    </row>
    <row r="853" spans="1:9" s="324" customFormat="1" ht="13.15" customHeight="1" x14ac:dyDescent="0.2">
      <c r="A853" s="939"/>
      <c r="B853" s="244" t="s">
        <v>1711</v>
      </c>
      <c r="C853" s="62" t="s">
        <v>632</v>
      </c>
      <c r="D853" s="19" t="s">
        <v>405</v>
      </c>
      <c r="E853" s="194">
        <v>38.200000000000003</v>
      </c>
      <c r="F853" s="320">
        <f>VLOOKUP(B853,'BASE DE DATOS'!$A$5:$E$997,5,FALSE)</f>
        <v>10991</v>
      </c>
      <c r="G853" s="681">
        <f>1/3</f>
        <v>0.33333333333333331</v>
      </c>
      <c r="H853" s="252">
        <f>IF(G853&gt;0,(G853*F853*E853),(F853*E853))</f>
        <v>139952.06666666668</v>
      </c>
      <c r="I853" s="914"/>
    </row>
    <row r="854" spans="1:9" s="324" customFormat="1" ht="14.25" x14ac:dyDescent="0.2">
      <c r="A854" s="505" t="s">
        <v>3252</v>
      </c>
      <c r="B854" s="244" t="s">
        <v>806</v>
      </c>
      <c r="C854" s="62" t="s">
        <v>2145</v>
      </c>
      <c r="D854" s="19" t="s">
        <v>285</v>
      </c>
      <c r="E854" s="194">
        <v>1</v>
      </c>
      <c r="F854" s="320">
        <f>CONSTRUCCION!F70</f>
        <v>475537</v>
      </c>
      <c r="G854" s="681">
        <v>1.05</v>
      </c>
      <c r="H854" s="252">
        <f t="shared" si="64"/>
        <v>499313.85000000003</v>
      </c>
      <c r="I854" s="914"/>
    </row>
    <row r="855" spans="1:9" s="324" customFormat="1" ht="12.75" x14ac:dyDescent="0.2">
      <c r="A855" s="508" t="s">
        <v>2555</v>
      </c>
      <c r="B855" s="244" t="s">
        <v>587</v>
      </c>
      <c r="C855" s="62" t="s">
        <v>588</v>
      </c>
      <c r="D855" s="19" t="s">
        <v>585</v>
      </c>
      <c r="E855" s="194">
        <v>1</v>
      </c>
      <c r="F855" s="320">
        <f>VLOOKUP(B855,'BASE DE DATOS'!$A$5:$E$997,5,FALSE)</f>
        <v>514339</v>
      </c>
      <c r="G855" s="681">
        <f>1/3</f>
        <v>0.33333333333333331</v>
      </c>
      <c r="H855" s="252">
        <f t="shared" si="64"/>
        <v>171446.33333333331</v>
      </c>
      <c r="I855" s="914"/>
    </row>
    <row r="856" spans="1:9" s="324" customFormat="1" ht="13.5" thickBot="1" x14ac:dyDescent="0.25">
      <c r="A856" s="504" t="s">
        <v>293</v>
      </c>
      <c r="B856" s="543" t="s">
        <v>269</v>
      </c>
      <c r="C856" s="169" t="s">
        <v>284</v>
      </c>
      <c r="D856" s="112" t="s">
        <v>586</v>
      </c>
      <c r="E856" s="201">
        <v>0.1</v>
      </c>
      <c r="F856" s="321">
        <f>+H855</f>
        <v>171446.33333333331</v>
      </c>
      <c r="G856" s="686">
        <v>0</v>
      </c>
      <c r="H856" s="255">
        <f t="shared" si="64"/>
        <v>17144.633333333331</v>
      </c>
      <c r="I856" s="914"/>
    </row>
    <row r="857" spans="1:9" s="41" customFormat="1" ht="17.25" x14ac:dyDescent="0.2">
      <c r="A857" s="67" t="s">
        <v>1182</v>
      </c>
      <c r="B857" s="526"/>
      <c r="C857" s="325" t="s">
        <v>582</v>
      </c>
      <c r="D857" s="326" t="s">
        <v>3225</v>
      </c>
      <c r="E857" s="400"/>
      <c r="F857" s="357">
        <f>ROUND(SUM(H857:H860),0)</f>
        <v>725623</v>
      </c>
      <c r="G857" s="683"/>
      <c r="H857" s="330"/>
      <c r="I857" s="914"/>
    </row>
    <row r="858" spans="1:9" s="324" customFormat="1" ht="14.25" x14ac:dyDescent="0.2">
      <c r="A858" s="505" t="s">
        <v>3252</v>
      </c>
      <c r="B858" s="244" t="s">
        <v>806</v>
      </c>
      <c r="C858" s="62" t="s">
        <v>2145</v>
      </c>
      <c r="D858" s="19" t="s">
        <v>285</v>
      </c>
      <c r="E858" s="194">
        <v>1</v>
      </c>
      <c r="F858" s="320">
        <f>CONSTRUCCION!F70</f>
        <v>475537</v>
      </c>
      <c r="G858" s="681">
        <v>1.05</v>
      </c>
      <c r="H858" s="252">
        <f t="shared" ref="H858:H860" si="65">IF(G858&gt;0,(G858*F858*E858),(F858*E858))</f>
        <v>499313.85000000003</v>
      </c>
      <c r="I858" s="914"/>
    </row>
    <row r="859" spans="1:9" s="324" customFormat="1" ht="12.75" x14ac:dyDescent="0.2">
      <c r="A859" s="508" t="s">
        <v>2555</v>
      </c>
      <c r="B859" s="244" t="s">
        <v>587</v>
      </c>
      <c r="C859" s="62" t="s">
        <v>588</v>
      </c>
      <c r="D859" s="19" t="s">
        <v>585</v>
      </c>
      <c r="E859" s="194">
        <v>1</v>
      </c>
      <c r="F859" s="320">
        <f>VLOOKUP(B859,'BASE DE DATOS'!$A$5:$E$997,5,FALSE)</f>
        <v>514339</v>
      </c>
      <c r="G859" s="681">
        <f>1/2.5</f>
        <v>0.4</v>
      </c>
      <c r="H859" s="252">
        <f t="shared" si="65"/>
        <v>205735.6</v>
      </c>
      <c r="I859" s="914"/>
    </row>
    <row r="860" spans="1:9" s="324" customFormat="1" ht="13.5" thickBot="1" x14ac:dyDescent="0.25">
      <c r="A860" s="504" t="s">
        <v>293</v>
      </c>
      <c r="B860" s="543" t="s">
        <v>269</v>
      </c>
      <c r="C860" s="169" t="s">
        <v>284</v>
      </c>
      <c r="D860" s="112" t="s">
        <v>586</v>
      </c>
      <c r="E860" s="201">
        <v>0.1</v>
      </c>
      <c r="F860" s="321">
        <f>+H859</f>
        <v>205735.6</v>
      </c>
      <c r="G860" s="686">
        <v>0</v>
      </c>
      <c r="H860" s="255">
        <f t="shared" si="65"/>
        <v>20573.560000000001</v>
      </c>
      <c r="I860" s="914"/>
    </row>
    <row r="861" spans="1:9" s="41" customFormat="1" ht="30" x14ac:dyDescent="0.2">
      <c r="A861" s="67" t="s">
        <v>1183</v>
      </c>
      <c r="B861" s="526"/>
      <c r="C861" s="325" t="s">
        <v>3566</v>
      </c>
      <c r="D861" s="326" t="s">
        <v>3225</v>
      </c>
      <c r="E861" s="414"/>
      <c r="F861" s="357">
        <f>ROUND(SUM(H861:H874),0)</f>
        <v>12728753</v>
      </c>
      <c r="G861" s="683"/>
      <c r="H861" s="330"/>
      <c r="I861" s="914"/>
    </row>
    <row r="862" spans="1:9" s="324" customFormat="1" ht="12.75" x14ac:dyDescent="0.2">
      <c r="A862" s="1013" t="s">
        <v>295</v>
      </c>
      <c r="B862" s="244" t="s">
        <v>1264</v>
      </c>
      <c r="C862" s="62" t="s">
        <v>641</v>
      </c>
      <c r="D862" s="19" t="s">
        <v>642</v>
      </c>
      <c r="E862" s="194">
        <v>1.5</v>
      </c>
      <c r="F862" s="320">
        <f>VLOOKUP(B862,'BASE DE DATOS'!$A$5:$E$997,5,FALSE)</f>
        <v>10959</v>
      </c>
      <c r="G862" s="681">
        <v>1.05</v>
      </c>
      <c r="H862" s="252">
        <f>IF(G862&gt;0,(G862*F862*E862),(F862*E862))</f>
        <v>17260.425000000003</v>
      </c>
      <c r="I862" s="914"/>
    </row>
    <row r="863" spans="1:9" s="324" customFormat="1" ht="12.75" x14ac:dyDescent="0.2">
      <c r="A863" s="1013"/>
      <c r="B863" s="244" t="s">
        <v>1282</v>
      </c>
      <c r="C863" s="62" t="s">
        <v>604</v>
      </c>
      <c r="D863" s="19" t="s">
        <v>406</v>
      </c>
      <c r="E863" s="194">
        <v>0.5</v>
      </c>
      <c r="F863" s="320">
        <f>VLOOKUP(B863,'BASE DE DATOS'!$A$5:$E$997,5,FALSE)</f>
        <v>7790</v>
      </c>
      <c r="G863" s="681">
        <v>0</v>
      </c>
      <c r="H863" s="252">
        <f>IF(G863&gt;0,(G863*F863*E863),(F863*E863))</f>
        <v>3895</v>
      </c>
      <c r="I863" s="914"/>
    </row>
    <row r="864" spans="1:9" s="324" customFormat="1" ht="12.75" x14ac:dyDescent="0.2">
      <c r="A864" s="1013"/>
      <c r="B864" s="244" t="s">
        <v>1290</v>
      </c>
      <c r="C864" s="62" t="s">
        <v>2697</v>
      </c>
      <c r="D864" s="19" t="s">
        <v>406</v>
      </c>
      <c r="E864" s="194">
        <v>2.5</v>
      </c>
      <c r="F864" s="320">
        <f>VLOOKUP(B864,'BASE DE DATOS'!$A$5:$E$997,5,FALSE)</f>
        <v>13045</v>
      </c>
      <c r="G864" s="681">
        <v>1.03</v>
      </c>
      <c r="H864" s="252">
        <f>IF(G864&gt;0,(G864*F864*E864),(F864*E864))</f>
        <v>33590.875</v>
      </c>
      <c r="I864" s="914"/>
    </row>
    <row r="865" spans="1:9" s="324" customFormat="1" ht="12.75" x14ac:dyDescent="0.2">
      <c r="A865" s="1013"/>
      <c r="B865" s="244" t="s">
        <v>1463</v>
      </c>
      <c r="C865" s="62" t="s">
        <v>593</v>
      </c>
      <c r="D865" s="19" t="s">
        <v>405</v>
      </c>
      <c r="E865" s="194">
        <v>30</v>
      </c>
      <c r="F865" s="320">
        <f>VLOOKUP(B865,'BASE DE DATOS'!$A$5:$E$997,5,FALSE)</f>
        <v>4704</v>
      </c>
      <c r="G865" s="681">
        <f>1/3</f>
        <v>0.33333333333333331</v>
      </c>
      <c r="H865" s="252">
        <f t="shared" ref="H865:H874" si="66">IF(G865&gt;0,(G865*F865*E865),(F865*E865))</f>
        <v>47040</v>
      </c>
      <c r="I865" s="914"/>
    </row>
    <row r="866" spans="1:9" s="324" customFormat="1" ht="12.75" x14ac:dyDescent="0.2">
      <c r="A866" s="1013"/>
      <c r="B866" s="244" t="s">
        <v>1558</v>
      </c>
      <c r="C866" s="62" t="s">
        <v>603</v>
      </c>
      <c r="D866" s="19" t="s">
        <v>590</v>
      </c>
      <c r="E866" s="194">
        <v>3</v>
      </c>
      <c r="F866" s="320">
        <f>VLOOKUP(B866,'BASE DE DATOS'!$A$5:$E$997,5,FALSE)</f>
        <v>5650</v>
      </c>
      <c r="G866" s="681">
        <v>0</v>
      </c>
      <c r="H866" s="252">
        <f t="shared" si="66"/>
        <v>16950</v>
      </c>
      <c r="I866" s="914"/>
    </row>
    <row r="867" spans="1:9" s="324" customFormat="1" ht="13.15" customHeight="1" x14ac:dyDescent="0.2">
      <c r="A867" s="1013"/>
      <c r="B867" s="244" t="s">
        <v>1711</v>
      </c>
      <c r="C867" s="62" t="s">
        <v>632</v>
      </c>
      <c r="D867" s="19" t="s">
        <v>405</v>
      </c>
      <c r="E867" s="194">
        <v>36</v>
      </c>
      <c r="F867" s="320">
        <f>VLOOKUP(B867,'BASE DE DATOS'!$A$5:$E$997,5,FALSE)</f>
        <v>10991</v>
      </c>
      <c r="G867" s="681">
        <f>1/3</f>
        <v>0.33333333333333331</v>
      </c>
      <c r="H867" s="252">
        <f>IF(G867&gt;0,(G867*F867*E867),(F867*E867))</f>
        <v>131892</v>
      </c>
      <c r="I867" s="914"/>
    </row>
    <row r="868" spans="1:9" s="324" customFormat="1" ht="14.25" x14ac:dyDescent="0.2">
      <c r="A868" s="505" t="s">
        <v>3252</v>
      </c>
      <c r="B868" s="244" t="s">
        <v>799</v>
      </c>
      <c r="C868" s="62" t="s">
        <v>3276</v>
      </c>
      <c r="D868" s="19" t="s">
        <v>285</v>
      </c>
      <c r="E868" s="194">
        <v>1</v>
      </c>
      <c r="F868" s="320">
        <f>CONSTRUCCION!F34</f>
        <v>482282</v>
      </c>
      <c r="G868" s="681">
        <v>1.05</v>
      </c>
      <c r="H868" s="252">
        <f t="shared" si="66"/>
        <v>506396.10000000003</v>
      </c>
      <c r="I868" s="914"/>
    </row>
    <row r="869" spans="1:9" s="324" customFormat="1" ht="12.75" x14ac:dyDescent="0.2">
      <c r="A869" s="508" t="s">
        <v>2555</v>
      </c>
      <c r="B869" s="244" t="s">
        <v>587</v>
      </c>
      <c r="C869" s="62" t="s">
        <v>588</v>
      </c>
      <c r="D869" s="19" t="s">
        <v>585</v>
      </c>
      <c r="E869" s="194">
        <v>1</v>
      </c>
      <c r="F869" s="320">
        <f>VLOOKUP(B869,'BASE DE DATOS'!$A$5:$E$997,5,FALSE)</f>
        <v>514339</v>
      </c>
      <c r="G869" s="681">
        <v>1</v>
      </c>
      <c r="H869" s="252">
        <f t="shared" si="66"/>
        <v>514339</v>
      </c>
      <c r="I869" s="914"/>
    </row>
    <row r="870" spans="1:9" s="324" customFormat="1" ht="12.75" x14ac:dyDescent="0.2">
      <c r="A870" s="988" t="s">
        <v>293</v>
      </c>
      <c r="B870" s="244" t="s">
        <v>347</v>
      </c>
      <c r="C870" s="182" t="s">
        <v>65</v>
      </c>
      <c r="D870" s="19" t="s">
        <v>585</v>
      </c>
      <c r="E870" s="194">
        <v>15</v>
      </c>
      <c r="F870" s="320">
        <f>VLOOKUP(B870,'BASE DE DATOS'!$A$5:$E$997,5,FALSE)</f>
        <v>63150</v>
      </c>
      <c r="G870" s="681">
        <f>42/3.5</f>
        <v>12</v>
      </c>
      <c r="H870" s="252">
        <f>IF(G870&gt;0,(G870*F870*E870),(F870*E870))</f>
        <v>11367000</v>
      </c>
      <c r="I870" s="914"/>
    </row>
    <row r="871" spans="1:9" s="324" customFormat="1" ht="12.75" x14ac:dyDescent="0.2">
      <c r="A871" s="988"/>
      <c r="B871" s="244" t="s">
        <v>1924</v>
      </c>
      <c r="C871" s="182" t="s">
        <v>1967</v>
      </c>
      <c r="D871" s="19" t="s">
        <v>585</v>
      </c>
      <c r="E871" s="194">
        <v>31</v>
      </c>
      <c r="F871" s="320">
        <f>VLOOKUP(B871,'BASE DE DATOS'!$A$5:$E$997,5,FALSE)</f>
        <v>550</v>
      </c>
      <c r="G871" s="681">
        <v>0</v>
      </c>
      <c r="H871" s="252">
        <f>IF(G871&gt;0,(G871*F871*E871),(F871*E871))</f>
        <v>17050</v>
      </c>
      <c r="I871" s="914"/>
    </row>
    <row r="872" spans="1:9" s="324" customFormat="1" ht="12.75" x14ac:dyDescent="0.2">
      <c r="A872" s="988"/>
      <c r="B872" s="244" t="s">
        <v>269</v>
      </c>
      <c r="C872" s="62" t="s">
        <v>284</v>
      </c>
      <c r="D872" s="19" t="s">
        <v>586</v>
      </c>
      <c r="E872" s="194">
        <v>0.1</v>
      </c>
      <c r="F872" s="320">
        <f>+H869</f>
        <v>514339</v>
      </c>
      <c r="G872" s="681">
        <v>0</v>
      </c>
      <c r="H872" s="252">
        <f t="shared" si="66"/>
        <v>51433.9</v>
      </c>
      <c r="I872" s="914"/>
    </row>
    <row r="873" spans="1:9" s="324" customFormat="1" ht="12.75" x14ac:dyDescent="0.2">
      <c r="A873" s="988"/>
      <c r="B873" s="244" t="s">
        <v>663</v>
      </c>
      <c r="C873" s="182" t="s">
        <v>1955</v>
      </c>
      <c r="D873" s="19" t="s">
        <v>585</v>
      </c>
      <c r="E873" s="194">
        <v>63</v>
      </c>
      <c r="F873" s="320">
        <f>VLOOKUP(B873,'BASE DE DATOS'!$A$5:$E$997,5,FALSE)</f>
        <v>286</v>
      </c>
      <c r="G873" s="681">
        <v>0</v>
      </c>
      <c r="H873" s="252">
        <f t="shared" si="66"/>
        <v>18018</v>
      </c>
      <c r="I873" s="914"/>
    </row>
    <row r="874" spans="1:9" s="324" customFormat="1" ht="13.5" thickBot="1" x14ac:dyDescent="0.25">
      <c r="A874" s="1008"/>
      <c r="B874" s="543" t="s">
        <v>668</v>
      </c>
      <c r="C874" s="169" t="s">
        <v>669</v>
      </c>
      <c r="D874" s="112" t="s">
        <v>585</v>
      </c>
      <c r="E874" s="201">
        <v>1</v>
      </c>
      <c r="F874" s="321">
        <f>VLOOKUP(B874,'BASE DE DATOS'!$A$5:$E$997,5,FALSE)</f>
        <v>58310</v>
      </c>
      <c r="G874" s="686">
        <f>1/15</f>
        <v>6.6666666666666666E-2</v>
      </c>
      <c r="H874" s="255">
        <f t="shared" si="66"/>
        <v>3887.3333333333335</v>
      </c>
      <c r="I874" s="914"/>
    </row>
    <row r="875" spans="1:9" s="41" customFormat="1" ht="30" x14ac:dyDescent="0.2">
      <c r="A875" s="67" t="s">
        <v>1184</v>
      </c>
      <c r="B875" s="526"/>
      <c r="C875" s="325" t="s">
        <v>3567</v>
      </c>
      <c r="D875" s="326" t="s">
        <v>3251</v>
      </c>
      <c r="E875" s="414"/>
      <c r="F875" s="357">
        <f>ROUND(SUM(H875:H888),0)</f>
        <v>694422</v>
      </c>
      <c r="G875" s="683"/>
      <c r="H875" s="330"/>
      <c r="I875" s="914"/>
    </row>
    <row r="876" spans="1:9" s="324" customFormat="1" ht="12.75" x14ac:dyDescent="0.2">
      <c r="A876" s="1013" t="s">
        <v>295</v>
      </c>
      <c r="B876" s="244" t="s">
        <v>1264</v>
      </c>
      <c r="C876" s="62" t="s">
        <v>641</v>
      </c>
      <c r="D876" s="19" t="s">
        <v>642</v>
      </c>
      <c r="E876" s="194">
        <v>0.2</v>
      </c>
      <c r="F876" s="320">
        <f>VLOOKUP(B876,'BASE DE DATOS'!$A$5:$E$997,5,FALSE)</f>
        <v>10959</v>
      </c>
      <c r="G876" s="681">
        <v>1.05</v>
      </c>
      <c r="H876" s="252">
        <f>IF(G876&gt;0,(G876*F876*E876),(F876*E876))</f>
        <v>2301.3900000000003</v>
      </c>
      <c r="I876" s="914"/>
    </row>
    <row r="877" spans="1:9" s="324" customFormat="1" ht="12.75" x14ac:dyDescent="0.2">
      <c r="A877" s="1013"/>
      <c r="B877" s="244" t="s">
        <v>1290</v>
      </c>
      <c r="C877" s="62" t="s">
        <v>2697</v>
      </c>
      <c r="D877" s="19" t="s">
        <v>406</v>
      </c>
      <c r="E877" s="194">
        <f>1/5</f>
        <v>0.2</v>
      </c>
      <c r="F877" s="320">
        <f>VLOOKUP(B877,'BASE DE DATOS'!$A$5:$E$997,5,FALSE)</f>
        <v>13045</v>
      </c>
      <c r="G877" s="681">
        <v>1.03</v>
      </c>
      <c r="H877" s="252">
        <f>IF(G877&gt;0,(G877*F877*E877),(F877*E877))</f>
        <v>2687.2700000000004</v>
      </c>
      <c r="I877" s="914"/>
    </row>
    <row r="878" spans="1:9" s="324" customFormat="1" ht="12.75" x14ac:dyDescent="0.2">
      <c r="A878" s="1013"/>
      <c r="B878" s="244" t="s">
        <v>1367</v>
      </c>
      <c r="C878" s="62" t="s">
        <v>592</v>
      </c>
      <c r="D878" s="19" t="s">
        <v>405</v>
      </c>
      <c r="E878" s="194">
        <v>2</v>
      </c>
      <c r="F878" s="320">
        <f>VLOOKUP(B878,'BASE DE DATOS'!$A$5:$E$997,5,FALSE)</f>
        <v>6534</v>
      </c>
      <c r="G878" s="681">
        <f>1/3</f>
        <v>0.33333333333333331</v>
      </c>
      <c r="H878" s="252">
        <f t="shared" ref="H878:H888" si="67">IF(G878&gt;0,(G878*F878*E878),(F878*E878))</f>
        <v>4356</v>
      </c>
      <c r="I878" s="914"/>
    </row>
    <row r="879" spans="1:9" s="373" customFormat="1" ht="12.75" x14ac:dyDescent="0.2">
      <c r="A879" s="1013"/>
      <c r="B879" s="244" t="s">
        <v>1463</v>
      </c>
      <c r="C879" s="62" t="s">
        <v>593</v>
      </c>
      <c r="D879" s="19" t="s">
        <v>405</v>
      </c>
      <c r="E879" s="194">
        <v>2</v>
      </c>
      <c r="F879" s="320">
        <f>VLOOKUP(B879,'BASE DE DATOS'!$A$5:$E$997,5,FALSE)</f>
        <v>4704</v>
      </c>
      <c r="G879" s="681">
        <f>1/3</f>
        <v>0.33333333333333331</v>
      </c>
      <c r="H879" s="252">
        <f t="shared" si="67"/>
        <v>3136</v>
      </c>
      <c r="I879" s="921"/>
    </row>
    <row r="880" spans="1:9" s="373" customFormat="1" ht="12.75" x14ac:dyDescent="0.2">
      <c r="A880" s="1013"/>
      <c r="B880" s="244" t="s">
        <v>1558</v>
      </c>
      <c r="C880" s="62" t="s">
        <v>603</v>
      </c>
      <c r="D880" s="19" t="s">
        <v>590</v>
      </c>
      <c r="E880" s="194">
        <v>0.5</v>
      </c>
      <c r="F880" s="320">
        <f>VLOOKUP(B880,'BASE DE DATOS'!$A$5:$E$997,5,FALSE)</f>
        <v>5650</v>
      </c>
      <c r="G880" s="681">
        <v>0</v>
      </c>
      <c r="H880" s="252">
        <f t="shared" si="67"/>
        <v>2825</v>
      </c>
      <c r="I880" s="921"/>
    </row>
    <row r="881" spans="1:9" s="324" customFormat="1" ht="13.15" customHeight="1" x14ac:dyDescent="0.2">
      <c r="A881" s="1013"/>
      <c r="B881" s="244" t="s">
        <v>1711</v>
      </c>
      <c r="C881" s="62" t="s">
        <v>632</v>
      </c>
      <c r="D881" s="19" t="s">
        <v>405</v>
      </c>
      <c r="E881" s="194">
        <v>4</v>
      </c>
      <c r="F881" s="320">
        <f>VLOOKUP(B881,'BASE DE DATOS'!$A$5:$E$997,5,FALSE)</f>
        <v>10991</v>
      </c>
      <c r="G881" s="681">
        <f>1/3</f>
        <v>0.33333333333333331</v>
      </c>
      <c r="H881" s="252">
        <f>IF(G881&gt;0,(G881*F881*E881),(F881*E881))</f>
        <v>14654.666666666666</v>
      </c>
      <c r="I881" s="914"/>
    </row>
    <row r="882" spans="1:9" s="324" customFormat="1" ht="14.25" x14ac:dyDescent="0.2">
      <c r="A882" s="505" t="s">
        <v>3252</v>
      </c>
      <c r="B882" s="244" t="s">
        <v>799</v>
      </c>
      <c r="C882" s="62" t="s">
        <v>3276</v>
      </c>
      <c r="D882" s="19" t="s">
        <v>285</v>
      </c>
      <c r="E882" s="194">
        <v>0.3</v>
      </c>
      <c r="F882" s="320">
        <f>CONSTRUCCION!F34</f>
        <v>482282</v>
      </c>
      <c r="G882" s="681">
        <v>1.05</v>
      </c>
      <c r="H882" s="252">
        <f t="shared" si="67"/>
        <v>151918.83000000002</v>
      </c>
      <c r="I882" s="914"/>
    </row>
    <row r="883" spans="1:9" s="324" customFormat="1" ht="12.75" x14ac:dyDescent="0.2">
      <c r="A883" s="508" t="s">
        <v>2555</v>
      </c>
      <c r="B883" s="244" t="s">
        <v>587</v>
      </c>
      <c r="C883" s="62" t="s">
        <v>588</v>
      </c>
      <c r="D883" s="19" t="s">
        <v>585</v>
      </c>
      <c r="E883" s="194">
        <v>1</v>
      </c>
      <c r="F883" s="320">
        <f>VLOOKUP(B883,'BASE DE DATOS'!$A$5:$E$997,5,FALSE)</f>
        <v>514339</v>
      </c>
      <c r="G883" s="681">
        <f>1/6</f>
        <v>0.16666666666666666</v>
      </c>
      <c r="H883" s="252">
        <f t="shared" si="67"/>
        <v>85723.166666666657</v>
      </c>
      <c r="I883" s="914"/>
    </row>
    <row r="884" spans="1:9" s="324" customFormat="1" ht="12.75" x14ac:dyDescent="0.2">
      <c r="A884" s="988" t="s">
        <v>293</v>
      </c>
      <c r="B884" s="244" t="s">
        <v>347</v>
      </c>
      <c r="C884" s="182" t="s">
        <v>65</v>
      </c>
      <c r="D884" s="19" t="s">
        <v>585</v>
      </c>
      <c r="E884" s="194">
        <v>15</v>
      </c>
      <c r="F884" s="320">
        <f>VLOOKUP(B884,'BASE DE DATOS'!$A$5:$E$997,5,FALSE)</f>
        <v>63150</v>
      </c>
      <c r="G884" s="681">
        <f>30/72</f>
        <v>0.41666666666666669</v>
      </c>
      <c r="H884" s="252">
        <f>IF(G884&gt;0,(G884*F884*E884),(F884*E884))</f>
        <v>394687.5</v>
      </c>
      <c r="I884" s="914"/>
    </row>
    <row r="885" spans="1:9" s="324" customFormat="1" ht="12.75" x14ac:dyDescent="0.2">
      <c r="A885" s="988"/>
      <c r="B885" s="244" t="s">
        <v>1924</v>
      </c>
      <c r="C885" s="182" t="s">
        <v>1967</v>
      </c>
      <c r="D885" s="19" t="s">
        <v>585</v>
      </c>
      <c r="E885" s="194">
        <v>0.5</v>
      </c>
      <c r="F885" s="320">
        <f>VLOOKUP(B885,'BASE DE DATOS'!$A$5:$E$997,5,FALSE)</f>
        <v>550</v>
      </c>
      <c r="G885" s="681">
        <v>0</v>
      </c>
      <c r="H885" s="252">
        <f>IF(G885&gt;0,(G885*F885*E885),(F885*E885))</f>
        <v>275</v>
      </c>
      <c r="I885" s="914"/>
    </row>
    <row r="886" spans="1:9" s="324" customFormat="1" ht="12.75" x14ac:dyDescent="0.2">
      <c r="A886" s="988"/>
      <c r="B886" s="244" t="s">
        <v>269</v>
      </c>
      <c r="C886" s="62" t="s">
        <v>284</v>
      </c>
      <c r="D886" s="19" t="s">
        <v>586</v>
      </c>
      <c r="E886" s="194">
        <v>0.1</v>
      </c>
      <c r="F886" s="320">
        <f>+H883</f>
        <v>85723.166666666657</v>
      </c>
      <c r="G886" s="681">
        <v>0</v>
      </c>
      <c r="H886" s="252">
        <f t="shared" si="67"/>
        <v>8572.3166666666657</v>
      </c>
      <c r="I886" s="914"/>
    </row>
    <row r="887" spans="1:9" s="324" customFormat="1" ht="12.75" x14ac:dyDescent="0.2">
      <c r="A887" s="988"/>
      <c r="B887" s="244" t="s">
        <v>663</v>
      </c>
      <c r="C887" s="182" t="s">
        <v>1955</v>
      </c>
      <c r="D887" s="19" t="s">
        <v>585</v>
      </c>
      <c r="E887" s="194">
        <v>3</v>
      </c>
      <c r="F887" s="320">
        <f>VLOOKUP(B887,'BASE DE DATOS'!$A$5:$E$997,5,FALSE)</f>
        <v>286</v>
      </c>
      <c r="G887" s="681">
        <v>0</v>
      </c>
      <c r="H887" s="252">
        <f t="shared" si="67"/>
        <v>858</v>
      </c>
      <c r="I887" s="914"/>
    </row>
    <row r="888" spans="1:9" s="102" customFormat="1" ht="13.5" thickBot="1" x14ac:dyDescent="0.25">
      <c r="A888" s="1008"/>
      <c r="B888" s="543" t="s">
        <v>668</v>
      </c>
      <c r="C888" s="169" t="s">
        <v>669</v>
      </c>
      <c r="D888" s="112" t="s">
        <v>585</v>
      </c>
      <c r="E888" s="201">
        <v>1</v>
      </c>
      <c r="F888" s="321">
        <f>VLOOKUP(B888,'BASE DE DATOS'!$A$5:$E$997,5,FALSE)</f>
        <v>58310</v>
      </c>
      <c r="G888" s="686">
        <f>1/2.6</f>
        <v>0.38461538461538458</v>
      </c>
      <c r="H888" s="255">
        <f t="shared" si="67"/>
        <v>22426.923076923074</v>
      </c>
      <c r="I888" s="917"/>
    </row>
    <row r="889" spans="1:9" s="41" customFormat="1" ht="17.25" x14ac:dyDescent="0.2">
      <c r="A889" s="67" t="s">
        <v>1185</v>
      </c>
      <c r="B889" s="526"/>
      <c r="C889" s="325" t="s">
        <v>146</v>
      </c>
      <c r="D889" s="326" t="s">
        <v>3251</v>
      </c>
      <c r="E889" s="400"/>
      <c r="F889" s="357">
        <f>ROUND(SUM(H889:H894),0)</f>
        <v>120932</v>
      </c>
      <c r="G889" s="683"/>
      <c r="H889" s="330"/>
      <c r="I889" s="914"/>
    </row>
    <row r="890" spans="1:9" s="324" customFormat="1" ht="14.25" x14ac:dyDescent="0.2">
      <c r="A890" s="502" t="s">
        <v>382</v>
      </c>
      <c r="B890" s="244" t="s">
        <v>1521</v>
      </c>
      <c r="C890" s="62" t="s">
        <v>1963</v>
      </c>
      <c r="D890" s="19" t="s">
        <v>285</v>
      </c>
      <c r="E890" s="194">
        <v>0.25</v>
      </c>
      <c r="F890" s="320">
        <f>VLOOKUP(B890,'BASE DE DATOS'!$A$5:$E$997,5,FALSE)</f>
        <v>77345</v>
      </c>
      <c r="G890" s="681">
        <v>1.3</v>
      </c>
      <c r="H890" s="252">
        <f t="shared" ref="H890:H894" si="68">IF(G890&gt;0,(G890*F890*E890),(F890*E890))</f>
        <v>25137.125</v>
      </c>
      <c r="I890" s="914"/>
    </row>
    <row r="891" spans="1:9" s="324" customFormat="1" ht="14.25" x14ac:dyDescent="0.2">
      <c r="A891" s="505" t="s">
        <v>3252</v>
      </c>
      <c r="B891" s="244" t="s">
        <v>799</v>
      </c>
      <c r="C891" s="62" t="s">
        <v>3276</v>
      </c>
      <c r="D891" s="19" t="s">
        <v>285</v>
      </c>
      <c r="E891" s="194">
        <v>0.1</v>
      </c>
      <c r="F891" s="320">
        <f>CONSTRUCCION!F34</f>
        <v>482282</v>
      </c>
      <c r="G891" s="681">
        <v>1.05</v>
      </c>
      <c r="H891" s="252">
        <f t="shared" si="68"/>
        <v>50639.610000000008</v>
      </c>
      <c r="I891" s="914"/>
    </row>
    <row r="892" spans="1:9" s="102" customFormat="1" ht="12.75" x14ac:dyDescent="0.2">
      <c r="A892" s="508" t="s">
        <v>2555</v>
      </c>
      <c r="B892" s="244" t="s">
        <v>607</v>
      </c>
      <c r="C892" s="62" t="s">
        <v>608</v>
      </c>
      <c r="D892" s="19" t="s">
        <v>585</v>
      </c>
      <c r="E892" s="194">
        <v>1</v>
      </c>
      <c r="F892" s="320">
        <f>VLOOKUP(B892,'BASE DE DATOS'!$A$5:$E$997,5,FALSE)</f>
        <v>336981</v>
      </c>
      <c r="G892" s="681">
        <f>1/10</f>
        <v>0.1</v>
      </c>
      <c r="H892" s="252">
        <f t="shared" si="68"/>
        <v>33698.1</v>
      </c>
      <c r="I892" s="917"/>
    </row>
    <row r="893" spans="1:9" s="324" customFormat="1" ht="12.75" x14ac:dyDescent="0.2">
      <c r="A893" s="944" t="s">
        <v>293</v>
      </c>
      <c r="B893" s="244" t="s">
        <v>274</v>
      </c>
      <c r="C893" s="62" t="s">
        <v>287</v>
      </c>
      <c r="D893" s="19" t="s">
        <v>586</v>
      </c>
      <c r="E893" s="194">
        <v>0.17</v>
      </c>
      <c r="F893" s="320">
        <f>+H892</f>
        <v>33698.1</v>
      </c>
      <c r="G893" s="681">
        <v>0</v>
      </c>
      <c r="H893" s="252">
        <f t="shared" si="68"/>
        <v>5728.6770000000006</v>
      </c>
      <c r="I893" s="914"/>
    </row>
    <row r="894" spans="1:9" s="324" customFormat="1" ht="13.5" thickBot="1" x14ac:dyDescent="0.25">
      <c r="A894" s="945"/>
      <c r="B894" s="543" t="s">
        <v>269</v>
      </c>
      <c r="C894" s="169" t="s">
        <v>284</v>
      </c>
      <c r="D894" s="112" t="s">
        <v>586</v>
      </c>
      <c r="E894" s="201">
        <v>0.17</v>
      </c>
      <c r="F894" s="321">
        <f>+H892</f>
        <v>33698.1</v>
      </c>
      <c r="G894" s="686">
        <v>0</v>
      </c>
      <c r="H894" s="255">
        <f t="shared" si="68"/>
        <v>5728.6770000000006</v>
      </c>
      <c r="I894" s="914"/>
    </row>
    <row r="895" spans="1:9" s="41" customFormat="1" ht="30" x14ac:dyDescent="0.2">
      <c r="A895" s="67" t="s">
        <v>1186</v>
      </c>
      <c r="B895" s="526"/>
      <c r="C895" s="325" t="s">
        <v>3568</v>
      </c>
      <c r="D895" s="326" t="s">
        <v>3251</v>
      </c>
      <c r="E895" s="400"/>
      <c r="F895" s="357">
        <f>ROUND(SUM(H895:H902),0)</f>
        <v>100346</v>
      </c>
      <c r="G895" s="683"/>
      <c r="H895" s="330"/>
      <c r="I895" s="914"/>
    </row>
    <row r="896" spans="1:9" s="324" customFormat="1" ht="12.75" x14ac:dyDescent="0.2">
      <c r="A896" s="936" t="s">
        <v>382</v>
      </c>
      <c r="B896" s="244" t="s">
        <v>1290</v>
      </c>
      <c r="C896" s="62" t="s">
        <v>2697</v>
      </c>
      <c r="D896" s="19" t="s">
        <v>406</v>
      </c>
      <c r="E896" s="194">
        <v>0.2</v>
      </c>
      <c r="F896" s="320">
        <f>VLOOKUP(B896,'BASE DE DATOS'!$A$5:$E$997,5,FALSE)</f>
        <v>13045</v>
      </c>
      <c r="G896" s="681">
        <v>1.03</v>
      </c>
      <c r="H896" s="252">
        <f>IF(G896&gt;0,(G896*F896*E896),(F896*E896))</f>
        <v>2687.2700000000004</v>
      </c>
      <c r="I896" s="914"/>
    </row>
    <row r="897" spans="1:9" s="324" customFormat="1" ht="12.75" x14ac:dyDescent="0.2">
      <c r="A897" s="936"/>
      <c r="B897" s="244" t="s">
        <v>1367</v>
      </c>
      <c r="C897" s="62" t="s">
        <v>592</v>
      </c>
      <c r="D897" s="19" t="s">
        <v>405</v>
      </c>
      <c r="E897" s="194">
        <v>2</v>
      </c>
      <c r="F897" s="320">
        <f>VLOOKUP(B897,'BASE DE DATOS'!$A$5:$E$997,5,FALSE)</f>
        <v>6534</v>
      </c>
      <c r="G897" s="681">
        <v>0.25</v>
      </c>
      <c r="H897" s="252">
        <f t="shared" ref="H897:H902" si="69">IF(G897&gt;0,(G897*F897*E897),(F897*E897))</f>
        <v>3267</v>
      </c>
      <c r="I897" s="914"/>
    </row>
    <row r="898" spans="1:9" s="324" customFormat="1" ht="12.75" x14ac:dyDescent="0.2">
      <c r="A898" s="936"/>
      <c r="B898" s="244" t="s">
        <v>1558</v>
      </c>
      <c r="C898" s="62" t="s">
        <v>603</v>
      </c>
      <c r="D898" s="19" t="s">
        <v>590</v>
      </c>
      <c r="E898" s="194">
        <v>0.2</v>
      </c>
      <c r="F898" s="320">
        <f>VLOOKUP(B898,'BASE DE DATOS'!$A$5:$E$997,5,FALSE)</f>
        <v>5650</v>
      </c>
      <c r="G898" s="681">
        <v>0</v>
      </c>
      <c r="H898" s="252">
        <f t="shared" si="69"/>
        <v>1130</v>
      </c>
      <c r="I898" s="914"/>
    </row>
    <row r="899" spans="1:9" s="324" customFormat="1" ht="12.75" x14ac:dyDescent="0.2">
      <c r="A899" s="936"/>
      <c r="B899" s="244" t="s">
        <v>1711</v>
      </c>
      <c r="C899" s="62" t="s">
        <v>632</v>
      </c>
      <c r="D899" s="19" t="s">
        <v>405</v>
      </c>
      <c r="E899" s="194">
        <v>5</v>
      </c>
      <c r="F899" s="320">
        <f>VLOOKUP(B899,'BASE DE DATOS'!$A$5:$E$997,5,FALSE)</f>
        <v>10991</v>
      </c>
      <c r="G899" s="681">
        <v>0.25</v>
      </c>
      <c r="H899" s="252">
        <f>IF(G899&gt;0,(G899*F899*E899),(F899*E899))</f>
        <v>13738.75</v>
      </c>
      <c r="I899" s="914"/>
    </row>
    <row r="900" spans="1:9" s="324" customFormat="1" ht="14.25" x14ac:dyDescent="0.2">
      <c r="A900" s="505" t="s">
        <v>3252</v>
      </c>
      <c r="B900" s="244" t="s">
        <v>798</v>
      </c>
      <c r="C900" s="62" t="s">
        <v>2148</v>
      </c>
      <c r="D900" s="19" t="s">
        <v>285</v>
      </c>
      <c r="E900" s="194">
        <v>0.1</v>
      </c>
      <c r="F900" s="320">
        <f>CONSTRUCCION!F26</f>
        <v>456694</v>
      </c>
      <c r="G900" s="681">
        <v>1.1499999999999999</v>
      </c>
      <c r="H900" s="252">
        <f t="shared" si="69"/>
        <v>52519.81</v>
      </c>
      <c r="I900" s="914"/>
    </row>
    <row r="901" spans="1:9" s="102" customFormat="1" ht="12.75" x14ac:dyDescent="0.2">
      <c r="A901" s="508" t="s">
        <v>2555</v>
      </c>
      <c r="B901" s="244" t="s">
        <v>587</v>
      </c>
      <c r="C901" s="62" t="s">
        <v>588</v>
      </c>
      <c r="D901" s="19" t="s">
        <v>585</v>
      </c>
      <c r="E901" s="194">
        <v>1</v>
      </c>
      <c r="F901" s="320">
        <f>VLOOKUP(B901,'BASE DE DATOS'!$A$5:$E$997,5,FALSE)</f>
        <v>514339</v>
      </c>
      <c r="G901" s="681">
        <f>1/20</f>
        <v>0.05</v>
      </c>
      <c r="H901" s="252">
        <f t="shared" si="69"/>
        <v>25716.95</v>
      </c>
      <c r="I901" s="917"/>
    </row>
    <row r="902" spans="1:9" s="324" customFormat="1" ht="13.5" thickBot="1" x14ac:dyDescent="0.25">
      <c r="A902" s="504" t="s">
        <v>293</v>
      </c>
      <c r="B902" s="543" t="s">
        <v>269</v>
      </c>
      <c r="C902" s="169" t="s">
        <v>284</v>
      </c>
      <c r="D902" s="112" t="s">
        <v>586</v>
      </c>
      <c r="E902" s="201">
        <v>0.05</v>
      </c>
      <c r="F902" s="321">
        <f>+H901</f>
        <v>25716.95</v>
      </c>
      <c r="G902" s="686">
        <v>0</v>
      </c>
      <c r="H902" s="255">
        <f t="shared" si="69"/>
        <v>1285.8475000000001</v>
      </c>
      <c r="I902" s="914"/>
    </row>
    <row r="903" spans="1:9" s="41" customFormat="1" ht="39" customHeight="1" x14ac:dyDescent="0.2">
      <c r="A903" s="67" t="s">
        <v>1187</v>
      </c>
      <c r="B903" s="526"/>
      <c r="C903" s="325" t="s">
        <v>3569</v>
      </c>
      <c r="D903" s="326" t="s">
        <v>405</v>
      </c>
      <c r="E903" s="414"/>
      <c r="F903" s="357">
        <f>ROUND(SUM(H903:H908),0)</f>
        <v>38055</v>
      </c>
      <c r="G903" s="683"/>
      <c r="H903" s="330"/>
      <c r="I903" s="914"/>
    </row>
    <row r="904" spans="1:9" s="324" customFormat="1" ht="12.75" x14ac:dyDescent="0.2">
      <c r="A904" s="345" t="s">
        <v>382</v>
      </c>
      <c r="B904" s="244" t="s">
        <v>1290</v>
      </c>
      <c r="C904" s="62" t="s">
        <v>2697</v>
      </c>
      <c r="D904" s="19" t="s">
        <v>406</v>
      </c>
      <c r="E904" s="194">
        <v>0.1</v>
      </c>
      <c r="F904" s="320">
        <f>VLOOKUP(B904,'BASE DE DATOS'!$A$5:$E$997,5,FALSE)</f>
        <v>13045</v>
      </c>
      <c r="G904" s="681">
        <v>1.03</v>
      </c>
      <c r="H904" s="252">
        <f t="shared" ref="H904:H908" si="70">IF(G904&gt;0,(G904*F904*E904),(F904*E904))</f>
        <v>1343.6350000000002</v>
      </c>
      <c r="I904" s="914"/>
    </row>
    <row r="905" spans="1:9" s="324" customFormat="1" ht="14.25" x14ac:dyDescent="0.2">
      <c r="A905" s="505" t="s">
        <v>3252</v>
      </c>
      <c r="B905" s="244" t="s">
        <v>799</v>
      </c>
      <c r="C905" s="62" t="s">
        <v>3276</v>
      </c>
      <c r="D905" s="19" t="s">
        <v>285</v>
      </c>
      <c r="E905" s="194">
        <v>0.03</v>
      </c>
      <c r="F905" s="320">
        <f>CONSTRUCCION!F34</f>
        <v>482282</v>
      </c>
      <c r="G905" s="681">
        <v>1.05</v>
      </c>
      <c r="H905" s="252">
        <f t="shared" si="70"/>
        <v>15191.883</v>
      </c>
      <c r="I905" s="914"/>
    </row>
    <row r="906" spans="1:9" s="324" customFormat="1" ht="12.75" x14ac:dyDescent="0.2">
      <c r="A906" s="979" t="s">
        <v>2555</v>
      </c>
      <c r="B906" s="244" t="s">
        <v>644</v>
      </c>
      <c r="C906" s="62" t="s">
        <v>645</v>
      </c>
      <c r="D906" s="19" t="s">
        <v>585</v>
      </c>
      <c r="E906" s="194">
        <v>1</v>
      </c>
      <c r="F906" s="320">
        <f>VLOOKUP(B906,'BASE DE DATOS'!$A$5:$E$997,5,FALSE)</f>
        <v>248302</v>
      </c>
      <c r="G906" s="681">
        <f>1/15</f>
        <v>6.6666666666666666E-2</v>
      </c>
      <c r="H906" s="252">
        <f>IF(G906&gt;0,(G906*F906*E906),(F906*E906))</f>
        <v>16553.466666666667</v>
      </c>
      <c r="I906" s="914"/>
    </row>
    <row r="907" spans="1:9" s="324" customFormat="1" ht="12.75" x14ac:dyDescent="0.2">
      <c r="A907" s="979"/>
      <c r="B907" s="244" t="s">
        <v>266</v>
      </c>
      <c r="C907" s="62" t="s">
        <v>283</v>
      </c>
      <c r="D907" s="19" t="s">
        <v>586</v>
      </c>
      <c r="E907" s="194">
        <v>0.1</v>
      </c>
      <c r="F907" s="320">
        <f>H906</f>
        <v>16553.466666666667</v>
      </c>
      <c r="G907" s="681">
        <v>0</v>
      </c>
      <c r="H907" s="252">
        <f t="shared" si="70"/>
        <v>1655.3466666666668</v>
      </c>
      <c r="I907" s="914"/>
    </row>
    <row r="908" spans="1:9" s="324" customFormat="1" ht="13.5" thickBot="1" x14ac:dyDescent="0.25">
      <c r="A908" s="504" t="s">
        <v>293</v>
      </c>
      <c r="B908" s="543" t="s">
        <v>269</v>
      </c>
      <c r="C908" s="169" t="s">
        <v>284</v>
      </c>
      <c r="D908" s="112" t="s">
        <v>586</v>
      </c>
      <c r="E908" s="201">
        <v>0.2</v>
      </c>
      <c r="F908" s="321">
        <f>+H906</f>
        <v>16553.466666666667</v>
      </c>
      <c r="G908" s="686">
        <v>0</v>
      </c>
      <c r="H908" s="255">
        <f t="shared" si="70"/>
        <v>3310.6933333333336</v>
      </c>
      <c r="I908" s="914"/>
    </row>
    <row r="909" spans="1:9" s="41" customFormat="1" ht="30" x14ac:dyDescent="0.2">
      <c r="A909" s="67" t="s">
        <v>1188</v>
      </c>
      <c r="B909" s="525"/>
      <c r="C909" s="325" t="s">
        <v>3570</v>
      </c>
      <c r="D909" s="326" t="s">
        <v>411</v>
      </c>
      <c r="E909" s="414"/>
      <c r="F909" s="357">
        <f>ROUND(SUM(H909:H917),0)</f>
        <v>115173</v>
      </c>
      <c r="G909" s="683"/>
      <c r="H909" s="330"/>
      <c r="I909" s="914"/>
    </row>
    <row r="910" spans="1:9" s="324" customFormat="1" ht="12.75" x14ac:dyDescent="0.2">
      <c r="A910" s="936" t="s">
        <v>382</v>
      </c>
      <c r="B910" s="244" t="s">
        <v>1367</v>
      </c>
      <c r="C910" s="62" t="s">
        <v>592</v>
      </c>
      <c r="D910" s="19" t="s">
        <v>405</v>
      </c>
      <c r="E910" s="194">
        <v>4</v>
      </c>
      <c r="F910" s="320">
        <f>VLOOKUP(B910,'BASE DE DATOS'!$A$5:$E$997,5,FALSE)</f>
        <v>6534</v>
      </c>
      <c r="G910" s="681">
        <f>1/3</f>
        <v>0.33333333333333331</v>
      </c>
      <c r="H910" s="252">
        <f t="shared" ref="H910:H917" si="71">IF(G910&gt;0,(G910*F910*E910),(F910*E910))</f>
        <v>8712</v>
      </c>
      <c r="I910" s="914"/>
    </row>
    <row r="911" spans="1:9" s="324" customFormat="1" ht="12.75" x14ac:dyDescent="0.2">
      <c r="A911" s="936"/>
      <c r="B911" s="244" t="s">
        <v>1463</v>
      </c>
      <c r="C911" s="62" t="s">
        <v>593</v>
      </c>
      <c r="D911" s="19" t="s">
        <v>405</v>
      </c>
      <c r="E911" s="194">
        <v>6</v>
      </c>
      <c r="F911" s="320">
        <f>VLOOKUP(B911,'BASE DE DATOS'!$A$5:$E$997,5,FALSE)</f>
        <v>4704</v>
      </c>
      <c r="G911" s="681">
        <f>1/3</f>
        <v>0.33333333333333331</v>
      </c>
      <c r="H911" s="252">
        <f t="shared" si="71"/>
        <v>9408</v>
      </c>
      <c r="I911" s="914"/>
    </row>
    <row r="912" spans="1:9" s="324" customFormat="1" ht="12.75" x14ac:dyDescent="0.2">
      <c r="A912" s="936"/>
      <c r="B912" s="244" t="s">
        <v>1418</v>
      </c>
      <c r="C912" s="62" t="s">
        <v>591</v>
      </c>
      <c r="D912" s="19" t="s">
        <v>411</v>
      </c>
      <c r="E912" s="194">
        <v>1</v>
      </c>
      <c r="F912" s="320">
        <f>VLOOKUP(B912,'BASE DE DATOS'!$A$5:$E$997,5,FALSE)</f>
        <v>5250</v>
      </c>
      <c r="G912" s="681">
        <f>1/3</f>
        <v>0.33333333333333331</v>
      </c>
      <c r="H912" s="252">
        <f t="shared" si="71"/>
        <v>1750</v>
      </c>
      <c r="I912" s="914"/>
    </row>
    <row r="913" spans="1:9" s="324" customFormat="1" ht="12.75" x14ac:dyDescent="0.2">
      <c r="A913" s="936"/>
      <c r="B913" s="244" t="s">
        <v>1558</v>
      </c>
      <c r="C913" s="62" t="s">
        <v>603</v>
      </c>
      <c r="D913" s="19" t="s">
        <v>590</v>
      </c>
      <c r="E913" s="194">
        <v>0.5</v>
      </c>
      <c r="F913" s="320">
        <f>VLOOKUP(B913,'BASE DE DATOS'!$A$5:$E$997,5,FALSE)</f>
        <v>5650</v>
      </c>
      <c r="G913" s="681">
        <v>0</v>
      </c>
      <c r="H913" s="252">
        <f t="shared" si="71"/>
        <v>2825</v>
      </c>
      <c r="I913" s="914"/>
    </row>
    <row r="914" spans="1:9" s="324" customFormat="1" ht="12.75" x14ac:dyDescent="0.2">
      <c r="A914" s="936"/>
      <c r="B914" s="244" t="s">
        <v>1711</v>
      </c>
      <c r="C914" s="62" t="s">
        <v>632</v>
      </c>
      <c r="D914" s="19" t="s">
        <v>405</v>
      </c>
      <c r="E914" s="194">
        <v>3</v>
      </c>
      <c r="F914" s="320">
        <f>VLOOKUP(B914,'BASE DE DATOS'!$A$5:$E$997,5,FALSE)</f>
        <v>10991</v>
      </c>
      <c r="G914" s="681">
        <f>1/3</f>
        <v>0.33333333333333331</v>
      </c>
      <c r="H914" s="252">
        <f>IF(G914&gt;0,(G914*F914*E914),(F914*E914))</f>
        <v>10991</v>
      </c>
      <c r="I914" s="914"/>
    </row>
    <row r="915" spans="1:9" s="324" customFormat="1" ht="14.25" x14ac:dyDescent="0.2">
      <c r="A915" s="505" t="s">
        <v>3252</v>
      </c>
      <c r="B915" s="244" t="s">
        <v>798</v>
      </c>
      <c r="C915" s="62" t="s">
        <v>2148</v>
      </c>
      <c r="D915" s="19" t="s">
        <v>285</v>
      </c>
      <c r="E915" s="194">
        <v>7.4999999999999997E-2</v>
      </c>
      <c r="F915" s="320">
        <f>CONSTRUCCION!F26</f>
        <v>456694</v>
      </c>
      <c r="G915" s="681">
        <v>1.05</v>
      </c>
      <c r="H915" s="252">
        <f t="shared" si="71"/>
        <v>35964.652499999997</v>
      </c>
      <c r="I915" s="914"/>
    </row>
    <row r="916" spans="1:9" s="324" customFormat="1" ht="12.75" x14ac:dyDescent="0.2">
      <c r="A916" s="508" t="s">
        <v>2555</v>
      </c>
      <c r="B916" s="244" t="s">
        <v>644</v>
      </c>
      <c r="C916" s="62" t="s">
        <v>645</v>
      </c>
      <c r="D916" s="19" t="s">
        <v>585</v>
      </c>
      <c r="E916" s="194">
        <v>1</v>
      </c>
      <c r="F916" s="320">
        <f>VLOOKUP(B916,'BASE DE DATOS'!$A$5:$E$997,5,FALSE)</f>
        <v>248302</v>
      </c>
      <c r="G916" s="681">
        <f>1/6</f>
        <v>0.16666666666666666</v>
      </c>
      <c r="H916" s="252">
        <f t="shared" si="71"/>
        <v>41383.666666666664</v>
      </c>
      <c r="I916" s="914"/>
    </row>
    <row r="917" spans="1:9" s="324" customFormat="1" ht="13.5" thickBot="1" x14ac:dyDescent="0.25">
      <c r="A917" s="504" t="s">
        <v>293</v>
      </c>
      <c r="B917" s="543" t="s">
        <v>269</v>
      </c>
      <c r="C917" s="169" t="s">
        <v>284</v>
      </c>
      <c r="D917" s="112" t="s">
        <v>586</v>
      </c>
      <c r="E917" s="201">
        <v>0.1</v>
      </c>
      <c r="F917" s="321">
        <f>+H916</f>
        <v>41383.666666666664</v>
      </c>
      <c r="G917" s="686">
        <v>0</v>
      </c>
      <c r="H917" s="255">
        <f t="shared" si="71"/>
        <v>4138.3666666666668</v>
      </c>
      <c r="I917" s="914"/>
    </row>
    <row r="918" spans="1:9" s="41" customFormat="1" ht="30" x14ac:dyDescent="0.2">
      <c r="A918" s="67" t="s">
        <v>1189</v>
      </c>
      <c r="B918" s="526"/>
      <c r="C918" s="325" t="s">
        <v>2161</v>
      </c>
      <c r="D918" s="326" t="s">
        <v>405</v>
      </c>
      <c r="E918" s="400"/>
      <c r="F918" s="357">
        <f>ROUND(SUM(H918:H927),0)</f>
        <v>123594</v>
      </c>
      <c r="G918" s="683"/>
      <c r="H918" s="330"/>
      <c r="I918" s="914"/>
    </row>
    <row r="919" spans="1:9" s="324" customFormat="1" ht="12.75" x14ac:dyDescent="0.2">
      <c r="A919" s="936" t="s">
        <v>382</v>
      </c>
      <c r="B919" s="244" t="s">
        <v>1264</v>
      </c>
      <c r="C919" s="62" t="s">
        <v>641</v>
      </c>
      <c r="D919" s="19" t="s">
        <v>642</v>
      </c>
      <c r="E919" s="198">
        <v>0.05</v>
      </c>
      <c r="F919" s="320">
        <f>VLOOKUP(B919,'BASE DE DATOS'!$A$5:$E$997,5,FALSE)</f>
        <v>10959</v>
      </c>
      <c r="G919" s="681">
        <v>0</v>
      </c>
      <c r="H919" s="252">
        <f>IF(G919&gt;0,(G919*F919*E919),(F919*E919))</f>
        <v>547.95000000000005</v>
      </c>
      <c r="I919" s="914"/>
    </row>
    <row r="920" spans="1:9" s="324" customFormat="1" ht="12.75" x14ac:dyDescent="0.2">
      <c r="A920" s="936"/>
      <c r="B920" s="244" t="s">
        <v>1290</v>
      </c>
      <c r="C920" s="62" t="s">
        <v>2697</v>
      </c>
      <c r="D920" s="19" t="s">
        <v>406</v>
      </c>
      <c r="E920" s="194">
        <v>0.05</v>
      </c>
      <c r="F920" s="320">
        <f>VLOOKUP(B920,'BASE DE DATOS'!$A$5:$E$997,5,FALSE)</f>
        <v>13045</v>
      </c>
      <c r="G920" s="681">
        <v>1.03</v>
      </c>
      <c r="H920" s="252">
        <f>IF(G920&gt;0,(G920*F920*E920),(F920*E920))</f>
        <v>671.81750000000011</v>
      </c>
      <c r="I920" s="914"/>
    </row>
    <row r="921" spans="1:9" s="324" customFormat="1" ht="12.75" x14ac:dyDescent="0.2">
      <c r="A921" s="936"/>
      <c r="B921" s="244" t="s">
        <v>1558</v>
      </c>
      <c r="C921" s="62" t="s">
        <v>603</v>
      </c>
      <c r="D921" s="19" t="s">
        <v>590</v>
      </c>
      <c r="E921" s="198">
        <v>0.02</v>
      </c>
      <c r="F921" s="320">
        <f>VLOOKUP(B921,'BASE DE DATOS'!$A$5:$E$997,5,FALSE)</f>
        <v>5650</v>
      </c>
      <c r="G921" s="681">
        <v>0</v>
      </c>
      <c r="H921" s="252">
        <f t="shared" ref="H921:H927" si="72">IF(G921&gt;0,(G921*F921*E921),(F921*E921))</f>
        <v>113</v>
      </c>
      <c r="I921" s="914"/>
    </row>
    <row r="922" spans="1:9" s="324" customFormat="1" ht="12.75" x14ac:dyDescent="0.2">
      <c r="A922" s="936"/>
      <c r="B922" s="244" t="s">
        <v>1711</v>
      </c>
      <c r="C922" s="62" t="s">
        <v>632</v>
      </c>
      <c r="D922" s="19" t="s">
        <v>405</v>
      </c>
      <c r="E922" s="198">
        <v>4</v>
      </c>
      <c r="F922" s="320">
        <f>VLOOKUP(B922,'BASE DE DATOS'!$A$5:$E$997,5,FALSE)</f>
        <v>10991</v>
      </c>
      <c r="G922" s="681">
        <f>1/3</f>
        <v>0.33333333333333331</v>
      </c>
      <c r="H922" s="252">
        <f>IF(G922&gt;0,(G922*F922*E922),(F922*E922))</f>
        <v>14654.666666666666</v>
      </c>
      <c r="I922" s="914"/>
    </row>
    <row r="923" spans="1:9" s="324" customFormat="1" ht="12.75" x14ac:dyDescent="0.2">
      <c r="A923" s="936"/>
      <c r="B923" s="244" t="s">
        <v>1690</v>
      </c>
      <c r="C923" s="62" t="s">
        <v>2749</v>
      </c>
      <c r="D923" s="19" t="s">
        <v>405</v>
      </c>
      <c r="E923" s="198">
        <v>3.3</v>
      </c>
      <c r="F923" s="320">
        <f>VLOOKUP(B923,'BASE DE DATOS'!$A$5:$E$997,5,FALSE)</f>
        <v>1540</v>
      </c>
      <c r="G923" s="681">
        <f>1/3</f>
        <v>0.33333333333333331</v>
      </c>
      <c r="H923" s="252">
        <f>IF(G923&gt;0,(G923*F923*E923),(F923*E923))</f>
        <v>1693.9999999999995</v>
      </c>
      <c r="I923" s="914"/>
    </row>
    <row r="924" spans="1:9" s="324" customFormat="1" ht="14.25" x14ac:dyDescent="0.2">
      <c r="A924" s="505" t="s">
        <v>3252</v>
      </c>
      <c r="B924" s="244" t="s">
        <v>796</v>
      </c>
      <c r="C924" s="62" t="s">
        <v>3254</v>
      </c>
      <c r="D924" s="19" t="s">
        <v>285</v>
      </c>
      <c r="E924" s="198">
        <v>0.08</v>
      </c>
      <c r="F924" s="320">
        <f>CONSTRUCCION!F10</f>
        <v>374067</v>
      </c>
      <c r="G924" s="681">
        <v>1.05</v>
      </c>
      <c r="H924" s="252">
        <f t="shared" si="72"/>
        <v>31421.628000000004</v>
      </c>
      <c r="I924" s="914"/>
    </row>
    <row r="925" spans="1:9" s="324" customFormat="1" ht="12.75" x14ac:dyDescent="0.2">
      <c r="A925" s="979" t="s">
        <v>2555</v>
      </c>
      <c r="B925" s="244" t="s">
        <v>644</v>
      </c>
      <c r="C925" s="62" t="s">
        <v>645</v>
      </c>
      <c r="D925" s="19" t="s">
        <v>585</v>
      </c>
      <c r="E925" s="198">
        <v>1</v>
      </c>
      <c r="F925" s="320">
        <f>VLOOKUP(B925,'BASE DE DATOS'!$A$5:$E$997,5,FALSE)</f>
        <v>248302</v>
      </c>
      <c r="G925" s="681">
        <f>1/4</f>
        <v>0.25</v>
      </c>
      <c r="H925" s="252">
        <f>IF(G925&gt;0,(G925*F925*E925),(F925*E925))</f>
        <v>62075.5</v>
      </c>
      <c r="I925" s="914"/>
    </row>
    <row r="926" spans="1:9" s="324" customFormat="1" ht="12.75" x14ac:dyDescent="0.2">
      <c r="A926" s="979"/>
      <c r="B926" s="244" t="s">
        <v>266</v>
      </c>
      <c r="C926" s="62" t="s">
        <v>283</v>
      </c>
      <c r="D926" s="19" t="s">
        <v>586</v>
      </c>
      <c r="E926" s="194">
        <v>0.1</v>
      </c>
      <c r="F926" s="320">
        <f>H925</f>
        <v>62075.5</v>
      </c>
      <c r="G926" s="681">
        <v>0</v>
      </c>
      <c r="H926" s="252">
        <f t="shared" si="72"/>
        <v>6207.55</v>
      </c>
      <c r="I926" s="914"/>
    </row>
    <row r="927" spans="1:9" s="324" customFormat="1" ht="13.5" thickBot="1" x14ac:dyDescent="0.25">
      <c r="A927" s="504" t="s">
        <v>293</v>
      </c>
      <c r="B927" s="543" t="s">
        <v>269</v>
      </c>
      <c r="C927" s="169" t="s">
        <v>284</v>
      </c>
      <c r="D927" s="112" t="s">
        <v>586</v>
      </c>
      <c r="E927" s="206">
        <v>0.1</v>
      </c>
      <c r="F927" s="321">
        <f>H925</f>
        <v>62075.5</v>
      </c>
      <c r="G927" s="686">
        <v>0</v>
      </c>
      <c r="H927" s="255">
        <f t="shared" si="72"/>
        <v>6207.55</v>
      </c>
      <c r="I927" s="914"/>
    </row>
    <row r="928" spans="1:9" s="41" customFormat="1" ht="30" x14ac:dyDescent="0.2">
      <c r="A928" s="67" t="s">
        <v>1190</v>
      </c>
      <c r="B928" s="526"/>
      <c r="C928" s="325" t="s">
        <v>3571</v>
      </c>
      <c r="D928" s="326" t="s">
        <v>3251</v>
      </c>
      <c r="E928" s="400"/>
      <c r="F928" s="357">
        <f>ROUND(SUM(H928:H933),0)</f>
        <v>106127</v>
      </c>
      <c r="G928" s="683"/>
      <c r="H928" s="330"/>
      <c r="I928" s="914"/>
    </row>
    <row r="929" spans="1:9" s="324" customFormat="1" ht="14.25" x14ac:dyDescent="0.2">
      <c r="A929" s="502" t="s">
        <v>382</v>
      </c>
      <c r="B929" s="244" t="s">
        <v>1395</v>
      </c>
      <c r="C929" s="62" t="s">
        <v>257</v>
      </c>
      <c r="D929" s="19" t="s">
        <v>288</v>
      </c>
      <c r="E929" s="194">
        <v>1</v>
      </c>
      <c r="F929" s="320">
        <f>VLOOKUP(B929,'BASE DE DATOS'!$A$5:$E$997,5,FALSE)</f>
        <v>38170.439999999995</v>
      </c>
      <c r="G929" s="681">
        <v>1.1000000000000001</v>
      </c>
      <c r="H929" s="252">
        <f t="shared" ref="H929:H933" si="73">IF(G929&gt;0,(G929*F929*E929),(F929*E929))</f>
        <v>41987.483999999997</v>
      </c>
      <c r="I929" s="914"/>
    </row>
    <row r="930" spans="1:9" s="324" customFormat="1" ht="14.25" x14ac:dyDescent="0.2">
      <c r="A930" s="505" t="s">
        <v>3252</v>
      </c>
      <c r="B930" s="244" t="s">
        <v>807</v>
      </c>
      <c r="C930" s="62" t="s">
        <v>109</v>
      </c>
      <c r="D930" s="19" t="s">
        <v>285</v>
      </c>
      <c r="E930" s="194">
        <v>0.09</v>
      </c>
      <c r="F930" s="320">
        <f>CONSTRUCCION!F74</f>
        <v>537482</v>
      </c>
      <c r="G930" s="681">
        <v>1.05</v>
      </c>
      <c r="H930" s="252">
        <f t="shared" si="73"/>
        <v>50792.048999999999</v>
      </c>
      <c r="I930" s="914"/>
    </row>
    <row r="931" spans="1:9" s="324" customFormat="1" ht="12.75" x14ac:dyDescent="0.2">
      <c r="A931" s="508" t="s">
        <v>2555</v>
      </c>
      <c r="B931" s="244" t="s">
        <v>587</v>
      </c>
      <c r="C931" s="62" t="s">
        <v>588</v>
      </c>
      <c r="D931" s="19" t="s">
        <v>585</v>
      </c>
      <c r="E931" s="194">
        <v>1</v>
      </c>
      <c r="F931" s="320">
        <f>VLOOKUP(B931,'BASE DE DATOS'!$A$5:$E$997,5,FALSE)</f>
        <v>514339</v>
      </c>
      <c r="G931" s="681">
        <f>1/60</f>
        <v>1.6666666666666666E-2</v>
      </c>
      <c r="H931" s="252">
        <f t="shared" si="73"/>
        <v>8572.3166666666657</v>
      </c>
      <c r="I931" s="914"/>
    </row>
    <row r="932" spans="1:9" s="324" customFormat="1" ht="14.25" x14ac:dyDescent="0.2">
      <c r="A932" s="937" t="s">
        <v>293</v>
      </c>
      <c r="B932" s="244" t="s">
        <v>340</v>
      </c>
      <c r="C932" s="474" t="s">
        <v>259</v>
      </c>
      <c r="D932" s="215" t="s">
        <v>285</v>
      </c>
      <c r="E932" s="194">
        <v>0.09</v>
      </c>
      <c r="F932" s="320">
        <f>VLOOKUP(B932,'BASE DE DATOS'!$A$5:$E$997,5,FALSE)</f>
        <v>48300</v>
      </c>
      <c r="G932" s="684">
        <v>0</v>
      </c>
      <c r="H932" s="252">
        <f>IF(G932&gt;0,(G932*F932*E932),(F932*E932))</f>
        <v>4347</v>
      </c>
      <c r="I932" s="914"/>
    </row>
    <row r="933" spans="1:9" s="324" customFormat="1" ht="13.5" thickBot="1" x14ac:dyDescent="0.25">
      <c r="A933" s="938"/>
      <c r="B933" s="543" t="s">
        <v>269</v>
      </c>
      <c r="C933" s="75" t="s">
        <v>284</v>
      </c>
      <c r="D933" s="49" t="s">
        <v>586</v>
      </c>
      <c r="E933" s="195">
        <v>0.05</v>
      </c>
      <c r="F933" s="355">
        <f>+H931</f>
        <v>8572.3166666666657</v>
      </c>
      <c r="G933" s="682">
        <v>0</v>
      </c>
      <c r="H933" s="255">
        <f t="shared" si="73"/>
        <v>428.61583333333328</v>
      </c>
      <c r="I933" s="914"/>
    </row>
    <row r="934" spans="1:9" s="41" customFormat="1" ht="30" x14ac:dyDescent="0.2">
      <c r="A934" s="67" t="s">
        <v>1191</v>
      </c>
      <c r="B934" s="526"/>
      <c r="C934" s="325" t="s">
        <v>3572</v>
      </c>
      <c r="D934" s="326" t="s">
        <v>3251</v>
      </c>
      <c r="E934" s="400"/>
      <c r="F934" s="357">
        <f>ROUND(SUM(H934:H938),0)</f>
        <v>121068</v>
      </c>
      <c r="G934" s="683"/>
      <c r="H934" s="330"/>
      <c r="I934" s="914"/>
    </row>
    <row r="935" spans="1:9" s="324" customFormat="1" ht="14.25" x14ac:dyDescent="0.2">
      <c r="A935" s="502" t="s">
        <v>382</v>
      </c>
      <c r="B935" s="244" t="s">
        <v>1395</v>
      </c>
      <c r="C935" s="62" t="s">
        <v>257</v>
      </c>
      <c r="D935" s="19" t="s">
        <v>288</v>
      </c>
      <c r="E935" s="194">
        <v>1</v>
      </c>
      <c r="F935" s="320">
        <f>VLOOKUP(B935,'BASE DE DATOS'!$A$5:$E$997,5,FALSE)</f>
        <v>38170.439999999995</v>
      </c>
      <c r="G935" s="681">
        <v>1.1000000000000001</v>
      </c>
      <c r="H935" s="252">
        <f t="shared" ref="H935:H938" si="74">IF(G935&gt;0,(G935*F935*E935),(F935*E935))</f>
        <v>41987.483999999997</v>
      </c>
      <c r="I935" s="914"/>
    </row>
    <row r="936" spans="1:9" s="324" customFormat="1" ht="14.25" x14ac:dyDescent="0.2">
      <c r="A936" s="505" t="s">
        <v>3252</v>
      </c>
      <c r="B936" s="244" t="s">
        <v>807</v>
      </c>
      <c r="C936" s="62" t="s">
        <v>109</v>
      </c>
      <c r="D936" s="19" t="s">
        <v>285</v>
      </c>
      <c r="E936" s="194">
        <v>0.09</v>
      </c>
      <c r="F936" s="320">
        <f>CONSTRUCCION!F74</f>
        <v>537482</v>
      </c>
      <c r="G936" s="681">
        <v>1.05</v>
      </c>
      <c r="H936" s="252">
        <f t="shared" si="74"/>
        <v>50792.048999999999</v>
      </c>
      <c r="I936" s="914"/>
    </row>
    <row r="937" spans="1:9" s="324" customFormat="1" ht="12.75" x14ac:dyDescent="0.2">
      <c r="A937" s="508" t="s">
        <v>2555</v>
      </c>
      <c r="B937" s="244" t="s">
        <v>587</v>
      </c>
      <c r="C937" s="62" t="s">
        <v>588</v>
      </c>
      <c r="D937" s="19" t="s">
        <v>585</v>
      </c>
      <c r="E937" s="194">
        <v>1</v>
      </c>
      <c r="F937" s="320">
        <f>VLOOKUP(B937,'BASE DE DATOS'!$A$5:$E$997,5,FALSE)</f>
        <v>514339</v>
      </c>
      <c r="G937" s="681">
        <f>1/20</f>
        <v>0.05</v>
      </c>
      <c r="H937" s="252">
        <f t="shared" si="74"/>
        <v>25716.95</v>
      </c>
      <c r="I937" s="914"/>
    </row>
    <row r="938" spans="1:9" s="324" customFormat="1" ht="13.5" thickBot="1" x14ac:dyDescent="0.25">
      <c r="A938" s="504" t="s">
        <v>293</v>
      </c>
      <c r="B938" s="543" t="s">
        <v>269</v>
      </c>
      <c r="C938" s="169" t="s">
        <v>284</v>
      </c>
      <c r="D938" s="112" t="s">
        <v>586</v>
      </c>
      <c r="E938" s="201">
        <v>0.1</v>
      </c>
      <c r="F938" s="321">
        <f>+H937</f>
        <v>25716.95</v>
      </c>
      <c r="G938" s="686">
        <v>0</v>
      </c>
      <c r="H938" s="255">
        <f t="shared" si="74"/>
        <v>2571.6950000000002</v>
      </c>
      <c r="I938" s="914"/>
    </row>
    <row r="939" spans="1:9" s="41" customFormat="1" ht="30" x14ac:dyDescent="0.2">
      <c r="A939" s="67" t="s">
        <v>1192</v>
      </c>
      <c r="B939" s="526"/>
      <c r="C939" s="325" t="s">
        <v>3596</v>
      </c>
      <c r="D939" s="326" t="s">
        <v>411</v>
      </c>
      <c r="E939" s="400"/>
      <c r="F939" s="357">
        <f>ROUND(SUM(H939:H944),0)</f>
        <v>695290</v>
      </c>
      <c r="G939" s="683"/>
      <c r="H939" s="330"/>
      <c r="I939" s="914"/>
    </row>
    <row r="940" spans="1:9" s="324" customFormat="1" ht="14.25" x14ac:dyDescent="0.2">
      <c r="A940" s="502" t="s">
        <v>382</v>
      </c>
      <c r="B940" s="244" t="s">
        <v>1304</v>
      </c>
      <c r="C940" s="62" t="s">
        <v>2751</v>
      </c>
      <c r="D940" s="19" t="s">
        <v>411</v>
      </c>
      <c r="E940" s="194">
        <v>1</v>
      </c>
      <c r="F940" s="320">
        <f>VLOOKUP(B940,'BASE DE DATOS'!$A$5:$E$997,5,FALSE)</f>
        <v>79500</v>
      </c>
      <c r="G940" s="681">
        <v>0</v>
      </c>
      <c r="H940" s="252">
        <f t="shared" ref="H940:H944" si="75">IF(G940&gt;0,(G940*F940*E940),(F940*E940))</f>
        <v>79500</v>
      </c>
      <c r="I940" s="914"/>
    </row>
    <row r="941" spans="1:9" s="324" customFormat="1" ht="14.25" x14ac:dyDescent="0.2">
      <c r="A941" s="505" t="s">
        <v>3252</v>
      </c>
      <c r="B941" s="244" t="s">
        <v>807</v>
      </c>
      <c r="C941" s="62" t="s">
        <v>109</v>
      </c>
      <c r="D941" s="19" t="s">
        <v>330</v>
      </c>
      <c r="E941" s="194">
        <v>1</v>
      </c>
      <c r="F941" s="320">
        <f>CONSTRUCCION!F74</f>
        <v>537482</v>
      </c>
      <c r="G941" s="681">
        <v>1.05</v>
      </c>
      <c r="H941" s="252">
        <f t="shared" si="75"/>
        <v>564356.1</v>
      </c>
      <c r="I941" s="914"/>
    </row>
    <row r="942" spans="1:9" s="324" customFormat="1" ht="12.75" x14ac:dyDescent="0.2">
      <c r="A942" s="979" t="s">
        <v>2555</v>
      </c>
      <c r="B942" s="244" t="s">
        <v>587</v>
      </c>
      <c r="C942" s="62" t="s">
        <v>588</v>
      </c>
      <c r="D942" s="19" t="s">
        <v>585</v>
      </c>
      <c r="E942" s="194">
        <v>1</v>
      </c>
      <c r="F942" s="320">
        <f>VLOOKUP(B942,'BASE DE DATOS'!$A$5:$E$997,5,FALSE)</f>
        <v>514339</v>
      </c>
      <c r="G942" s="681">
        <f>1/12</f>
        <v>8.3333333333333329E-2</v>
      </c>
      <c r="H942" s="252">
        <f>IF(G942&gt;0,(G942*F942*E942),(F942*E942))</f>
        <v>42861.583333333328</v>
      </c>
      <c r="I942" s="914"/>
    </row>
    <row r="943" spans="1:9" s="324" customFormat="1" ht="12.75" x14ac:dyDescent="0.2">
      <c r="A943" s="979"/>
      <c r="B943" s="244" t="s">
        <v>266</v>
      </c>
      <c r="C943" s="62" t="s">
        <v>283</v>
      </c>
      <c r="D943" s="19" t="s">
        <v>586</v>
      </c>
      <c r="E943" s="194">
        <v>0.1</v>
      </c>
      <c r="F943" s="320">
        <f>H942</f>
        <v>42861.583333333328</v>
      </c>
      <c r="G943" s="681">
        <v>0</v>
      </c>
      <c r="H943" s="252">
        <f t="shared" si="75"/>
        <v>4286.1583333333328</v>
      </c>
      <c r="I943" s="914"/>
    </row>
    <row r="944" spans="1:9" s="324" customFormat="1" ht="13.5" thickBot="1" x14ac:dyDescent="0.25">
      <c r="A944" s="504" t="s">
        <v>293</v>
      </c>
      <c r="B944" s="543" t="s">
        <v>269</v>
      </c>
      <c r="C944" s="169" t="s">
        <v>284</v>
      </c>
      <c r="D944" s="112" t="s">
        <v>586</v>
      </c>
      <c r="E944" s="201">
        <v>0.1</v>
      </c>
      <c r="F944" s="321">
        <f>H942</f>
        <v>42861.583333333328</v>
      </c>
      <c r="G944" s="686">
        <v>0</v>
      </c>
      <c r="H944" s="252">
        <f t="shared" si="75"/>
        <v>4286.1583333333328</v>
      </c>
      <c r="I944" s="914"/>
    </row>
    <row r="945" spans="1:9" s="41" customFormat="1" ht="30" x14ac:dyDescent="0.2">
      <c r="A945" s="67" t="s">
        <v>1193</v>
      </c>
      <c r="B945" s="556"/>
      <c r="C945" s="365" t="s">
        <v>3597</v>
      </c>
      <c r="D945" s="366" t="s">
        <v>411</v>
      </c>
      <c r="E945" s="461"/>
      <c r="F945" s="357">
        <f>ROUND(SUM(H945:H950),0)</f>
        <v>787658</v>
      </c>
      <c r="G945" s="691"/>
      <c r="H945" s="368"/>
      <c r="I945" s="914"/>
    </row>
    <row r="946" spans="1:9" s="324" customFormat="1" ht="14.25" x14ac:dyDescent="0.2">
      <c r="A946" s="502" t="s">
        <v>382</v>
      </c>
      <c r="B946" s="244" t="s">
        <v>1305</v>
      </c>
      <c r="C946" s="62" t="s">
        <v>2752</v>
      </c>
      <c r="D946" s="19" t="s">
        <v>411</v>
      </c>
      <c r="E946" s="194">
        <v>1</v>
      </c>
      <c r="F946" s="320">
        <f>VLOOKUP(B946,'BASE DE DATOS'!$A$5:$E$997,5,FALSE)</f>
        <v>69000</v>
      </c>
      <c r="G946" s="681">
        <v>0</v>
      </c>
      <c r="H946" s="252">
        <f t="shared" ref="H946:H1000" si="76">IF(G946&gt;0,(G946*F946*E946),(F946*E946))</f>
        <v>69000</v>
      </c>
      <c r="I946" s="914"/>
    </row>
    <row r="947" spans="1:9" s="324" customFormat="1" ht="14.25" x14ac:dyDescent="0.2">
      <c r="A947" s="505" t="s">
        <v>3252</v>
      </c>
      <c r="B947" s="244" t="s">
        <v>807</v>
      </c>
      <c r="C947" s="62" t="s">
        <v>109</v>
      </c>
      <c r="D947" s="19" t="s">
        <v>285</v>
      </c>
      <c r="E947" s="194">
        <v>1</v>
      </c>
      <c r="F947" s="320">
        <f>CONSTRUCCION!F74</f>
        <v>537482</v>
      </c>
      <c r="G947" s="681">
        <v>1.05</v>
      </c>
      <c r="H947" s="252">
        <f t="shared" si="76"/>
        <v>564356.1</v>
      </c>
      <c r="I947" s="914"/>
    </row>
    <row r="948" spans="1:9" s="324" customFormat="1" ht="12.75" x14ac:dyDescent="0.2">
      <c r="A948" s="979" t="s">
        <v>2555</v>
      </c>
      <c r="B948" s="244" t="s">
        <v>587</v>
      </c>
      <c r="C948" s="62" t="s">
        <v>588</v>
      </c>
      <c r="D948" s="19" t="s">
        <v>585</v>
      </c>
      <c r="E948" s="194">
        <v>1</v>
      </c>
      <c r="F948" s="320">
        <f>VLOOKUP(B948,'BASE DE DATOS'!$A$5:$E$997,5,FALSE)</f>
        <v>514339</v>
      </c>
      <c r="G948" s="681">
        <f>1/4</f>
        <v>0.25</v>
      </c>
      <c r="H948" s="252">
        <f>IF(G948&gt;0,(G948*F948*E948),(F948*E948))</f>
        <v>128584.75</v>
      </c>
      <c r="I948" s="914"/>
    </row>
    <row r="949" spans="1:9" s="324" customFormat="1" ht="12.75" x14ac:dyDescent="0.2">
      <c r="A949" s="979"/>
      <c r="B949" s="244" t="s">
        <v>266</v>
      </c>
      <c r="C949" s="62" t="s">
        <v>283</v>
      </c>
      <c r="D949" s="19" t="s">
        <v>586</v>
      </c>
      <c r="E949" s="194">
        <v>0.1</v>
      </c>
      <c r="F949" s="320">
        <f>H948</f>
        <v>128584.75</v>
      </c>
      <c r="G949" s="681">
        <v>0</v>
      </c>
      <c r="H949" s="252">
        <f t="shared" si="76"/>
        <v>12858.475</v>
      </c>
      <c r="I949" s="914"/>
    </row>
    <row r="950" spans="1:9" s="324" customFormat="1" ht="13.5" thickBot="1" x14ac:dyDescent="0.25">
      <c r="A950" s="504" t="s">
        <v>293</v>
      </c>
      <c r="B950" s="543" t="s">
        <v>269</v>
      </c>
      <c r="C950" s="169" t="s">
        <v>284</v>
      </c>
      <c r="D950" s="112" t="s">
        <v>586</v>
      </c>
      <c r="E950" s="201">
        <v>0.1</v>
      </c>
      <c r="F950" s="321">
        <f>H948</f>
        <v>128584.75</v>
      </c>
      <c r="G950" s="686">
        <v>0</v>
      </c>
      <c r="H950" s="255">
        <f t="shared" si="76"/>
        <v>12858.475</v>
      </c>
      <c r="I950" s="914"/>
    </row>
    <row r="951" spans="1:9" s="41" customFormat="1" x14ac:dyDescent="0.2">
      <c r="A951" s="67" t="s">
        <v>1194</v>
      </c>
      <c r="B951" s="526"/>
      <c r="C951" s="325" t="s">
        <v>160</v>
      </c>
      <c r="D951" s="326" t="s">
        <v>405</v>
      </c>
      <c r="E951" s="414"/>
      <c r="F951" s="357">
        <f>ROUND(SUM(H951:H954),0)</f>
        <v>33542</v>
      </c>
      <c r="G951" s="683"/>
      <c r="H951" s="330"/>
      <c r="I951" s="914"/>
    </row>
    <row r="952" spans="1:9" s="324" customFormat="1" ht="12.75" x14ac:dyDescent="0.2">
      <c r="A952" s="502" t="s">
        <v>382</v>
      </c>
      <c r="B952" s="244" t="s">
        <v>1287</v>
      </c>
      <c r="C952" s="62" t="s">
        <v>200</v>
      </c>
      <c r="D952" s="19" t="s">
        <v>405</v>
      </c>
      <c r="E952" s="194">
        <v>1</v>
      </c>
      <c r="F952" s="320">
        <f>VLOOKUP(B952,'BASE DE DATOS'!$A$5:$E$997,5,FALSE)</f>
        <v>22617</v>
      </c>
      <c r="G952" s="681">
        <v>0</v>
      </c>
      <c r="H952" s="252">
        <f t="shared" si="76"/>
        <v>22617</v>
      </c>
      <c r="I952" s="914"/>
    </row>
    <row r="953" spans="1:9" s="324" customFormat="1" ht="12.75" x14ac:dyDescent="0.2">
      <c r="A953" s="508" t="s">
        <v>2555</v>
      </c>
      <c r="B953" s="244" t="s">
        <v>644</v>
      </c>
      <c r="C953" s="62" t="s">
        <v>645</v>
      </c>
      <c r="D953" s="19" t="s">
        <v>585</v>
      </c>
      <c r="E953" s="194">
        <v>1</v>
      </c>
      <c r="F953" s="320">
        <f>VLOOKUP(B953,'BASE DE DATOS'!$A$5:$E$997,5,FALSE)</f>
        <v>248302</v>
      </c>
      <c r="G953" s="681">
        <f>1/25</f>
        <v>0.04</v>
      </c>
      <c r="H953" s="252">
        <f t="shared" si="76"/>
        <v>9932.08</v>
      </c>
      <c r="I953" s="914"/>
    </row>
    <row r="954" spans="1:9" s="324" customFormat="1" ht="13.5" thickBot="1" x14ac:dyDescent="0.25">
      <c r="A954" s="504" t="s">
        <v>293</v>
      </c>
      <c r="B954" s="543" t="s">
        <v>269</v>
      </c>
      <c r="C954" s="169" t="s">
        <v>284</v>
      </c>
      <c r="D954" s="112" t="s">
        <v>586</v>
      </c>
      <c r="E954" s="201">
        <v>0.1</v>
      </c>
      <c r="F954" s="321">
        <f>+H953</f>
        <v>9932.08</v>
      </c>
      <c r="G954" s="686">
        <v>1</v>
      </c>
      <c r="H954" s="255">
        <f t="shared" si="76"/>
        <v>993.20800000000008</v>
      </c>
      <c r="I954" s="914"/>
    </row>
    <row r="955" spans="1:9" s="41" customFormat="1" ht="30" x14ac:dyDescent="0.2">
      <c r="A955" s="67" t="s">
        <v>1195</v>
      </c>
      <c r="B955" s="526"/>
      <c r="C955" s="325" t="s">
        <v>2162</v>
      </c>
      <c r="D955" s="326" t="s">
        <v>405</v>
      </c>
      <c r="E955" s="414"/>
      <c r="F955" s="357">
        <f>ROUND(SUM(H955:H967),0)</f>
        <v>240096</v>
      </c>
      <c r="G955" s="683"/>
      <c r="H955" s="330"/>
      <c r="I955" s="914"/>
    </row>
    <row r="956" spans="1:9" s="324" customFormat="1" ht="12.75" x14ac:dyDescent="0.2">
      <c r="A956" s="939" t="s">
        <v>295</v>
      </c>
      <c r="B956" s="244" t="s">
        <v>1351</v>
      </c>
      <c r="C956" s="62" t="s">
        <v>202</v>
      </c>
      <c r="D956" s="19" t="s">
        <v>411</v>
      </c>
      <c r="E956" s="194">
        <v>0.2</v>
      </c>
      <c r="F956" s="320">
        <f>VLOOKUP(B956,'BASE DE DATOS'!$A$5:$E$997,5,FALSE)</f>
        <v>19000</v>
      </c>
      <c r="G956" s="681">
        <v>0</v>
      </c>
      <c r="H956" s="252">
        <f>IF(G956&gt;0,(G956*F956*E956),(F956*E956))</f>
        <v>3800</v>
      </c>
      <c r="I956" s="914"/>
    </row>
    <row r="957" spans="1:9" s="324" customFormat="1" ht="12.75" x14ac:dyDescent="0.2">
      <c r="A957" s="939"/>
      <c r="B957" s="244" t="s">
        <v>1365</v>
      </c>
      <c r="C957" s="62" t="s">
        <v>201</v>
      </c>
      <c r="D957" s="19" t="s">
        <v>411</v>
      </c>
      <c r="E957" s="194">
        <v>0.3</v>
      </c>
      <c r="F957" s="320">
        <f>VLOOKUP(B957,'BASE DE DATOS'!$A$5:$E$997,5,FALSE)</f>
        <v>50575</v>
      </c>
      <c r="G957" s="681">
        <v>0</v>
      </c>
      <c r="H957" s="252">
        <f t="shared" si="76"/>
        <v>15172.5</v>
      </c>
      <c r="I957" s="914"/>
    </row>
    <row r="958" spans="1:9" s="324" customFormat="1" ht="12.75" x14ac:dyDescent="0.2">
      <c r="A958" s="939"/>
      <c r="B958" s="244" t="s">
        <v>1523</v>
      </c>
      <c r="C958" s="62" t="s">
        <v>643</v>
      </c>
      <c r="D958" s="19" t="s">
        <v>642</v>
      </c>
      <c r="E958" s="194">
        <v>1</v>
      </c>
      <c r="F958" s="320">
        <f>VLOOKUP(B958,'BASE DE DATOS'!$A$5:$E$997,5,FALSE)</f>
        <v>108900</v>
      </c>
      <c r="G958" s="681">
        <v>0.2</v>
      </c>
      <c r="H958" s="252">
        <f t="shared" si="76"/>
        <v>21780</v>
      </c>
      <c r="I958" s="914"/>
    </row>
    <row r="959" spans="1:9" s="324" customFormat="1" ht="12.75" x14ac:dyDescent="0.2">
      <c r="A959" s="939"/>
      <c r="B959" s="244" t="s">
        <v>1788</v>
      </c>
      <c r="C959" s="62" t="s">
        <v>174</v>
      </c>
      <c r="D959" s="19" t="s">
        <v>406</v>
      </c>
      <c r="E959" s="194">
        <v>0.5</v>
      </c>
      <c r="F959" s="320">
        <f>VLOOKUP(B959,'BASE DE DATOS'!$A$5:$E$997,5,FALSE)</f>
        <v>15580</v>
      </c>
      <c r="G959" s="681">
        <v>0</v>
      </c>
      <c r="H959" s="252">
        <f t="shared" si="76"/>
        <v>7790</v>
      </c>
      <c r="I959" s="914"/>
    </row>
    <row r="960" spans="1:9" s="324" customFormat="1" ht="12.75" x14ac:dyDescent="0.2">
      <c r="A960" s="939"/>
      <c r="B960" s="244" t="s">
        <v>1590</v>
      </c>
      <c r="C960" s="62" t="s">
        <v>203</v>
      </c>
      <c r="D960" s="19" t="s">
        <v>411</v>
      </c>
      <c r="E960" s="194">
        <v>0.5</v>
      </c>
      <c r="F960" s="320">
        <f>VLOOKUP(B960,'BASE DE DATOS'!$A$5:$E$997,5,FALSE)</f>
        <v>37180</v>
      </c>
      <c r="G960" s="681">
        <v>0</v>
      </c>
      <c r="H960" s="252">
        <f>IF(G960&gt;0,(G960*F960*E960),(F960*E960))</f>
        <v>18590</v>
      </c>
      <c r="I960" s="914"/>
    </row>
    <row r="961" spans="1:9" s="324" customFormat="1" ht="13.15" customHeight="1" x14ac:dyDescent="0.2">
      <c r="A961" s="939"/>
      <c r="B961" s="244" t="s">
        <v>1760</v>
      </c>
      <c r="C961" s="62" t="s">
        <v>2163</v>
      </c>
      <c r="D961" s="19" t="s">
        <v>405</v>
      </c>
      <c r="E961" s="194">
        <v>3.3</v>
      </c>
      <c r="F961" s="320">
        <f>VLOOKUP(B961,'BASE DE DATOS'!$A$5:$E$997,5,FALSE)</f>
        <v>19650</v>
      </c>
      <c r="G961" s="681">
        <v>1.03</v>
      </c>
      <c r="H961" s="252">
        <f>IF(G961&gt;0,(G961*F961*E961),(F961*E961))</f>
        <v>66790.349999999991</v>
      </c>
      <c r="I961" s="914"/>
    </row>
    <row r="962" spans="1:9" s="324" customFormat="1" ht="14.25" x14ac:dyDescent="0.2">
      <c r="A962" s="505" t="s">
        <v>3252</v>
      </c>
      <c r="B962" s="244" t="s">
        <v>799</v>
      </c>
      <c r="C962" s="62" t="s">
        <v>3276</v>
      </c>
      <c r="D962" s="19" t="s">
        <v>285</v>
      </c>
      <c r="E962" s="198">
        <v>0.02</v>
      </c>
      <c r="F962" s="320">
        <f>CONSTRUCCION!F34</f>
        <v>482282</v>
      </c>
      <c r="G962" s="681">
        <v>1.05</v>
      </c>
      <c r="H962" s="252">
        <f t="shared" si="76"/>
        <v>10127.922</v>
      </c>
      <c r="I962" s="914"/>
    </row>
    <row r="963" spans="1:9" s="324" customFormat="1" ht="12.75" x14ac:dyDescent="0.2">
      <c r="A963" s="1038" t="s">
        <v>2555</v>
      </c>
      <c r="B963" s="244" t="s">
        <v>644</v>
      </c>
      <c r="C963" s="62" t="s">
        <v>645</v>
      </c>
      <c r="D963" s="19" t="s">
        <v>585</v>
      </c>
      <c r="E963" s="194">
        <v>1</v>
      </c>
      <c r="F963" s="320">
        <f>VLOOKUP(B963,'BASE DE DATOS'!$A$5:$E$997,5,FALSE)</f>
        <v>248302</v>
      </c>
      <c r="G963" s="681">
        <f>1/5</f>
        <v>0.2</v>
      </c>
      <c r="H963" s="252">
        <f t="shared" si="76"/>
        <v>49660.4</v>
      </c>
      <c r="I963" s="914"/>
    </row>
    <row r="964" spans="1:9" s="324" customFormat="1" ht="12.75" x14ac:dyDescent="0.2">
      <c r="A964" s="1038"/>
      <c r="B964" s="244" t="s">
        <v>81</v>
      </c>
      <c r="C964" s="182" t="s">
        <v>80</v>
      </c>
      <c r="D964" s="19" t="s">
        <v>585</v>
      </c>
      <c r="E964" s="194">
        <v>1</v>
      </c>
      <c r="F964" s="320">
        <f>VLOOKUP(B964,'BASE DE DATOS'!$A$5:$E$997,5,FALSE)</f>
        <v>283774</v>
      </c>
      <c r="G964" s="681">
        <f>1/10</f>
        <v>0.1</v>
      </c>
      <c r="H964" s="252">
        <f t="shared" si="76"/>
        <v>28377.4</v>
      </c>
      <c r="I964" s="914"/>
    </row>
    <row r="965" spans="1:9" s="324" customFormat="1" ht="12.75" x14ac:dyDescent="0.2">
      <c r="A965" s="1038"/>
      <c r="B965" s="244" t="s">
        <v>266</v>
      </c>
      <c r="C965" s="62" t="s">
        <v>283</v>
      </c>
      <c r="D965" s="19" t="s">
        <v>586</v>
      </c>
      <c r="E965" s="194">
        <v>0.1</v>
      </c>
      <c r="F965" s="320">
        <f>SUM(H963:H964)</f>
        <v>78037.8</v>
      </c>
      <c r="G965" s="681">
        <v>0</v>
      </c>
      <c r="H965" s="252">
        <f t="shared" si="76"/>
        <v>7803.7800000000007</v>
      </c>
      <c r="I965" s="914"/>
    </row>
    <row r="966" spans="1:9" s="324" customFormat="1" ht="12.75" x14ac:dyDescent="0.2">
      <c r="A966" s="937" t="s">
        <v>293</v>
      </c>
      <c r="B966" s="244" t="s">
        <v>254</v>
      </c>
      <c r="C966" s="532" t="s">
        <v>341</v>
      </c>
      <c r="D966" s="383" t="s">
        <v>585</v>
      </c>
      <c r="E966" s="194">
        <v>1</v>
      </c>
      <c r="F966" s="320">
        <f>VLOOKUP(B966,'BASE DE DATOS'!$A$5:$E$997,5,FALSE)</f>
        <v>48000</v>
      </c>
      <c r="G966" s="684">
        <f>1/20</f>
        <v>0.05</v>
      </c>
      <c r="H966" s="252">
        <f>IF(G966&gt;0,(G966*F966*E966),(F966*E966))</f>
        <v>2400</v>
      </c>
      <c r="I966" s="914"/>
    </row>
    <row r="967" spans="1:9" s="324" customFormat="1" ht="13.5" thickBot="1" x14ac:dyDescent="0.25">
      <c r="A967" s="938"/>
      <c r="B967" s="543" t="s">
        <v>269</v>
      </c>
      <c r="C967" s="75" t="s">
        <v>284</v>
      </c>
      <c r="D967" s="49" t="s">
        <v>586</v>
      </c>
      <c r="E967" s="195">
        <v>0.1</v>
      </c>
      <c r="F967" s="355">
        <f>SUM(H963:H964)</f>
        <v>78037.8</v>
      </c>
      <c r="G967" s="682">
        <v>0</v>
      </c>
      <c r="H967" s="255">
        <f t="shared" si="76"/>
        <v>7803.7800000000007</v>
      </c>
      <c r="I967" s="914"/>
    </row>
    <row r="968" spans="1:9" s="41" customFormat="1" ht="30" x14ac:dyDescent="0.2">
      <c r="A968" s="67" t="s">
        <v>1196</v>
      </c>
      <c r="B968" s="526"/>
      <c r="C968" s="325" t="s">
        <v>508</v>
      </c>
      <c r="D968" s="326" t="s">
        <v>405</v>
      </c>
      <c r="E968" s="414"/>
      <c r="F968" s="357">
        <f>ROUND(SUM(H968:H980),0)</f>
        <v>507089</v>
      </c>
      <c r="G968" s="683"/>
      <c r="H968" s="330"/>
      <c r="I968" s="914"/>
    </row>
    <row r="969" spans="1:9" s="324" customFormat="1" ht="12.75" x14ac:dyDescent="0.2">
      <c r="A969" s="939" t="s">
        <v>295</v>
      </c>
      <c r="B969" s="244" t="s">
        <v>1352</v>
      </c>
      <c r="C969" s="62" t="s">
        <v>205</v>
      </c>
      <c r="D969" s="19" t="s">
        <v>411</v>
      </c>
      <c r="E969" s="194">
        <v>0.4</v>
      </c>
      <c r="F969" s="320">
        <f>VLOOKUP(B969,'BASE DE DATOS'!$A$5:$E$997,5,FALSE)</f>
        <v>65000</v>
      </c>
      <c r="G969" s="681">
        <v>0</v>
      </c>
      <c r="H969" s="252">
        <f>IF(G969&gt;0,(G969*F969*E969),(F969*E969))</f>
        <v>26000</v>
      </c>
      <c r="I969" s="914"/>
    </row>
    <row r="970" spans="1:9" s="324" customFormat="1" ht="12.75" x14ac:dyDescent="0.2">
      <c r="A970" s="939"/>
      <c r="B970" s="244" t="s">
        <v>1366</v>
      </c>
      <c r="C970" s="62" t="s">
        <v>369</v>
      </c>
      <c r="D970" s="19" t="s">
        <v>411</v>
      </c>
      <c r="E970" s="194">
        <v>0.3</v>
      </c>
      <c r="F970" s="320">
        <f>VLOOKUP(B970,'BASE DE DATOS'!$A$5:$E$997,5,FALSE)</f>
        <v>130900</v>
      </c>
      <c r="G970" s="681">
        <v>0</v>
      </c>
      <c r="H970" s="252">
        <f>IF(G970&gt;0,(G970*F970*E970),(F970*E970))</f>
        <v>39270</v>
      </c>
      <c r="I970" s="914"/>
    </row>
    <row r="971" spans="1:9" s="324" customFormat="1" ht="12.75" x14ac:dyDescent="0.2">
      <c r="A971" s="939"/>
      <c r="B971" s="244" t="s">
        <v>1523</v>
      </c>
      <c r="C971" s="62" t="s">
        <v>643</v>
      </c>
      <c r="D971" s="19" t="s">
        <v>642</v>
      </c>
      <c r="E971" s="194">
        <v>1</v>
      </c>
      <c r="F971" s="320">
        <f>VLOOKUP(B971,'BASE DE DATOS'!$A$5:$E$997,5,FALSE)</f>
        <v>108900</v>
      </c>
      <c r="G971" s="681">
        <v>0.2</v>
      </c>
      <c r="H971" s="252">
        <f t="shared" si="76"/>
        <v>21780</v>
      </c>
      <c r="I971" s="914"/>
    </row>
    <row r="972" spans="1:9" s="324" customFormat="1" ht="12.75" x14ac:dyDescent="0.2">
      <c r="A972" s="939"/>
      <c r="B972" s="244" t="s">
        <v>1788</v>
      </c>
      <c r="C972" s="62" t="s">
        <v>174</v>
      </c>
      <c r="D972" s="19" t="s">
        <v>406</v>
      </c>
      <c r="E972" s="194">
        <v>0.6</v>
      </c>
      <c r="F972" s="320">
        <f>VLOOKUP(B972,'BASE DE DATOS'!$A$5:$E$997,5,FALSE)</f>
        <v>15580</v>
      </c>
      <c r="G972" s="681">
        <v>0</v>
      </c>
      <c r="H972" s="252">
        <f t="shared" si="76"/>
        <v>9348</v>
      </c>
      <c r="I972" s="914"/>
    </row>
    <row r="973" spans="1:9" s="324" customFormat="1" ht="12.75" x14ac:dyDescent="0.2">
      <c r="A973" s="939"/>
      <c r="B973" s="244" t="s">
        <v>1591</v>
      </c>
      <c r="C973" s="62" t="s">
        <v>206</v>
      </c>
      <c r="D973" s="19" t="s">
        <v>411</v>
      </c>
      <c r="E973" s="194">
        <v>0.5</v>
      </c>
      <c r="F973" s="320">
        <f>VLOOKUP(B973,'BASE DE DATOS'!$A$5:$E$997,5,FALSE)</f>
        <v>98200</v>
      </c>
      <c r="G973" s="681">
        <v>0</v>
      </c>
      <c r="H973" s="252">
        <f>IF(G973&gt;0,(G973*F973*E973),(F973*E973))</f>
        <v>49100</v>
      </c>
      <c r="I973" s="914"/>
    </row>
    <row r="974" spans="1:9" s="324" customFormat="1" ht="13.15" customHeight="1" x14ac:dyDescent="0.2">
      <c r="A974" s="939"/>
      <c r="B974" s="244" t="s">
        <v>1628</v>
      </c>
      <c r="C974" s="62" t="s">
        <v>204</v>
      </c>
      <c r="D974" s="19" t="s">
        <v>405</v>
      </c>
      <c r="E974" s="194">
        <v>3.3</v>
      </c>
      <c r="F974" s="320">
        <f>VLOOKUP(B974,'BASE DE DATOS'!$A$5:$E$997,5,FALSE)</f>
        <v>72640.333333333328</v>
      </c>
      <c r="G974" s="681">
        <v>1.03</v>
      </c>
      <c r="H974" s="252">
        <f>IF(G974&gt;0,(G974*F974*E974),(F974*E974))</f>
        <v>246904.49299999999</v>
      </c>
      <c r="I974" s="914"/>
    </row>
    <row r="975" spans="1:9" s="324" customFormat="1" ht="14.25" x14ac:dyDescent="0.2">
      <c r="A975" s="505" t="s">
        <v>3252</v>
      </c>
      <c r="B975" s="244" t="s">
        <v>799</v>
      </c>
      <c r="C975" s="62" t="s">
        <v>3276</v>
      </c>
      <c r="D975" s="19" t="s">
        <v>285</v>
      </c>
      <c r="E975" s="198">
        <v>0.02</v>
      </c>
      <c r="F975" s="320">
        <f>CONSTRUCCION!F34</f>
        <v>482282</v>
      </c>
      <c r="G975" s="681">
        <v>1.05</v>
      </c>
      <c r="H975" s="252">
        <f t="shared" si="76"/>
        <v>10127.922</v>
      </c>
      <c r="I975" s="914"/>
    </row>
    <row r="976" spans="1:9" s="324" customFormat="1" ht="12.75" x14ac:dyDescent="0.2">
      <c r="A976" s="1038" t="s">
        <v>2555</v>
      </c>
      <c r="B976" s="244" t="s">
        <v>644</v>
      </c>
      <c r="C976" s="62" t="s">
        <v>645</v>
      </c>
      <c r="D976" s="19" t="s">
        <v>585</v>
      </c>
      <c r="E976" s="194">
        <v>1</v>
      </c>
      <c r="F976" s="320">
        <f>VLOOKUP(B976,'BASE DE DATOS'!$A$5:$E$997,5,FALSE)</f>
        <v>248302</v>
      </c>
      <c r="G976" s="681">
        <f>1/5</f>
        <v>0.2</v>
      </c>
      <c r="H976" s="252">
        <f t="shared" si="76"/>
        <v>49660.4</v>
      </c>
      <c r="I976" s="914"/>
    </row>
    <row r="977" spans="1:9" s="324" customFormat="1" ht="12.75" x14ac:dyDescent="0.2">
      <c r="A977" s="1038"/>
      <c r="B977" s="244" t="s">
        <v>81</v>
      </c>
      <c r="C977" s="182" t="s">
        <v>80</v>
      </c>
      <c r="D977" s="19" t="s">
        <v>585</v>
      </c>
      <c r="E977" s="194">
        <v>1</v>
      </c>
      <c r="F977" s="320">
        <f>VLOOKUP(B977,'BASE DE DATOS'!$A$5:$E$997,5,FALSE)</f>
        <v>283774</v>
      </c>
      <c r="G977" s="681">
        <f>1/8</f>
        <v>0.125</v>
      </c>
      <c r="H977" s="252">
        <f t="shared" si="76"/>
        <v>35471.75</v>
      </c>
      <c r="I977" s="914"/>
    </row>
    <row r="978" spans="1:9" s="324" customFormat="1" ht="12.75" x14ac:dyDescent="0.2">
      <c r="A978" s="1038"/>
      <c r="B978" s="244" t="s">
        <v>266</v>
      </c>
      <c r="C978" s="62" t="s">
        <v>283</v>
      </c>
      <c r="D978" s="19" t="s">
        <v>586</v>
      </c>
      <c r="E978" s="194">
        <v>0.1</v>
      </c>
      <c r="F978" s="320">
        <f>SUM(H976:H977)</f>
        <v>85132.15</v>
      </c>
      <c r="G978" s="681">
        <v>0</v>
      </c>
      <c r="H978" s="252">
        <f t="shared" si="76"/>
        <v>8513.2150000000001</v>
      </c>
      <c r="I978" s="914"/>
    </row>
    <row r="979" spans="1:9" s="324" customFormat="1" ht="12.75" x14ac:dyDescent="0.2">
      <c r="A979" s="937" t="s">
        <v>293</v>
      </c>
      <c r="B979" s="244" t="s">
        <v>254</v>
      </c>
      <c r="C979" s="532" t="s">
        <v>341</v>
      </c>
      <c r="D979" s="383" t="s">
        <v>585</v>
      </c>
      <c r="E979" s="194">
        <v>1</v>
      </c>
      <c r="F979" s="320">
        <f>VLOOKUP(B979,'BASE DE DATOS'!$A$5:$E$997,5,FALSE)</f>
        <v>48000</v>
      </c>
      <c r="G979" s="684">
        <f>1/20</f>
        <v>0.05</v>
      </c>
      <c r="H979" s="252">
        <f>IF(G979&gt;0,(G979*F979*E979),(F979*E979))</f>
        <v>2400</v>
      </c>
      <c r="I979" s="914"/>
    </row>
    <row r="980" spans="1:9" s="324" customFormat="1" ht="13.5" thickBot="1" x14ac:dyDescent="0.25">
      <c r="A980" s="938"/>
      <c r="B980" s="543" t="s">
        <v>269</v>
      </c>
      <c r="C980" s="75" t="s">
        <v>284</v>
      </c>
      <c r="D980" s="49" t="s">
        <v>586</v>
      </c>
      <c r="E980" s="195">
        <v>0.1</v>
      </c>
      <c r="F980" s="355">
        <f>SUM(H976:H977)</f>
        <v>85132.15</v>
      </c>
      <c r="G980" s="682">
        <v>0</v>
      </c>
      <c r="H980" s="255">
        <f t="shared" si="76"/>
        <v>8513.2150000000001</v>
      </c>
      <c r="I980" s="914"/>
    </row>
    <row r="981" spans="1:9" s="41" customFormat="1" ht="30" x14ac:dyDescent="0.2">
      <c r="A981" s="67" t="s">
        <v>1197</v>
      </c>
      <c r="B981" s="526"/>
      <c r="C981" s="325" t="s">
        <v>2651</v>
      </c>
      <c r="D981" s="326" t="s">
        <v>411</v>
      </c>
      <c r="E981" s="400"/>
      <c r="F981" s="357">
        <f>ROUND(SUM(H981:H984),0)</f>
        <v>856233</v>
      </c>
      <c r="G981" s="683"/>
      <c r="H981" s="330"/>
      <c r="I981" s="914"/>
    </row>
    <row r="982" spans="1:9" s="324" customFormat="1" ht="76.5" x14ac:dyDescent="0.2">
      <c r="A982" s="624" t="s">
        <v>295</v>
      </c>
      <c r="B982" s="244" t="s">
        <v>1587</v>
      </c>
      <c r="C982" s="182" t="s">
        <v>3920</v>
      </c>
      <c r="D982" s="19" t="s">
        <v>411</v>
      </c>
      <c r="E982" s="194">
        <v>1</v>
      </c>
      <c r="F982" s="320">
        <f>VLOOKUP(B982,'BASE DE DATOS'!$A$5:$E$997,5,FALSE)</f>
        <v>791900</v>
      </c>
      <c r="G982" s="681">
        <v>0</v>
      </c>
      <c r="H982" s="252">
        <f t="shared" si="76"/>
        <v>791900</v>
      </c>
      <c r="I982" s="914"/>
    </row>
    <row r="983" spans="1:9" s="324" customFormat="1" ht="12.75" x14ac:dyDescent="0.2">
      <c r="A983" s="508" t="s">
        <v>2555</v>
      </c>
      <c r="B983" s="244" t="s">
        <v>607</v>
      </c>
      <c r="C983" s="62" t="s">
        <v>695</v>
      </c>
      <c r="D983" s="19" t="s">
        <v>585</v>
      </c>
      <c r="E983" s="194">
        <v>1</v>
      </c>
      <c r="F983" s="320">
        <f>VLOOKUP(B983,'BASE DE DATOS'!$A$5:$E$997,5,FALSE)</f>
        <v>336981</v>
      </c>
      <c r="G983" s="681">
        <f>1/5.5</f>
        <v>0.18181818181818182</v>
      </c>
      <c r="H983" s="252">
        <f t="shared" si="76"/>
        <v>61269.272727272728</v>
      </c>
      <c r="I983" s="914"/>
    </row>
    <row r="984" spans="1:9" s="324" customFormat="1" ht="13.5" thickBot="1" x14ac:dyDescent="0.25">
      <c r="A984" s="504" t="s">
        <v>293</v>
      </c>
      <c r="B984" s="543" t="s">
        <v>269</v>
      </c>
      <c r="C984" s="169" t="s">
        <v>284</v>
      </c>
      <c r="D984" s="112" t="s">
        <v>586</v>
      </c>
      <c r="E984" s="201">
        <v>0.05</v>
      </c>
      <c r="F984" s="321">
        <f>+H983</f>
        <v>61269.272727272728</v>
      </c>
      <c r="G984" s="686">
        <v>0</v>
      </c>
      <c r="H984" s="255">
        <f t="shared" si="76"/>
        <v>3063.4636363636364</v>
      </c>
      <c r="I984" s="914"/>
    </row>
    <row r="985" spans="1:9" s="41" customFormat="1" ht="30" x14ac:dyDescent="0.2">
      <c r="A985" s="67" t="s">
        <v>1198</v>
      </c>
      <c r="B985" s="526"/>
      <c r="C985" s="325" t="s">
        <v>2646</v>
      </c>
      <c r="D985" s="326" t="s">
        <v>405</v>
      </c>
      <c r="E985" s="414"/>
      <c r="F985" s="357">
        <f>ROUND(SUM(H985:H988),0)</f>
        <v>22087</v>
      </c>
      <c r="G985" s="683"/>
      <c r="H985" s="330"/>
      <c r="I985" s="914"/>
    </row>
    <row r="986" spans="1:9" s="324" customFormat="1" ht="12.75" x14ac:dyDescent="0.2">
      <c r="A986" s="502" t="s">
        <v>382</v>
      </c>
      <c r="B986" s="244" t="s">
        <v>1669</v>
      </c>
      <c r="C986" s="62" t="s">
        <v>211</v>
      </c>
      <c r="D986" s="19" t="s">
        <v>405</v>
      </c>
      <c r="E986" s="194">
        <v>1</v>
      </c>
      <c r="F986" s="320">
        <f>VLOOKUP(B986,'BASE DE DATOS'!$A$5:$E$997,5,FALSE)</f>
        <v>12983</v>
      </c>
      <c r="G986" s="681">
        <v>0</v>
      </c>
      <c r="H986" s="252">
        <f t="shared" si="76"/>
        <v>12983</v>
      </c>
      <c r="I986" s="914"/>
    </row>
    <row r="987" spans="1:9" s="324" customFormat="1" ht="12.75" x14ac:dyDescent="0.2">
      <c r="A987" s="508" t="s">
        <v>2555</v>
      </c>
      <c r="B987" s="244" t="s">
        <v>644</v>
      </c>
      <c r="C987" s="62" t="s">
        <v>645</v>
      </c>
      <c r="D987" s="19" t="s">
        <v>585</v>
      </c>
      <c r="E987" s="194">
        <v>1</v>
      </c>
      <c r="F987" s="320">
        <f>VLOOKUP(B987,'BASE DE DATOS'!$A$5:$E$997,5,FALSE)</f>
        <v>248302</v>
      </c>
      <c r="G987" s="681">
        <f>1/30</f>
        <v>3.3333333333333333E-2</v>
      </c>
      <c r="H987" s="252">
        <f t="shared" si="76"/>
        <v>8276.7333333333336</v>
      </c>
      <c r="I987" s="914"/>
    </row>
    <row r="988" spans="1:9" s="324" customFormat="1" ht="13.5" thickBot="1" x14ac:dyDescent="0.25">
      <c r="A988" s="504" t="s">
        <v>293</v>
      </c>
      <c r="B988" s="543" t="s">
        <v>269</v>
      </c>
      <c r="C988" s="169" t="s">
        <v>284</v>
      </c>
      <c r="D988" s="112" t="s">
        <v>586</v>
      </c>
      <c r="E988" s="201">
        <v>0.1</v>
      </c>
      <c r="F988" s="321">
        <f>+H987</f>
        <v>8276.7333333333336</v>
      </c>
      <c r="G988" s="686">
        <v>0</v>
      </c>
      <c r="H988" s="255">
        <f t="shared" si="76"/>
        <v>827.6733333333334</v>
      </c>
      <c r="I988" s="914"/>
    </row>
    <row r="989" spans="1:9" s="41" customFormat="1" ht="30" x14ac:dyDescent="0.2">
      <c r="A989" s="67" t="s">
        <v>1199</v>
      </c>
      <c r="B989" s="526"/>
      <c r="C989" s="325" t="s">
        <v>3573</v>
      </c>
      <c r="D989" s="326" t="s">
        <v>405</v>
      </c>
      <c r="E989" s="400"/>
      <c r="F989" s="357">
        <f>ROUND(SUM(H989:H1000),0)</f>
        <v>2336270</v>
      </c>
      <c r="G989" s="687"/>
      <c r="H989" s="364"/>
      <c r="I989" s="914"/>
    </row>
    <row r="990" spans="1:9" s="324" customFormat="1" ht="12.75" x14ac:dyDescent="0.2">
      <c r="A990" s="502" t="s">
        <v>382</v>
      </c>
      <c r="B990" s="244" t="s">
        <v>1812</v>
      </c>
      <c r="C990" s="77" t="s">
        <v>1919</v>
      </c>
      <c r="D990" s="19" t="s">
        <v>406</v>
      </c>
      <c r="E990" s="194">
        <v>2.5</v>
      </c>
      <c r="F990" s="320">
        <f>VLOOKUP(B990,'BASE DE DATOS'!$A$5:$E$997,5,FALSE)</f>
        <v>16000</v>
      </c>
      <c r="G990" s="681">
        <v>1</v>
      </c>
      <c r="H990" s="252">
        <f t="shared" si="76"/>
        <v>40000</v>
      </c>
      <c r="I990" s="914"/>
    </row>
    <row r="991" spans="1:9" s="324" customFormat="1" ht="14.25" x14ac:dyDescent="0.2">
      <c r="A991" s="1048" t="s">
        <v>3252</v>
      </c>
      <c r="B991" s="244" t="s">
        <v>799</v>
      </c>
      <c r="C991" s="77" t="s">
        <v>3276</v>
      </c>
      <c r="D991" s="19" t="s">
        <v>330</v>
      </c>
      <c r="E991" s="194">
        <v>0.85</v>
      </c>
      <c r="F991" s="320">
        <f>CONSTRUCCION!F34</f>
        <v>482282</v>
      </c>
      <c r="G991" s="681">
        <v>1.05</v>
      </c>
      <c r="H991" s="252">
        <f t="shared" si="76"/>
        <v>430436.685</v>
      </c>
      <c r="I991" s="914"/>
    </row>
    <row r="992" spans="1:9" s="324" customFormat="1" ht="12.75" x14ac:dyDescent="0.2">
      <c r="A992" s="1048"/>
      <c r="B992" s="244" t="s">
        <v>814</v>
      </c>
      <c r="C992" s="77" t="s">
        <v>2018</v>
      </c>
      <c r="D992" s="19" t="s">
        <v>406</v>
      </c>
      <c r="E992" s="194">
        <v>125</v>
      </c>
      <c r="F992" s="320">
        <f>CONSTRUCCION!F118</f>
        <v>7440</v>
      </c>
      <c r="G992" s="681">
        <v>1</v>
      </c>
      <c r="H992" s="252">
        <f t="shared" si="76"/>
        <v>930000</v>
      </c>
      <c r="I992" s="914"/>
    </row>
    <row r="993" spans="1:9" s="324" customFormat="1" ht="12.75" x14ac:dyDescent="0.2">
      <c r="A993" s="508" t="s">
        <v>2555</v>
      </c>
      <c r="B993" s="244" t="s">
        <v>587</v>
      </c>
      <c r="C993" s="182" t="s">
        <v>2190</v>
      </c>
      <c r="D993" s="19" t="s">
        <v>585</v>
      </c>
      <c r="E993" s="194">
        <v>1</v>
      </c>
      <c r="F993" s="320">
        <f>VLOOKUP(B993,'BASE DE DATOS'!$A$5:$E$997,5,FALSE)</f>
        <v>514339</v>
      </c>
      <c r="G993" s="681">
        <v>0.35</v>
      </c>
      <c r="H993" s="252">
        <f t="shared" si="76"/>
        <v>180018.65</v>
      </c>
      <c r="I993" s="914"/>
    </row>
    <row r="994" spans="1:9" s="324" customFormat="1" ht="12.75" x14ac:dyDescent="0.2">
      <c r="A994" s="954" t="s">
        <v>293</v>
      </c>
      <c r="B994" s="244" t="s">
        <v>261</v>
      </c>
      <c r="C994" s="182" t="s">
        <v>82</v>
      </c>
      <c r="D994" s="19" t="s">
        <v>614</v>
      </c>
      <c r="E994" s="194">
        <v>1</v>
      </c>
      <c r="F994" s="320">
        <f>VLOOKUP(B994,'BASE DE DATOS'!$A$5:$E$997,5,FALSE)</f>
        <v>400687.72200000001</v>
      </c>
      <c r="G994" s="681">
        <v>1</v>
      </c>
      <c r="H994" s="252">
        <f t="shared" si="76"/>
        <v>400687.72200000001</v>
      </c>
      <c r="I994" s="914"/>
    </row>
    <row r="995" spans="1:9" s="324" customFormat="1" ht="12.75" x14ac:dyDescent="0.2">
      <c r="A995" s="954"/>
      <c r="B995" s="244" t="s">
        <v>127</v>
      </c>
      <c r="C995" s="474" t="s">
        <v>128</v>
      </c>
      <c r="D995" s="215" t="s">
        <v>585</v>
      </c>
      <c r="E995" s="194">
        <v>1</v>
      </c>
      <c r="F995" s="320">
        <f>VLOOKUP(B995,'BASE DE DATOS'!$A$5:$E$997,5,FALSE)</f>
        <v>23800</v>
      </c>
      <c r="G995" s="684">
        <f>1/1</f>
        <v>1</v>
      </c>
      <c r="H995" s="252">
        <f>IF(G995&gt;0,(G995*F995*E995),(F995*E995))</f>
        <v>23800</v>
      </c>
      <c r="I995" s="914"/>
    </row>
    <row r="996" spans="1:9" s="324" customFormat="1" ht="12.75" x14ac:dyDescent="0.2">
      <c r="A996" s="954"/>
      <c r="B996" s="244" t="s">
        <v>658</v>
      </c>
      <c r="C996" s="62" t="s">
        <v>2013</v>
      </c>
      <c r="D996" s="19" t="s">
        <v>614</v>
      </c>
      <c r="E996" s="198">
        <v>1</v>
      </c>
      <c r="F996" s="320">
        <f>VLOOKUP(B996,'BASE DE DATOS'!$A$5:$E$997,5,FALSE)</f>
        <v>183310.80000000002</v>
      </c>
      <c r="G996" s="681">
        <f>1/2.5</f>
        <v>0.4</v>
      </c>
      <c r="H996" s="252">
        <f>IF(G996&gt;0,(G996*F996*E996),(F996*E996))</f>
        <v>73324.320000000007</v>
      </c>
      <c r="I996" s="914"/>
    </row>
    <row r="997" spans="1:9" s="324" customFormat="1" ht="12.75" x14ac:dyDescent="0.2">
      <c r="A997" s="954"/>
      <c r="B997" s="244" t="s">
        <v>269</v>
      </c>
      <c r="C997" s="62" t="s">
        <v>284</v>
      </c>
      <c r="D997" s="19" t="s">
        <v>586</v>
      </c>
      <c r="E997" s="198">
        <v>0.05</v>
      </c>
      <c r="F997" s="320">
        <f>H993</f>
        <v>180018.65</v>
      </c>
      <c r="G997" s="681">
        <v>1</v>
      </c>
      <c r="H997" s="252">
        <f>IF(G997&gt;0,(G997*F997*E997),(F997*E997))</f>
        <v>9000.9325000000008</v>
      </c>
      <c r="I997" s="914"/>
    </row>
    <row r="998" spans="1:9" s="324" customFormat="1" ht="14.25" x14ac:dyDescent="0.2">
      <c r="A998" s="954"/>
      <c r="B998" s="244" t="s">
        <v>1914</v>
      </c>
      <c r="C998" s="182" t="s">
        <v>1965</v>
      </c>
      <c r="D998" s="19" t="s">
        <v>330</v>
      </c>
      <c r="E998" s="194">
        <v>1</v>
      </c>
      <c r="F998" s="320">
        <f>VLOOKUP(B998,'BASE DE DATOS'!$A$5:$E$997,5,FALSE)</f>
        <v>41520</v>
      </c>
      <c r="G998" s="681">
        <v>0.82499999999999996</v>
      </c>
      <c r="H998" s="252">
        <f>IF(G998&gt;0,(G998*F998*E998),(F998*E998))</f>
        <v>34254</v>
      </c>
      <c r="I998" s="914"/>
    </row>
    <row r="999" spans="1:9" s="324" customFormat="1" ht="12.75" x14ac:dyDescent="0.2">
      <c r="A999" s="954"/>
      <c r="B999" s="244" t="s">
        <v>1915</v>
      </c>
      <c r="C999" s="182" t="s">
        <v>1916</v>
      </c>
      <c r="D999" s="19" t="s">
        <v>614</v>
      </c>
      <c r="E999" s="194">
        <v>1</v>
      </c>
      <c r="F999" s="320">
        <f>VLOOKUP(B999,'BASE DE DATOS'!$A$5:$E$997,5,FALSE)</f>
        <v>275070</v>
      </c>
      <c r="G999" s="681">
        <f>1/2.5</f>
        <v>0.4</v>
      </c>
      <c r="H999" s="252">
        <f t="shared" si="76"/>
        <v>110028</v>
      </c>
      <c r="I999" s="914"/>
    </row>
    <row r="1000" spans="1:9" s="324" customFormat="1" ht="13.5" thickBot="1" x14ac:dyDescent="0.25">
      <c r="A1000" s="955"/>
      <c r="B1000" s="543" t="s">
        <v>1917</v>
      </c>
      <c r="C1000" s="75" t="s">
        <v>1918</v>
      </c>
      <c r="D1000" s="49" t="s">
        <v>614</v>
      </c>
      <c r="E1000" s="199">
        <v>1</v>
      </c>
      <c r="F1000" s="355">
        <f>VLOOKUP(B1000,'BASE DE DATOS'!$A$5:$E$997,5,FALSE)</f>
        <v>261800</v>
      </c>
      <c r="G1000" s="682">
        <f>1/2.5</f>
        <v>0.4</v>
      </c>
      <c r="H1000" s="255">
        <f t="shared" si="76"/>
        <v>104720</v>
      </c>
      <c r="I1000" s="914"/>
    </row>
    <row r="1001" spans="1:9" s="41" customFormat="1" ht="30" x14ac:dyDescent="0.2">
      <c r="A1001" s="665" t="s">
        <v>1200</v>
      </c>
      <c r="B1001" s="550"/>
      <c r="C1001" s="325" t="s">
        <v>3574</v>
      </c>
      <c r="D1001" s="326" t="s">
        <v>405</v>
      </c>
      <c r="E1001" s="400"/>
      <c r="F1001" s="357">
        <f>ROUND(SUM(H1001:H1009),0)</f>
        <v>326904</v>
      </c>
      <c r="G1001" s="687"/>
      <c r="H1001" s="364"/>
      <c r="I1001" s="914">
        <v>45</v>
      </c>
    </row>
    <row r="1002" spans="1:9" s="324" customFormat="1" ht="12.75" x14ac:dyDescent="0.2">
      <c r="A1002" s="660" t="s">
        <v>382</v>
      </c>
      <c r="B1002" s="244" t="s">
        <v>1282</v>
      </c>
      <c r="C1002" s="77" t="s">
        <v>604</v>
      </c>
      <c r="D1002" s="19" t="s">
        <v>406</v>
      </c>
      <c r="E1002" s="194">
        <v>1</v>
      </c>
      <c r="F1002" s="320">
        <f>VLOOKUP(B1002,'BASE DE DATOS'!$A$5:$E$997,5,FALSE)</f>
        <v>7790</v>
      </c>
      <c r="G1002" s="681">
        <v>0.5</v>
      </c>
      <c r="H1002" s="252">
        <f t="shared" ref="H1002:H1008" si="77">IF(G1002&gt;0,(G1002*F1002*E1002),(F1002*E1002))</f>
        <v>3895</v>
      </c>
      <c r="I1002" s="914"/>
    </row>
    <row r="1003" spans="1:9" s="324" customFormat="1" ht="14.25" x14ac:dyDescent="0.2">
      <c r="A1003" s="1048" t="s">
        <v>3252</v>
      </c>
      <c r="B1003" s="244" t="s">
        <v>799</v>
      </c>
      <c r="C1003" s="77" t="s">
        <v>3276</v>
      </c>
      <c r="D1003" s="19" t="s">
        <v>330</v>
      </c>
      <c r="E1003" s="194">
        <v>0.13</v>
      </c>
      <c r="F1003" s="320">
        <f>CONSTRUCCION!F34</f>
        <v>482282</v>
      </c>
      <c r="G1003" s="681">
        <v>1.05</v>
      </c>
      <c r="H1003" s="252">
        <f t="shared" si="77"/>
        <v>65831.493000000002</v>
      </c>
      <c r="I1003" s="914"/>
    </row>
    <row r="1004" spans="1:9" s="324" customFormat="1" ht="12.75" x14ac:dyDescent="0.2">
      <c r="A1004" s="1048"/>
      <c r="B1004" s="244" t="s">
        <v>814</v>
      </c>
      <c r="C1004" s="77" t="s">
        <v>2018</v>
      </c>
      <c r="D1004" s="19" t="s">
        <v>406</v>
      </c>
      <c r="E1004" s="194">
        <v>12</v>
      </c>
      <c r="F1004" s="320">
        <f>CONSTRUCCION!F118</f>
        <v>7440</v>
      </c>
      <c r="G1004" s="681">
        <v>1</v>
      </c>
      <c r="H1004" s="252">
        <f t="shared" si="77"/>
        <v>89280</v>
      </c>
      <c r="I1004" s="914"/>
    </row>
    <row r="1005" spans="1:9" s="324" customFormat="1" ht="12.75" x14ac:dyDescent="0.2">
      <c r="A1005" s="508" t="s">
        <v>2555</v>
      </c>
      <c r="B1005" s="244" t="s">
        <v>587</v>
      </c>
      <c r="C1005" s="182" t="s">
        <v>2190</v>
      </c>
      <c r="D1005" s="19" t="s">
        <v>585</v>
      </c>
      <c r="E1005" s="194">
        <v>1</v>
      </c>
      <c r="F1005" s="320">
        <f>VLOOKUP(B1005,'BASE DE DATOS'!$A$5:$E$997,5,FALSE)</f>
        <v>514339</v>
      </c>
      <c r="G1005" s="681">
        <v>0.1</v>
      </c>
      <c r="H1005" s="252">
        <f t="shared" si="77"/>
        <v>51433.9</v>
      </c>
      <c r="I1005" s="914"/>
    </row>
    <row r="1006" spans="1:9" s="324" customFormat="1" ht="12.75" x14ac:dyDescent="0.2">
      <c r="A1006" s="937" t="s">
        <v>293</v>
      </c>
      <c r="B1006" s="244" t="s">
        <v>129</v>
      </c>
      <c r="C1006" s="62" t="s">
        <v>130</v>
      </c>
      <c r="D1006" s="19" t="s">
        <v>585</v>
      </c>
      <c r="E1006" s="198">
        <v>1</v>
      </c>
      <c r="F1006" s="320">
        <f>VLOOKUP(B1006,'BASE DE DATOS'!$A$5:$E$997,5,FALSE)</f>
        <v>39444</v>
      </c>
      <c r="G1006" s="681">
        <v>0.2</v>
      </c>
      <c r="H1006" s="252">
        <f>IF(G1006&gt;0,(G1006*F1006*E1006),(F1006*E1006))</f>
        <v>7888.8</v>
      </c>
      <c r="I1006" s="914"/>
    </row>
    <row r="1007" spans="1:9" s="324" customFormat="1" ht="12.75" x14ac:dyDescent="0.2">
      <c r="A1007" s="937"/>
      <c r="B1007" s="244" t="s">
        <v>261</v>
      </c>
      <c r="C1007" s="182" t="s">
        <v>82</v>
      </c>
      <c r="D1007" s="19" t="s">
        <v>614</v>
      </c>
      <c r="E1007" s="194">
        <v>1</v>
      </c>
      <c r="F1007" s="320">
        <f>VLOOKUP(B1007,'BASE DE DATOS'!$A$5:$E$997,5,FALSE)</f>
        <v>400687.72200000001</v>
      </c>
      <c r="G1007" s="681">
        <v>0.25</v>
      </c>
      <c r="H1007" s="252">
        <f t="shared" si="77"/>
        <v>100171.9305</v>
      </c>
      <c r="I1007" s="914"/>
    </row>
    <row r="1008" spans="1:9" s="324" customFormat="1" ht="12.75" x14ac:dyDescent="0.2">
      <c r="A1008" s="937"/>
      <c r="B1008" s="244" t="s">
        <v>269</v>
      </c>
      <c r="C1008" s="474" t="s">
        <v>284</v>
      </c>
      <c r="D1008" s="215" t="s">
        <v>586</v>
      </c>
      <c r="E1008" s="194">
        <v>0.05</v>
      </c>
      <c r="F1008" s="320">
        <f>+H1005</f>
        <v>51433.9</v>
      </c>
      <c r="G1008" s="684">
        <v>1</v>
      </c>
      <c r="H1008" s="252">
        <f t="shared" si="77"/>
        <v>2571.6950000000002</v>
      </c>
      <c r="I1008" s="914"/>
    </row>
    <row r="1009" spans="1:9" s="324" customFormat="1" ht="13.5" thickBot="1" x14ac:dyDescent="0.25">
      <c r="A1009" s="938"/>
      <c r="B1009" s="543" t="s">
        <v>668</v>
      </c>
      <c r="C1009" s="594" t="s">
        <v>669</v>
      </c>
      <c r="D1009" s="49" t="s">
        <v>614</v>
      </c>
      <c r="E1009" s="195">
        <v>1</v>
      </c>
      <c r="F1009" s="355">
        <f>VLOOKUP(B1009,'BASE DE DATOS'!$A$5:$E$997,5,FALSE)</f>
        <v>58310</v>
      </c>
      <c r="G1009" s="682">
        <v>0.1</v>
      </c>
      <c r="H1009" s="255">
        <f>IF(G1009&gt;0,(G1009*F1009*E1009),(F1009*E1009))</f>
        <v>5831</v>
      </c>
      <c r="I1009" s="914"/>
    </row>
    <row r="1010" spans="1:9" s="41" customFormat="1" x14ac:dyDescent="0.2">
      <c r="A1010" s="67" t="s">
        <v>1201</v>
      </c>
      <c r="B1010" s="526"/>
      <c r="C1010" s="325" t="s">
        <v>3263</v>
      </c>
      <c r="D1010" s="326"/>
      <c r="E1010" s="360"/>
      <c r="F1010" s="357"/>
      <c r="G1010" s="329"/>
      <c r="H1010" s="330"/>
      <c r="I1010" s="914"/>
    </row>
    <row r="1011" spans="1:9" s="324" customFormat="1" ht="159.6" customHeight="1" thickBot="1" x14ac:dyDescent="0.25">
      <c r="A1011" s="381"/>
      <c r="B1011" s="543"/>
      <c r="C1011" s="1045" t="s">
        <v>3598</v>
      </c>
      <c r="D1011" s="1046"/>
      <c r="E1011" s="1046"/>
      <c r="F1011" s="1046"/>
      <c r="G1011" s="1046"/>
      <c r="H1011" s="1047"/>
      <c r="I1011" s="914"/>
    </row>
    <row r="1012" spans="1:9" s="41" customFormat="1" ht="15.75" thickBot="1" x14ac:dyDescent="0.25">
      <c r="A1012" s="1022" t="s">
        <v>2214</v>
      </c>
      <c r="B1012" s="1023"/>
      <c r="C1012" s="1023"/>
      <c r="D1012" s="1023"/>
      <c r="E1012" s="1023"/>
      <c r="F1012" s="1023"/>
      <c r="G1012" s="1023"/>
      <c r="H1012" s="1024"/>
      <c r="I1012" s="914"/>
    </row>
    <row r="1013" spans="1:9" s="41" customFormat="1" ht="45.75" thickBot="1" x14ac:dyDescent="0.25">
      <c r="A1013" s="510" t="s">
        <v>2044</v>
      </c>
      <c r="B1013" s="346" t="s">
        <v>265</v>
      </c>
      <c r="C1013" s="74" t="s">
        <v>402</v>
      </c>
      <c r="D1013" s="347" t="s">
        <v>346</v>
      </c>
      <c r="E1013" s="192" t="s">
        <v>2173</v>
      </c>
      <c r="F1013" s="162" t="s">
        <v>404</v>
      </c>
      <c r="G1013" s="290" t="s">
        <v>281</v>
      </c>
      <c r="H1013" s="73" t="s">
        <v>282</v>
      </c>
      <c r="I1013" s="914"/>
    </row>
    <row r="1014" spans="1:9" s="41" customFormat="1" x14ac:dyDescent="0.2">
      <c r="A1014" s="67" t="s">
        <v>1093</v>
      </c>
      <c r="B1014" s="526"/>
      <c r="C1014" s="325" t="s">
        <v>2164</v>
      </c>
      <c r="D1014" s="326" t="s">
        <v>405</v>
      </c>
      <c r="E1014" s="414"/>
      <c r="F1014" s="357">
        <f>ROUND(SUM(H1014:H1021),0)</f>
        <v>184816</v>
      </c>
      <c r="G1014" s="683"/>
      <c r="H1014" s="330"/>
      <c r="I1014" s="914"/>
    </row>
    <row r="1015" spans="1:9" s="324" customFormat="1" ht="12.75" x14ac:dyDescent="0.2">
      <c r="A1015" s="936" t="s">
        <v>382</v>
      </c>
      <c r="B1015" s="244" t="s">
        <v>2613</v>
      </c>
      <c r="C1015" s="62" t="s">
        <v>3802</v>
      </c>
      <c r="D1015" s="19" t="s">
        <v>411</v>
      </c>
      <c r="E1015" s="194">
        <v>1</v>
      </c>
      <c r="F1015" s="320">
        <f>VLOOKUP(B1015,'BASE DE DATOS'!$A$5:$E$997,5,FALSE)</f>
        <v>10809</v>
      </c>
      <c r="G1015" s="681">
        <v>1</v>
      </c>
      <c r="H1015" s="252">
        <f>IF(G1015&gt;0,(G1015*F1015*E1015),(F1015*E1015))</f>
        <v>10809</v>
      </c>
      <c r="I1015" s="914"/>
    </row>
    <row r="1016" spans="1:9" s="324" customFormat="1" ht="12.75" x14ac:dyDescent="0.2">
      <c r="A1016" s="936"/>
      <c r="B1016" s="244" t="s">
        <v>1368</v>
      </c>
      <c r="C1016" s="62" t="s">
        <v>1940</v>
      </c>
      <c r="D1016" s="19" t="s">
        <v>405</v>
      </c>
      <c r="E1016" s="194">
        <v>0.27</v>
      </c>
      <c r="F1016" s="320">
        <f>VLOOKUP(B1016,'BASE DE DATOS'!$A$5:$E$997,5,FALSE)</f>
        <v>172884.53</v>
      </c>
      <c r="G1016" s="681">
        <v>1</v>
      </c>
      <c r="H1016" s="252">
        <f t="shared" ref="H1016:H1075" si="78">IF(G1016&gt;0,(G1016*F1016*E1016),(F1016*E1016))</f>
        <v>46678.823100000001</v>
      </c>
      <c r="I1016" s="914"/>
    </row>
    <row r="1017" spans="1:9" s="324" customFormat="1" ht="25.5" x14ac:dyDescent="0.2">
      <c r="A1017" s="936"/>
      <c r="B1017" s="244" t="s">
        <v>1553</v>
      </c>
      <c r="C1017" s="62" t="s">
        <v>1945</v>
      </c>
      <c r="D1017" s="19" t="s">
        <v>411</v>
      </c>
      <c r="E1017" s="194">
        <v>0.25</v>
      </c>
      <c r="F1017" s="320">
        <f>VLOOKUP(B1017,'BASE DE DATOS'!$A$5:$E$997,5,FALSE)</f>
        <v>207600</v>
      </c>
      <c r="G1017" s="681">
        <v>1</v>
      </c>
      <c r="H1017" s="252">
        <f t="shared" si="78"/>
        <v>51900</v>
      </c>
      <c r="I1017" s="914"/>
    </row>
    <row r="1018" spans="1:9" s="324" customFormat="1" ht="14.25" x14ac:dyDescent="0.2">
      <c r="A1018" s="505" t="s">
        <v>3252</v>
      </c>
      <c r="B1018" s="244" t="s">
        <v>798</v>
      </c>
      <c r="C1018" s="62" t="s">
        <v>2148</v>
      </c>
      <c r="D1018" s="19" t="s">
        <v>285</v>
      </c>
      <c r="E1018" s="194">
        <v>1.4E-2</v>
      </c>
      <c r="F1018" s="320">
        <f>CONSTRUCCION!F26</f>
        <v>456694</v>
      </c>
      <c r="G1018" s="681">
        <v>1</v>
      </c>
      <c r="H1018" s="252">
        <f t="shared" si="78"/>
        <v>6393.7160000000003</v>
      </c>
      <c r="I1018" s="914"/>
    </row>
    <row r="1019" spans="1:9" s="324" customFormat="1" ht="12.75" x14ac:dyDescent="0.2">
      <c r="A1019" s="508" t="s">
        <v>2555</v>
      </c>
      <c r="B1019" s="244" t="s">
        <v>607</v>
      </c>
      <c r="C1019" s="62" t="s">
        <v>608</v>
      </c>
      <c r="D1019" s="19" t="s">
        <v>585</v>
      </c>
      <c r="E1019" s="194">
        <v>1</v>
      </c>
      <c r="F1019" s="320">
        <f>VLOOKUP(B1019,'BASE DE DATOS'!$A$5:$E$997,5,FALSE)</f>
        <v>336981</v>
      </c>
      <c r="G1019" s="681">
        <f>1/8</f>
        <v>0.125</v>
      </c>
      <c r="H1019" s="252">
        <f t="shared" si="78"/>
        <v>42122.625</v>
      </c>
      <c r="I1019" s="914"/>
    </row>
    <row r="1020" spans="1:9" s="324" customFormat="1" ht="25.5" x14ac:dyDescent="0.2">
      <c r="A1020" s="937" t="s">
        <v>293</v>
      </c>
      <c r="B1020" s="244" t="s">
        <v>649</v>
      </c>
      <c r="C1020" s="382" t="s">
        <v>2165</v>
      </c>
      <c r="D1020" s="383" t="s">
        <v>585</v>
      </c>
      <c r="E1020" s="194">
        <v>0.06</v>
      </c>
      <c r="F1020" s="320">
        <f>VLOOKUP(B1020,'BASE DE DATOS'!$A$5:$E$997,5,FALSE)</f>
        <v>378333.33333333331</v>
      </c>
      <c r="G1020" s="684">
        <v>1</v>
      </c>
      <c r="H1020" s="252">
        <f t="shared" si="78"/>
        <v>22699.999999999996</v>
      </c>
      <c r="I1020" s="914"/>
    </row>
    <row r="1021" spans="1:9" s="324" customFormat="1" ht="13.5" thickBot="1" x14ac:dyDescent="0.25">
      <c r="A1021" s="938"/>
      <c r="B1021" s="543" t="s">
        <v>269</v>
      </c>
      <c r="C1021" s="169" t="s">
        <v>284</v>
      </c>
      <c r="D1021" s="112" t="s">
        <v>586</v>
      </c>
      <c r="E1021" s="201">
        <v>0.1</v>
      </c>
      <c r="F1021" s="321">
        <f>+H1019</f>
        <v>42122.625</v>
      </c>
      <c r="G1021" s="686">
        <v>0</v>
      </c>
      <c r="H1021" s="255">
        <f t="shared" si="78"/>
        <v>4212.2624999999998</v>
      </c>
      <c r="I1021" s="914"/>
    </row>
    <row r="1022" spans="1:9" s="41" customFormat="1" x14ac:dyDescent="0.2">
      <c r="A1022" s="67" t="s">
        <v>1202</v>
      </c>
      <c r="B1022" s="526"/>
      <c r="C1022" s="325" t="s">
        <v>534</v>
      </c>
      <c r="D1022" s="326" t="s">
        <v>411</v>
      </c>
      <c r="E1022" s="414"/>
      <c r="F1022" s="357">
        <f>ROUND(SUM(H1022:H1028),0)</f>
        <v>2526040</v>
      </c>
      <c r="G1022" s="683"/>
      <c r="H1022" s="370"/>
      <c r="I1022" s="914"/>
    </row>
    <row r="1023" spans="1:9" s="324" customFormat="1" ht="25.5" x14ac:dyDescent="0.2">
      <c r="A1023" s="936" t="s">
        <v>382</v>
      </c>
      <c r="B1023" s="244" t="s">
        <v>2982</v>
      </c>
      <c r="C1023" s="62" t="s">
        <v>2736</v>
      </c>
      <c r="D1023" s="19" t="s">
        <v>411</v>
      </c>
      <c r="E1023" s="198">
        <v>1</v>
      </c>
      <c r="F1023" s="320">
        <f>VLOOKUP(B1023,'BASE DE DATOS'!$A$5:$E$997,5,FALSE)</f>
        <v>2356000</v>
      </c>
      <c r="G1023" s="681">
        <v>0</v>
      </c>
      <c r="H1023" s="252">
        <f t="shared" si="78"/>
        <v>2356000</v>
      </c>
      <c r="I1023" s="914"/>
    </row>
    <row r="1024" spans="1:9" s="324" customFormat="1" ht="12.75" x14ac:dyDescent="0.2">
      <c r="A1024" s="936"/>
      <c r="B1024" s="244" t="s">
        <v>1549</v>
      </c>
      <c r="C1024" s="62" t="s">
        <v>3152</v>
      </c>
      <c r="D1024" s="19" t="s">
        <v>411</v>
      </c>
      <c r="E1024" s="194">
        <v>1</v>
      </c>
      <c r="F1024" s="320">
        <f>VLOOKUP(B1024,'BASE DE DATOS'!$A$5:$E$997,5,FALSE)</f>
        <v>94900</v>
      </c>
      <c r="G1024" s="681">
        <v>0</v>
      </c>
      <c r="H1024" s="252">
        <f t="shared" si="78"/>
        <v>94900</v>
      </c>
      <c r="I1024" s="914"/>
    </row>
    <row r="1025" spans="1:9" s="324" customFormat="1" ht="14.25" x14ac:dyDescent="0.2">
      <c r="A1025" s="505" t="s">
        <v>3252</v>
      </c>
      <c r="B1025" s="244" t="s">
        <v>798</v>
      </c>
      <c r="C1025" s="62" t="s">
        <v>2148</v>
      </c>
      <c r="D1025" s="19" t="s">
        <v>285</v>
      </c>
      <c r="E1025" s="198">
        <v>2.7E-2</v>
      </c>
      <c r="F1025" s="320">
        <f>CONSTRUCCION!F26</f>
        <v>456694</v>
      </c>
      <c r="G1025" s="681">
        <v>1.05</v>
      </c>
      <c r="H1025" s="252">
        <f t="shared" si="78"/>
        <v>12947.2749</v>
      </c>
      <c r="I1025" s="914"/>
    </row>
    <row r="1026" spans="1:9" s="324" customFormat="1" ht="12.75" x14ac:dyDescent="0.2">
      <c r="A1026" s="508" t="s">
        <v>2555</v>
      </c>
      <c r="B1026" s="244" t="s">
        <v>644</v>
      </c>
      <c r="C1026" s="62" t="s">
        <v>645</v>
      </c>
      <c r="D1026" s="19" t="s">
        <v>585</v>
      </c>
      <c r="E1026" s="198">
        <v>1</v>
      </c>
      <c r="F1026" s="320">
        <f>VLOOKUP(B1026,'BASE DE DATOS'!$A$5:$E$997,5,FALSE)</f>
        <v>248302</v>
      </c>
      <c r="G1026" s="681">
        <f>1/5</f>
        <v>0.2</v>
      </c>
      <c r="H1026" s="252">
        <f t="shared" si="78"/>
        <v>49660.4</v>
      </c>
      <c r="I1026" s="914"/>
    </row>
    <row r="1027" spans="1:9" s="324" customFormat="1" ht="25.5" x14ac:dyDescent="0.2">
      <c r="A1027" s="937" t="s">
        <v>293</v>
      </c>
      <c r="B1027" s="244" t="s">
        <v>649</v>
      </c>
      <c r="C1027" s="71" t="s">
        <v>2165</v>
      </c>
      <c r="D1027" s="138" t="s">
        <v>585</v>
      </c>
      <c r="E1027" s="194">
        <v>0.02</v>
      </c>
      <c r="F1027" s="320">
        <f>VLOOKUP(B1027,'BASE DE DATOS'!$A$5:$E$997,5,FALSE)</f>
        <v>378333.33333333331</v>
      </c>
      <c r="G1027" s="681">
        <v>0</v>
      </c>
      <c r="H1027" s="252">
        <f t="shared" si="78"/>
        <v>7566.6666666666661</v>
      </c>
      <c r="I1027" s="914"/>
    </row>
    <row r="1028" spans="1:9" s="324" customFormat="1" ht="13.5" thickBot="1" x14ac:dyDescent="0.25">
      <c r="A1028" s="938"/>
      <c r="B1028" s="543" t="s">
        <v>269</v>
      </c>
      <c r="C1028" s="169" t="s">
        <v>284</v>
      </c>
      <c r="D1028" s="112" t="s">
        <v>586</v>
      </c>
      <c r="E1028" s="206">
        <v>0.1</v>
      </c>
      <c r="F1028" s="321">
        <f>+H1026</f>
        <v>49660.4</v>
      </c>
      <c r="G1028" s="686">
        <v>0</v>
      </c>
      <c r="H1028" s="255">
        <f t="shared" si="78"/>
        <v>4966.0400000000009</v>
      </c>
      <c r="I1028" s="914"/>
    </row>
    <row r="1029" spans="1:9" s="41" customFormat="1" ht="30" x14ac:dyDescent="0.2">
      <c r="A1029" s="67" t="s">
        <v>1203</v>
      </c>
      <c r="B1029" s="526"/>
      <c r="C1029" s="325" t="s">
        <v>2166</v>
      </c>
      <c r="D1029" s="326" t="s">
        <v>411</v>
      </c>
      <c r="E1029" s="414"/>
      <c r="F1029" s="357">
        <f>ROUND(SUM(H1029:H1035),0)</f>
        <v>514640</v>
      </c>
      <c r="G1029" s="683"/>
      <c r="H1029" s="370"/>
      <c r="I1029" s="914"/>
    </row>
    <row r="1030" spans="1:9" s="102" customFormat="1" ht="25.5" x14ac:dyDescent="0.2">
      <c r="A1030" s="936" t="s">
        <v>382</v>
      </c>
      <c r="B1030" s="244" t="s">
        <v>1745</v>
      </c>
      <c r="C1030" s="62" t="s">
        <v>3579</v>
      </c>
      <c r="D1030" s="19" t="s">
        <v>411</v>
      </c>
      <c r="E1030" s="194">
        <v>1</v>
      </c>
      <c r="F1030" s="320">
        <f>VLOOKUP(B1030,'BASE DE DATOS'!$A$5:$E$997,5,FALSE)</f>
        <v>344600</v>
      </c>
      <c r="G1030" s="681">
        <v>0</v>
      </c>
      <c r="H1030" s="252">
        <f t="shared" si="78"/>
        <v>344600</v>
      </c>
      <c r="I1030" s="917"/>
    </row>
    <row r="1031" spans="1:9" s="324" customFormat="1" ht="12.75" x14ac:dyDescent="0.2">
      <c r="A1031" s="936"/>
      <c r="B1031" s="244" t="s">
        <v>1549</v>
      </c>
      <c r="C1031" s="62" t="s">
        <v>3152</v>
      </c>
      <c r="D1031" s="19" t="s">
        <v>411</v>
      </c>
      <c r="E1031" s="194">
        <v>1</v>
      </c>
      <c r="F1031" s="320">
        <f>VLOOKUP(B1031,'BASE DE DATOS'!$A$5:$E$997,5,FALSE)</f>
        <v>94900</v>
      </c>
      <c r="G1031" s="681">
        <v>0</v>
      </c>
      <c r="H1031" s="252">
        <f t="shared" si="78"/>
        <v>94900</v>
      </c>
      <c r="I1031" s="914"/>
    </row>
    <row r="1032" spans="1:9" s="324" customFormat="1" ht="14.25" x14ac:dyDescent="0.2">
      <c r="A1032" s="505" t="s">
        <v>3252</v>
      </c>
      <c r="B1032" s="244" t="s">
        <v>798</v>
      </c>
      <c r="C1032" s="62" t="s">
        <v>2148</v>
      </c>
      <c r="D1032" s="19" t="s">
        <v>285</v>
      </c>
      <c r="E1032" s="194">
        <v>2.7E-2</v>
      </c>
      <c r="F1032" s="320">
        <f>CONSTRUCCION!F26</f>
        <v>456694</v>
      </c>
      <c r="G1032" s="681">
        <v>1.05</v>
      </c>
      <c r="H1032" s="252">
        <f t="shared" si="78"/>
        <v>12947.2749</v>
      </c>
      <c r="I1032" s="914"/>
    </row>
    <row r="1033" spans="1:9" s="324" customFormat="1" ht="12.75" x14ac:dyDescent="0.2">
      <c r="A1033" s="508" t="s">
        <v>2555</v>
      </c>
      <c r="B1033" s="244" t="s">
        <v>644</v>
      </c>
      <c r="C1033" s="62" t="s">
        <v>645</v>
      </c>
      <c r="D1033" s="19" t="s">
        <v>585</v>
      </c>
      <c r="E1033" s="194">
        <v>1</v>
      </c>
      <c r="F1033" s="320">
        <f>VLOOKUP(B1033,'BASE DE DATOS'!$A$5:$E$997,5,FALSE)</f>
        <v>248302</v>
      </c>
      <c r="G1033" s="681">
        <f>1/5</f>
        <v>0.2</v>
      </c>
      <c r="H1033" s="252">
        <f t="shared" si="78"/>
        <v>49660.4</v>
      </c>
      <c r="I1033" s="914"/>
    </row>
    <row r="1034" spans="1:9" s="324" customFormat="1" ht="25.5" x14ac:dyDescent="0.2">
      <c r="A1034" s="937" t="s">
        <v>293</v>
      </c>
      <c r="B1034" s="244" t="s">
        <v>649</v>
      </c>
      <c r="C1034" s="71" t="s">
        <v>2165</v>
      </c>
      <c r="D1034" s="138" t="s">
        <v>585</v>
      </c>
      <c r="E1034" s="194">
        <v>0.02</v>
      </c>
      <c r="F1034" s="320">
        <f>VLOOKUP(B1034,'BASE DE DATOS'!$A$5:$E$997,5,FALSE)</f>
        <v>378333.33333333331</v>
      </c>
      <c r="G1034" s="681">
        <v>0</v>
      </c>
      <c r="H1034" s="252">
        <f t="shared" si="78"/>
        <v>7566.6666666666661</v>
      </c>
      <c r="I1034" s="914"/>
    </row>
    <row r="1035" spans="1:9" s="324" customFormat="1" ht="13.5" thickBot="1" x14ac:dyDescent="0.25">
      <c r="A1035" s="938"/>
      <c r="B1035" s="543" t="s">
        <v>269</v>
      </c>
      <c r="C1035" s="169" t="s">
        <v>284</v>
      </c>
      <c r="D1035" s="112" t="s">
        <v>586</v>
      </c>
      <c r="E1035" s="201">
        <v>0.1</v>
      </c>
      <c r="F1035" s="321">
        <f>+H1033</f>
        <v>49660.4</v>
      </c>
      <c r="G1035" s="686">
        <v>0</v>
      </c>
      <c r="H1035" s="255">
        <f t="shared" si="78"/>
        <v>4966.0400000000009</v>
      </c>
      <c r="I1035" s="914"/>
    </row>
    <row r="1036" spans="1:9" s="41" customFormat="1" x14ac:dyDescent="0.2">
      <c r="A1036" s="67" t="s">
        <v>1204</v>
      </c>
      <c r="B1036" s="526"/>
      <c r="C1036" s="325" t="s">
        <v>535</v>
      </c>
      <c r="D1036" s="326" t="s">
        <v>411</v>
      </c>
      <c r="E1036" s="414"/>
      <c r="F1036" s="357">
        <f>ROUND(SUM(H1036:H1042),0)</f>
        <v>380040</v>
      </c>
      <c r="G1036" s="683"/>
      <c r="H1036" s="370"/>
      <c r="I1036" s="914"/>
    </row>
    <row r="1037" spans="1:9" s="324" customFormat="1" ht="12.75" x14ac:dyDescent="0.2">
      <c r="A1037" s="936" t="s">
        <v>382</v>
      </c>
      <c r="B1037" s="244" t="s">
        <v>1549</v>
      </c>
      <c r="C1037" s="62" t="s">
        <v>3152</v>
      </c>
      <c r="D1037" s="19" t="s">
        <v>411</v>
      </c>
      <c r="E1037" s="194">
        <v>1</v>
      </c>
      <c r="F1037" s="320">
        <f>VLOOKUP(B1037,'BASE DE DATOS'!$A$5:$E$997,5,FALSE)</f>
        <v>94900</v>
      </c>
      <c r="G1037" s="681">
        <v>0</v>
      </c>
      <c r="H1037" s="252">
        <f>IF(G1037&gt;0,(G1037*F1037*E1037),(F1037*E1037))</f>
        <v>94900</v>
      </c>
      <c r="I1037" s="914"/>
    </row>
    <row r="1038" spans="1:9" s="324" customFormat="1" ht="12.75" x14ac:dyDescent="0.2">
      <c r="A1038" s="936"/>
      <c r="B1038" s="244" t="s">
        <v>1718</v>
      </c>
      <c r="C1038" s="62" t="s">
        <v>12</v>
      </c>
      <c r="D1038" s="19" t="s">
        <v>411</v>
      </c>
      <c r="E1038" s="194">
        <v>1</v>
      </c>
      <c r="F1038" s="320">
        <f>VLOOKUP(B1038,'BASE DE DATOS'!$A$5:$E$997,5,FALSE)</f>
        <v>210000</v>
      </c>
      <c r="G1038" s="681">
        <v>0</v>
      </c>
      <c r="H1038" s="252">
        <f t="shared" si="78"/>
        <v>210000</v>
      </c>
      <c r="I1038" s="914"/>
    </row>
    <row r="1039" spans="1:9" s="102" customFormat="1" ht="14.25" x14ac:dyDescent="0.2">
      <c r="A1039" s="505" t="s">
        <v>3252</v>
      </c>
      <c r="B1039" s="244" t="s">
        <v>798</v>
      </c>
      <c r="C1039" s="62" t="s">
        <v>2148</v>
      </c>
      <c r="D1039" s="19" t="s">
        <v>285</v>
      </c>
      <c r="E1039" s="194">
        <v>2.7E-2</v>
      </c>
      <c r="F1039" s="320">
        <f>CONSTRUCCION!F26</f>
        <v>456694</v>
      </c>
      <c r="G1039" s="681">
        <v>1.05</v>
      </c>
      <c r="H1039" s="252">
        <f t="shared" si="78"/>
        <v>12947.2749</v>
      </c>
      <c r="I1039" s="917"/>
    </row>
    <row r="1040" spans="1:9" s="324" customFormat="1" ht="12.75" x14ac:dyDescent="0.2">
      <c r="A1040" s="508" t="s">
        <v>2555</v>
      </c>
      <c r="B1040" s="244" t="s">
        <v>644</v>
      </c>
      <c r="C1040" s="62" t="s">
        <v>645</v>
      </c>
      <c r="D1040" s="19" t="s">
        <v>585</v>
      </c>
      <c r="E1040" s="194">
        <v>1</v>
      </c>
      <c r="F1040" s="320">
        <f>VLOOKUP(B1040,'BASE DE DATOS'!$A$5:$E$997,5,FALSE)</f>
        <v>248302</v>
      </c>
      <c r="G1040" s="681">
        <f>1/5</f>
        <v>0.2</v>
      </c>
      <c r="H1040" s="252">
        <f t="shared" si="78"/>
        <v>49660.4</v>
      </c>
      <c r="I1040" s="914"/>
    </row>
    <row r="1041" spans="1:9" s="324" customFormat="1" ht="25.5" x14ac:dyDescent="0.2">
      <c r="A1041" s="937" t="s">
        <v>293</v>
      </c>
      <c r="B1041" s="244" t="s">
        <v>649</v>
      </c>
      <c r="C1041" s="71" t="s">
        <v>2165</v>
      </c>
      <c r="D1041" s="138" t="s">
        <v>585</v>
      </c>
      <c r="E1041" s="194">
        <v>0.02</v>
      </c>
      <c r="F1041" s="320">
        <f>VLOOKUP(B1041,'BASE DE DATOS'!$A$5:$E$997,5,FALSE)</f>
        <v>378333.33333333331</v>
      </c>
      <c r="G1041" s="681">
        <v>0</v>
      </c>
      <c r="H1041" s="252">
        <f t="shared" si="78"/>
        <v>7566.6666666666661</v>
      </c>
      <c r="I1041" s="914"/>
    </row>
    <row r="1042" spans="1:9" s="324" customFormat="1" ht="13.5" thickBot="1" x14ac:dyDescent="0.25">
      <c r="A1042" s="938"/>
      <c r="B1042" s="543" t="s">
        <v>269</v>
      </c>
      <c r="C1042" s="169" t="s">
        <v>284</v>
      </c>
      <c r="D1042" s="112" t="s">
        <v>586</v>
      </c>
      <c r="E1042" s="201">
        <v>0.1</v>
      </c>
      <c r="F1042" s="321">
        <f>+H1040</f>
        <v>49660.4</v>
      </c>
      <c r="G1042" s="686">
        <v>0</v>
      </c>
      <c r="H1042" s="255">
        <f t="shared" si="78"/>
        <v>4966.0400000000009</v>
      </c>
      <c r="I1042" s="914"/>
    </row>
    <row r="1043" spans="1:9" s="41" customFormat="1" x14ac:dyDescent="0.2">
      <c r="A1043" s="67" t="s">
        <v>1205</v>
      </c>
      <c r="B1043" s="526"/>
      <c r="C1043" s="325" t="s">
        <v>2167</v>
      </c>
      <c r="D1043" s="326" t="s">
        <v>405</v>
      </c>
      <c r="E1043" s="400"/>
      <c r="F1043" s="357">
        <f>ROUND(SUM(H1043:H1049),0)</f>
        <v>3617</v>
      </c>
      <c r="G1043" s="683"/>
      <c r="H1043" s="370"/>
      <c r="I1043" s="914"/>
    </row>
    <row r="1044" spans="1:9" s="324" customFormat="1" ht="12.75" x14ac:dyDescent="0.2">
      <c r="A1044" s="936" t="s">
        <v>382</v>
      </c>
      <c r="B1044" s="244" t="s">
        <v>1375</v>
      </c>
      <c r="C1044" s="62" t="s">
        <v>2168</v>
      </c>
      <c r="D1044" s="19" t="s">
        <v>617</v>
      </c>
      <c r="E1044" s="194">
        <v>1</v>
      </c>
      <c r="F1044" s="320">
        <f>VLOOKUP(B1044,'BASE DE DATOS'!$A$5:$E$997,5,FALSE)</f>
        <v>35713</v>
      </c>
      <c r="G1044" s="681">
        <v>5.0000000000000001E-3</v>
      </c>
      <c r="H1044" s="252">
        <f>IF(G1044&gt;0,(G1044*F1044*E1044),(F1044*E1044))</f>
        <v>178.565</v>
      </c>
      <c r="I1044" s="914"/>
    </row>
    <row r="1045" spans="1:9" s="137" customFormat="1" ht="12.75" x14ac:dyDescent="0.2">
      <c r="A1045" s="936"/>
      <c r="B1045" s="244" t="s">
        <v>1719</v>
      </c>
      <c r="C1045" s="62" t="s">
        <v>699</v>
      </c>
      <c r="D1045" s="19" t="s">
        <v>406</v>
      </c>
      <c r="E1045" s="194">
        <v>0.05</v>
      </c>
      <c r="F1045" s="320">
        <f>VLOOKUP(B1045,'BASE DE DATOS'!$A$5:$E$997,5,FALSE)</f>
        <v>10960</v>
      </c>
      <c r="G1045" s="681">
        <v>1</v>
      </c>
      <c r="H1045" s="252">
        <f t="shared" si="78"/>
        <v>548</v>
      </c>
      <c r="I1045" s="916"/>
    </row>
    <row r="1046" spans="1:9" s="324" customFormat="1" ht="12.75" x14ac:dyDescent="0.2">
      <c r="A1046" s="936"/>
      <c r="B1046" s="244" t="s">
        <v>1522</v>
      </c>
      <c r="C1046" s="62" t="s">
        <v>1944</v>
      </c>
      <c r="D1046" s="19" t="s">
        <v>642</v>
      </c>
      <c r="E1046" s="194">
        <v>1</v>
      </c>
      <c r="F1046" s="320">
        <f>VLOOKUP(B1046,'BASE DE DATOS'!$A$5:$E$997,5,FALSE)</f>
        <v>156900</v>
      </c>
      <c r="G1046" s="681">
        <v>1.4999999999999999E-2</v>
      </c>
      <c r="H1046" s="252">
        <f t="shared" si="78"/>
        <v>2353.5</v>
      </c>
      <c r="I1046" s="914"/>
    </row>
    <row r="1047" spans="1:9" s="324" customFormat="1" ht="12.75" x14ac:dyDescent="0.2">
      <c r="A1047" s="508" t="s">
        <v>2555</v>
      </c>
      <c r="B1047" s="244" t="s">
        <v>596</v>
      </c>
      <c r="C1047" s="62" t="s">
        <v>597</v>
      </c>
      <c r="D1047" s="19" t="s">
        <v>585</v>
      </c>
      <c r="E1047" s="194">
        <v>1</v>
      </c>
      <c r="F1047" s="320">
        <f>VLOOKUP(B1047,'BASE DE DATOS'!$A$5:$E$997,5,FALSE)</f>
        <v>354716</v>
      </c>
      <c r="G1047" s="681">
        <f>1/1500</f>
        <v>6.6666666666666664E-4</v>
      </c>
      <c r="H1047" s="252">
        <f t="shared" si="78"/>
        <v>236.47733333333332</v>
      </c>
      <c r="I1047" s="914"/>
    </row>
    <row r="1048" spans="1:9" s="324" customFormat="1" ht="12.75" x14ac:dyDescent="0.2">
      <c r="A1048" s="937" t="s">
        <v>293</v>
      </c>
      <c r="B1048" s="244" t="s">
        <v>650</v>
      </c>
      <c r="C1048" s="182" t="s">
        <v>1964</v>
      </c>
      <c r="D1048" s="138" t="s">
        <v>585</v>
      </c>
      <c r="E1048" s="198">
        <v>1</v>
      </c>
      <c r="F1048" s="320">
        <f>VLOOKUP(B1048,'BASE DE DATOS'!$A$5:$E$997,5,FALSE)</f>
        <v>582243.26399999997</v>
      </c>
      <c r="G1048" s="681">
        <f>1/2100</f>
        <v>4.7619047619047619E-4</v>
      </c>
      <c r="H1048" s="252">
        <f t="shared" si="78"/>
        <v>277.2586971428571</v>
      </c>
      <c r="I1048" s="914"/>
    </row>
    <row r="1049" spans="1:9" s="324" customFormat="1" ht="13.5" thickBot="1" x14ac:dyDescent="0.25">
      <c r="A1049" s="938"/>
      <c r="B1049" s="543" t="s">
        <v>269</v>
      </c>
      <c r="C1049" s="169" t="s">
        <v>284</v>
      </c>
      <c r="D1049" s="112" t="s">
        <v>586</v>
      </c>
      <c r="E1049" s="201">
        <v>0.1</v>
      </c>
      <c r="F1049" s="321">
        <f>+H1047</f>
        <v>236.47733333333332</v>
      </c>
      <c r="G1049" s="686">
        <v>0</v>
      </c>
      <c r="H1049" s="255">
        <f t="shared" si="78"/>
        <v>23.647733333333335</v>
      </c>
      <c r="I1049" s="914"/>
    </row>
    <row r="1050" spans="1:9" s="339" customFormat="1" ht="17.25" x14ac:dyDescent="0.2">
      <c r="A1050" s="67" t="s">
        <v>1206</v>
      </c>
      <c r="B1050" s="526"/>
      <c r="C1050" s="325" t="s">
        <v>495</v>
      </c>
      <c r="D1050" s="326" t="s">
        <v>3251</v>
      </c>
      <c r="E1050" s="400"/>
      <c r="F1050" s="357">
        <f>ROUND(SUM(H1050:H1057),0)</f>
        <v>48863</v>
      </c>
      <c r="G1050" s="683"/>
      <c r="H1050" s="370"/>
      <c r="I1050" s="917"/>
    </row>
    <row r="1051" spans="1:9" s="324" customFormat="1" ht="12.75" x14ac:dyDescent="0.2">
      <c r="A1051" s="936" t="s">
        <v>382</v>
      </c>
      <c r="B1051" s="244" t="s">
        <v>1375</v>
      </c>
      <c r="C1051" s="62" t="s">
        <v>2168</v>
      </c>
      <c r="D1051" s="19" t="s">
        <v>617</v>
      </c>
      <c r="E1051" s="194">
        <v>1</v>
      </c>
      <c r="F1051" s="320">
        <f>VLOOKUP(B1051,'BASE DE DATOS'!$A$5:$E$997,5,FALSE)</f>
        <v>35713</v>
      </c>
      <c r="G1051" s="681">
        <v>0.05</v>
      </c>
      <c r="H1051" s="252">
        <f>IF(G1051&gt;0,(G1051*F1051*E1051),(F1051*E1051))</f>
        <v>1785.65</v>
      </c>
      <c r="I1051" s="914"/>
    </row>
    <row r="1052" spans="1:9" s="324" customFormat="1" ht="12.75" x14ac:dyDescent="0.2">
      <c r="A1052" s="936"/>
      <c r="B1052" s="244" t="s">
        <v>1719</v>
      </c>
      <c r="C1052" s="62" t="s">
        <v>699</v>
      </c>
      <c r="D1052" s="19" t="s">
        <v>406</v>
      </c>
      <c r="E1052" s="194">
        <v>0.5</v>
      </c>
      <c r="F1052" s="320">
        <f>VLOOKUP(B1052,'BASE DE DATOS'!$A$5:$E$997,5,FALSE)</f>
        <v>10960</v>
      </c>
      <c r="G1052" s="681">
        <v>1</v>
      </c>
      <c r="H1052" s="252">
        <f t="shared" si="78"/>
        <v>5480</v>
      </c>
      <c r="I1052" s="914"/>
    </row>
    <row r="1053" spans="1:9" s="324" customFormat="1" ht="12.75" x14ac:dyDescent="0.2">
      <c r="A1053" s="936"/>
      <c r="B1053" s="244" t="s">
        <v>1522</v>
      </c>
      <c r="C1053" s="62" t="s">
        <v>1944</v>
      </c>
      <c r="D1053" s="19" t="s">
        <v>642</v>
      </c>
      <c r="E1053" s="194">
        <v>1</v>
      </c>
      <c r="F1053" s="320">
        <f>VLOOKUP(B1053,'BASE DE DATOS'!$A$5:$E$997,5,FALSE)</f>
        <v>156900</v>
      </c>
      <c r="G1053" s="681">
        <v>0.12</v>
      </c>
      <c r="H1053" s="252">
        <f t="shared" si="78"/>
        <v>18828</v>
      </c>
      <c r="I1053" s="914"/>
    </row>
    <row r="1054" spans="1:9" s="324" customFormat="1" ht="12.75" x14ac:dyDescent="0.2">
      <c r="A1054" s="936"/>
      <c r="B1054" s="244" t="s">
        <v>2558</v>
      </c>
      <c r="C1054" s="62" t="s">
        <v>3868</v>
      </c>
      <c r="D1054" s="19" t="s">
        <v>411</v>
      </c>
      <c r="E1054" s="194">
        <v>1</v>
      </c>
      <c r="F1054" s="320">
        <f>VLOOKUP(B1054,'BASE DE DATOS'!$A$5:$E$997,5,FALSE)</f>
        <v>65900</v>
      </c>
      <c r="G1054" s="681">
        <f>1/30</f>
        <v>3.3333333333333333E-2</v>
      </c>
      <c r="H1054" s="252">
        <f t="shared" si="78"/>
        <v>2196.6666666666665</v>
      </c>
      <c r="I1054" s="914"/>
    </row>
    <row r="1055" spans="1:9" s="324" customFormat="1" ht="12.75" x14ac:dyDescent="0.2">
      <c r="A1055" s="508" t="s">
        <v>2555</v>
      </c>
      <c r="B1055" s="244" t="s">
        <v>596</v>
      </c>
      <c r="C1055" s="62" t="s">
        <v>597</v>
      </c>
      <c r="D1055" s="19" t="s">
        <v>585</v>
      </c>
      <c r="E1055" s="194">
        <v>1</v>
      </c>
      <c r="F1055" s="320">
        <f>VLOOKUP(B1055,'BASE DE DATOS'!$A$5:$E$997,5,FALSE)</f>
        <v>354716</v>
      </c>
      <c r="G1055" s="681">
        <f>1/30</f>
        <v>3.3333333333333333E-2</v>
      </c>
      <c r="H1055" s="252">
        <f t="shared" si="78"/>
        <v>11823.866666666667</v>
      </c>
      <c r="I1055" s="914"/>
    </row>
    <row r="1056" spans="1:9" s="324" customFormat="1" ht="25.5" x14ac:dyDescent="0.2">
      <c r="A1056" s="937" t="s">
        <v>293</v>
      </c>
      <c r="B1056" s="244" t="s">
        <v>649</v>
      </c>
      <c r="C1056" s="62" t="s">
        <v>2165</v>
      </c>
      <c r="D1056" s="19" t="s">
        <v>585</v>
      </c>
      <c r="E1056" s="194">
        <v>1</v>
      </c>
      <c r="F1056" s="320">
        <f>VLOOKUP(B1056,'BASE DE DATOS'!$A$5:$E$997,5,FALSE)</f>
        <v>378333.33333333331</v>
      </c>
      <c r="G1056" s="681">
        <v>0.02</v>
      </c>
      <c r="H1056" s="252">
        <f t="shared" si="78"/>
        <v>7566.6666666666661</v>
      </c>
      <c r="I1056" s="914"/>
    </row>
    <row r="1057" spans="1:9" s="324" customFormat="1" ht="13.5" thickBot="1" x14ac:dyDescent="0.25">
      <c r="A1057" s="938"/>
      <c r="B1057" s="543" t="s">
        <v>269</v>
      </c>
      <c r="C1057" s="169" t="s">
        <v>284</v>
      </c>
      <c r="D1057" s="112" t="s">
        <v>586</v>
      </c>
      <c r="E1057" s="201">
        <v>0.1</v>
      </c>
      <c r="F1057" s="321">
        <f>+H1055</f>
        <v>11823.866666666667</v>
      </c>
      <c r="G1057" s="686">
        <v>0</v>
      </c>
      <c r="H1057" s="255">
        <f t="shared" si="78"/>
        <v>1182.3866666666668</v>
      </c>
      <c r="I1057" s="914"/>
    </row>
    <row r="1058" spans="1:9" s="102" customFormat="1" x14ac:dyDescent="0.2">
      <c r="A1058" s="119" t="s">
        <v>1207</v>
      </c>
      <c r="B1058" s="374"/>
      <c r="C1058" s="325" t="s">
        <v>506</v>
      </c>
      <c r="D1058" s="15" t="s">
        <v>507</v>
      </c>
      <c r="E1058" s="701"/>
      <c r="F1058" s="322">
        <f>ROUND(SUM(H1058:H1060),0)</f>
        <v>91446</v>
      </c>
      <c r="G1058" s="702"/>
      <c r="H1058" s="252"/>
      <c r="I1058" s="917"/>
    </row>
    <row r="1059" spans="1:9" s="324" customFormat="1" ht="12.75" x14ac:dyDescent="0.2">
      <c r="A1059" s="502" t="s">
        <v>382</v>
      </c>
      <c r="B1059" s="244" t="s">
        <v>1508</v>
      </c>
      <c r="C1059" s="62" t="s">
        <v>690</v>
      </c>
      <c r="D1059" s="19" t="s">
        <v>411</v>
      </c>
      <c r="E1059" s="194">
        <v>1</v>
      </c>
      <c r="F1059" s="320">
        <f>VLOOKUP(B1059,'BASE DE DATOS'!$A$5:$E$997,5,FALSE)</f>
        <v>55340</v>
      </c>
      <c r="G1059" s="681">
        <v>0.05</v>
      </c>
      <c r="H1059" s="252">
        <f t="shared" si="78"/>
        <v>2767</v>
      </c>
      <c r="I1059" s="914"/>
    </row>
    <row r="1060" spans="1:9" s="324" customFormat="1" ht="13.5" thickBot="1" x14ac:dyDescent="0.25">
      <c r="A1060" s="512" t="s">
        <v>2555</v>
      </c>
      <c r="B1060" s="543" t="s">
        <v>583</v>
      </c>
      <c r="C1060" s="169" t="s">
        <v>584</v>
      </c>
      <c r="D1060" s="112" t="s">
        <v>585</v>
      </c>
      <c r="E1060" s="201">
        <v>1</v>
      </c>
      <c r="F1060" s="321">
        <f>VLOOKUP(B1060,'BASE DE DATOS'!$A$5:$E$997,5,FALSE)</f>
        <v>88679</v>
      </c>
      <c r="G1060" s="686">
        <v>0</v>
      </c>
      <c r="H1060" s="255">
        <f t="shared" si="78"/>
        <v>88679</v>
      </c>
      <c r="I1060" s="914"/>
    </row>
    <row r="1061" spans="1:9" s="41" customFormat="1" ht="30" x14ac:dyDescent="0.2">
      <c r="A1061" s="68" t="s">
        <v>1208</v>
      </c>
      <c r="B1061" s="526"/>
      <c r="C1061" s="384" t="s">
        <v>111</v>
      </c>
      <c r="D1061" s="385" t="s">
        <v>411</v>
      </c>
      <c r="E1061" s="400"/>
      <c r="F1061" s="357">
        <f>ROUND(SUM(H1061:H1066),0)</f>
        <v>13202</v>
      </c>
      <c r="G1061" s="703"/>
      <c r="H1061" s="370"/>
      <c r="I1061" s="914"/>
    </row>
    <row r="1062" spans="1:9" s="102" customFormat="1" ht="38.25" x14ac:dyDescent="0.2">
      <c r="A1062" s="936" t="s">
        <v>382</v>
      </c>
      <c r="B1062" s="244" t="s">
        <v>1499</v>
      </c>
      <c r="C1062" s="236" t="s">
        <v>2794</v>
      </c>
      <c r="D1062" s="2" t="s">
        <v>411</v>
      </c>
      <c r="E1062" s="194">
        <v>0.05</v>
      </c>
      <c r="F1062" s="320">
        <f>VLOOKUP(B1062,'BASE DE DATOS'!$A$5:$E$997,5,FALSE)</f>
        <v>99900</v>
      </c>
      <c r="G1062" s="681">
        <v>1.05</v>
      </c>
      <c r="H1062" s="252">
        <f t="shared" si="78"/>
        <v>5244.75</v>
      </c>
      <c r="I1062" s="917"/>
    </row>
    <row r="1063" spans="1:9" s="324" customFormat="1" ht="12.75" x14ac:dyDescent="0.2">
      <c r="A1063" s="936"/>
      <c r="B1063" s="244" t="s">
        <v>1582</v>
      </c>
      <c r="C1063" s="77" t="s">
        <v>110</v>
      </c>
      <c r="D1063" s="19" t="s">
        <v>411</v>
      </c>
      <c r="E1063" s="194">
        <v>1</v>
      </c>
      <c r="F1063" s="320">
        <f>VLOOKUP(B1063,'BASE DE DATOS'!$A$5:$E$997,5,FALSE)</f>
        <v>5600</v>
      </c>
      <c r="G1063" s="681">
        <v>0</v>
      </c>
      <c r="H1063" s="252">
        <f>IF(G1063&gt;0,(G1063*F1063*E1063),(F1063*E1063))</f>
        <v>5600</v>
      </c>
      <c r="I1063" s="914"/>
    </row>
    <row r="1064" spans="1:9" s="324" customFormat="1" ht="12.75" x14ac:dyDescent="0.2">
      <c r="A1064" s="508" t="s">
        <v>2555</v>
      </c>
      <c r="B1064" s="244" t="s">
        <v>583</v>
      </c>
      <c r="C1064" s="62" t="s">
        <v>584</v>
      </c>
      <c r="D1064" s="19" t="s">
        <v>585</v>
      </c>
      <c r="E1064" s="194">
        <v>1</v>
      </c>
      <c r="F1064" s="320">
        <f>VLOOKUP(B1064,'BASE DE DATOS'!$A$5:$E$997,5,FALSE)</f>
        <v>88679</v>
      </c>
      <c r="G1064" s="681">
        <f>1/200</f>
        <v>5.0000000000000001E-3</v>
      </c>
      <c r="H1064" s="252">
        <f t="shared" si="78"/>
        <v>443.39499999999998</v>
      </c>
      <c r="I1064" s="914"/>
    </row>
    <row r="1065" spans="1:9" s="324" customFormat="1" ht="25.5" x14ac:dyDescent="0.2">
      <c r="A1065" s="937" t="s">
        <v>293</v>
      </c>
      <c r="B1065" s="244" t="s">
        <v>649</v>
      </c>
      <c r="C1065" s="71" t="s">
        <v>2165</v>
      </c>
      <c r="D1065" s="138" t="s">
        <v>585</v>
      </c>
      <c r="E1065" s="194">
        <v>1</v>
      </c>
      <c r="F1065" s="320">
        <f>VLOOKUP(B1065,'BASE DE DATOS'!$A$5:$E$997,5,FALSE)</f>
        <v>378333.33333333331</v>
      </c>
      <c r="G1065" s="681">
        <f>1/200</f>
        <v>5.0000000000000001E-3</v>
      </c>
      <c r="H1065" s="252">
        <f t="shared" si="78"/>
        <v>1891.6666666666665</v>
      </c>
      <c r="I1065" s="914"/>
    </row>
    <row r="1066" spans="1:9" s="324" customFormat="1" ht="13.5" thickBot="1" x14ac:dyDescent="0.25">
      <c r="A1066" s="938"/>
      <c r="B1066" s="543" t="s">
        <v>269</v>
      </c>
      <c r="C1066" s="169" t="s">
        <v>284</v>
      </c>
      <c r="D1066" s="112" t="s">
        <v>586</v>
      </c>
      <c r="E1066" s="201">
        <v>0.05</v>
      </c>
      <c r="F1066" s="321">
        <f>+H1064</f>
        <v>443.39499999999998</v>
      </c>
      <c r="G1066" s="686">
        <v>0</v>
      </c>
      <c r="H1066" s="255">
        <f t="shared" si="78"/>
        <v>22.169750000000001</v>
      </c>
      <c r="I1066" s="914"/>
    </row>
    <row r="1067" spans="1:9" s="41" customFormat="1" ht="30" x14ac:dyDescent="0.2">
      <c r="A1067" s="68" t="s">
        <v>1209</v>
      </c>
      <c r="B1067" s="557"/>
      <c r="C1067" s="365" t="s">
        <v>2169</v>
      </c>
      <c r="D1067" s="386" t="s">
        <v>411</v>
      </c>
      <c r="E1067" s="446"/>
      <c r="F1067" s="357">
        <f>ROUND(SUM(H1067:H1072),0)</f>
        <v>51237</v>
      </c>
      <c r="G1067" s="687"/>
      <c r="H1067" s="370"/>
      <c r="I1067" s="914"/>
    </row>
    <row r="1068" spans="1:9" s="102" customFormat="1" ht="38.25" x14ac:dyDescent="0.2">
      <c r="A1068" s="936" t="s">
        <v>382</v>
      </c>
      <c r="B1068" s="244" t="s">
        <v>1499</v>
      </c>
      <c r="C1068" s="236" t="s">
        <v>2794</v>
      </c>
      <c r="D1068" s="2" t="s">
        <v>411</v>
      </c>
      <c r="E1068" s="194">
        <v>0.08</v>
      </c>
      <c r="F1068" s="320">
        <f>VLOOKUP(B1068,'BASE DE DATOS'!$A$5:$E$997,5,FALSE)</f>
        <v>99900</v>
      </c>
      <c r="G1068" s="681">
        <v>1.05</v>
      </c>
      <c r="H1068" s="252">
        <f t="shared" si="78"/>
        <v>8391.6</v>
      </c>
      <c r="I1068" s="917"/>
    </row>
    <row r="1069" spans="1:9" s="324" customFormat="1" ht="12.75" x14ac:dyDescent="0.2">
      <c r="A1069" s="936"/>
      <c r="B1069" s="244" t="s">
        <v>1583</v>
      </c>
      <c r="C1069" s="77" t="s">
        <v>159</v>
      </c>
      <c r="D1069" s="19" t="s">
        <v>411</v>
      </c>
      <c r="E1069" s="194">
        <v>1</v>
      </c>
      <c r="F1069" s="320">
        <f>VLOOKUP(B1069,'BASE DE DATOS'!$A$5:$E$997,5,FALSE)</f>
        <v>37200</v>
      </c>
      <c r="G1069" s="681">
        <v>0</v>
      </c>
      <c r="H1069" s="252">
        <f>IF(G1069&gt;0,(G1069*F1069*E1069),(F1069*E1069))</f>
        <v>37200</v>
      </c>
      <c r="I1069" s="914"/>
    </row>
    <row r="1070" spans="1:9" s="324" customFormat="1" ht="12.75" x14ac:dyDescent="0.2">
      <c r="A1070" s="508" t="s">
        <v>2555</v>
      </c>
      <c r="B1070" s="244" t="s">
        <v>583</v>
      </c>
      <c r="C1070" s="62" t="s">
        <v>584</v>
      </c>
      <c r="D1070" s="19" t="s">
        <v>585</v>
      </c>
      <c r="E1070" s="194">
        <v>1</v>
      </c>
      <c r="F1070" s="320">
        <f>VLOOKUP(B1070,'BASE DE DATOS'!$A$5:$E$997,5,FALSE)</f>
        <v>88679</v>
      </c>
      <c r="G1070" s="681">
        <f>1/50</f>
        <v>0.02</v>
      </c>
      <c r="H1070" s="252">
        <f t="shared" si="78"/>
        <v>1773.58</v>
      </c>
      <c r="I1070" s="914"/>
    </row>
    <row r="1071" spans="1:9" s="324" customFormat="1" ht="25.5" x14ac:dyDescent="0.2">
      <c r="A1071" s="937" t="s">
        <v>293</v>
      </c>
      <c r="B1071" s="244" t="s">
        <v>649</v>
      </c>
      <c r="C1071" s="71" t="s">
        <v>2165</v>
      </c>
      <c r="D1071" s="138" t="s">
        <v>585</v>
      </c>
      <c r="E1071" s="194">
        <v>1</v>
      </c>
      <c r="F1071" s="320">
        <f>VLOOKUP(B1071,'BASE DE DATOS'!$A$5:$E$997,5,FALSE)</f>
        <v>378333.33333333331</v>
      </c>
      <c r="G1071" s="681">
        <v>0.01</v>
      </c>
      <c r="H1071" s="252">
        <f t="shared" si="78"/>
        <v>3783.333333333333</v>
      </c>
      <c r="I1071" s="914"/>
    </row>
    <row r="1072" spans="1:9" s="324" customFormat="1" ht="13.5" thickBot="1" x14ac:dyDescent="0.25">
      <c r="A1072" s="938"/>
      <c r="B1072" s="543" t="s">
        <v>269</v>
      </c>
      <c r="C1072" s="169" t="s">
        <v>284</v>
      </c>
      <c r="D1072" s="112" t="s">
        <v>586</v>
      </c>
      <c r="E1072" s="201">
        <v>0.05</v>
      </c>
      <c r="F1072" s="321">
        <f>+H1070</f>
        <v>1773.58</v>
      </c>
      <c r="G1072" s="686">
        <v>0</v>
      </c>
      <c r="H1072" s="255">
        <f t="shared" si="78"/>
        <v>88.679000000000002</v>
      </c>
      <c r="I1072" s="914"/>
    </row>
    <row r="1073" spans="1:9" s="41" customFormat="1" ht="30" x14ac:dyDescent="0.2">
      <c r="A1073" s="67" t="s">
        <v>1210</v>
      </c>
      <c r="B1073" s="526"/>
      <c r="C1073" s="325" t="s">
        <v>2170</v>
      </c>
      <c r="D1073" s="326" t="s">
        <v>411</v>
      </c>
      <c r="E1073" s="414"/>
      <c r="F1073" s="357">
        <f>ROUND(SUM(H1073:H1081),0)</f>
        <v>20651</v>
      </c>
      <c r="G1073" s="683"/>
      <c r="H1073" s="370"/>
      <c r="I1073" s="914"/>
    </row>
    <row r="1074" spans="1:9" s="102" customFormat="1" ht="12.75" x14ac:dyDescent="0.2">
      <c r="A1074" s="936" t="s">
        <v>382</v>
      </c>
      <c r="B1074" s="244" t="s">
        <v>1264</v>
      </c>
      <c r="C1074" s="62" t="s">
        <v>641</v>
      </c>
      <c r="D1074" s="19" t="s">
        <v>642</v>
      </c>
      <c r="E1074" s="194">
        <v>0.1</v>
      </c>
      <c r="F1074" s="320">
        <f>VLOOKUP(B1074,'BASE DE DATOS'!$A$5:$E$997,5,FALSE)</f>
        <v>10959</v>
      </c>
      <c r="G1074" s="681">
        <v>0</v>
      </c>
      <c r="H1074" s="252">
        <f>IF(G1074&gt;0,(G1074*F1074*E1074),(F1074*E1074))</f>
        <v>1095.9000000000001</v>
      </c>
      <c r="I1074" s="917"/>
    </row>
    <row r="1075" spans="1:9" s="324" customFormat="1" ht="12.75" x14ac:dyDescent="0.2">
      <c r="A1075" s="936"/>
      <c r="B1075" s="244" t="s">
        <v>1418</v>
      </c>
      <c r="C1075" s="62" t="s">
        <v>591</v>
      </c>
      <c r="D1075" s="19" t="s">
        <v>411</v>
      </c>
      <c r="E1075" s="194">
        <v>0.3</v>
      </c>
      <c r="F1075" s="320">
        <f>VLOOKUP(B1075,'BASE DE DATOS'!$A$5:$E$997,5,FALSE)</f>
        <v>5250</v>
      </c>
      <c r="G1075" s="681">
        <v>1.03</v>
      </c>
      <c r="H1075" s="252">
        <f t="shared" si="78"/>
        <v>1622.25</v>
      </c>
      <c r="I1075" s="914"/>
    </row>
    <row r="1076" spans="1:9" s="324" customFormat="1" ht="12.75" x14ac:dyDescent="0.2">
      <c r="A1076" s="936"/>
      <c r="B1076" s="244" t="s">
        <v>1523</v>
      </c>
      <c r="C1076" s="62" t="s">
        <v>643</v>
      </c>
      <c r="D1076" s="19" t="s">
        <v>642</v>
      </c>
      <c r="E1076" s="194">
        <f>1/32</f>
        <v>3.125E-2</v>
      </c>
      <c r="F1076" s="320">
        <f>VLOOKUP(B1076,'BASE DE DATOS'!$A$5:$E$997,5,FALSE)</f>
        <v>108900</v>
      </c>
      <c r="G1076" s="681">
        <v>0</v>
      </c>
      <c r="H1076" s="252">
        <f t="shared" ref="H1076:H1086" si="79">IF(G1076&gt;0,(G1076*F1076*E1076),(F1076*E1076))</f>
        <v>3403.125</v>
      </c>
      <c r="I1076" s="914"/>
    </row>
    <row r="1077" spans="1:9" s="324" customFormat="1" ht="12.75" x14ac:dyDescent="0.2">
      <c r="A1077" s="936"/>
      <c r="B1077" s="244" t="s">
        <v>1558</v>
      </c>
      <c r="C1077" s="62" t="s">
        <v>603</v>
      </c>
      <c r="D1077" s="19" t="s">
        <v>590</v>
      </c>
      <c r="E1077" s="194">
        <v>0.1</v>
      </c>
      <c r="F1077" s="320">
        <f>VLOOKUP(B1077,'BASE DE DATOS'!$A$5:$E$997,5,FALSE)</f>
        <v>5650</v>
      </c>
      <c r="G1077" s="681">
        <v>0</v>
      </c>
      <c r="H1077" s="252">
        <f>IF(G1077&gt;0,(G1077*F1077*E1077),(F1077*E1077))</f>
        <v>565</v>
      </c>
      <c r="I1077" s="914"/>
    </row>
    <row r="1078" spans="1:9" s="324" customFormat="1" ht="12.75" x14ac:dyDescent="0.2">
      <c r="A1078" s="936"/>
      <c r="B1078" s="244" t="s">
        <v>1711</v>
      </c>
      <c r="C1078" s="62" t="s">
        <v>632</v>
      </c>
      <c r="D1078" s="19" t="s">
        <v>405</v>
      </c>
      <c r="E1078" s="194">
        <v>1.2</v>
      </c>
      <c r="F1078" s="320">
        <f>VLOOKUP(B1078,'BASE DE DATOS'!$A$5:$E$997,5,FALSE)</f>
        <v>10991</v>
      </c>
      <c r="G1078" s="681">
        <f>1/3</f>
        <v>0.33333333333333331</v>
      </c>
      <c r="H1078" s="252">
        <f>IF(G1078&gt;0,(G1078*F1078*E1078),(F1078*E1078))</f>
        <v>4396.3999999999996</v>
      </c>
      <c r="I1078" s="914"/>
    </row>
    <row r="1079" spans="1:9" s="324" customFormat="1" ht="14.25" x14ac:dyDescent="0.2">
      <c r="A1079" s="505" t="s">
        <v>3252</v>
      </c>
      <c r="B1079" s="244" t="s">
        <v>798</v>
      </c>
      <c r="C1079" s="62" t="s">
        <v>2148</v>
      </c>
      <c r="D1079" s="19" t="s">
        <v>285</v>
      </c>
      <c r="E1079" s="194">
        <v>6.0000000000000001E-3</v>
      </c>
      <c r="F1079" s="320">
        <f>CONSTRUCCION!F26</f>
        <v>456694</v>
      </c>
      <c r="G1079" s="681">
        <v>0</v>
      </c>
      <c r="H1079" s="252">
        <f t="shared" si="79"/>
        <v>2740.1640000000002</v>
      </c>
      <c r="I1079" s="914"/>
    </row>
    <row r="1080" spans="1:9" s="324" customFormat="1" ht="12.75" x14ac:dyDescent="0.2">
      <c r="A1080" s="508" t="s">
        <v>2555</v>
      </c>
      <c r="B1080" s="244" t="s">
        <v>644</v>
      </c>
      <c r="C1080" s="62" t="s">
        <v>645</v>
      </c>
      <c r="D1080" s="19" t="s">
        <v>585</v>
      </c>
      <c r="E1080" s="194">
        <v>1</v>
      </c>
      <c r="F1080" s="320">
        <f>VLOOKUP(B1080,'BASE DE DATOS'!$A$5:$E$997,5,FALSE)</f>
        <v>248302</v>
      </c>
      <c r="G1080" s="681">
        <f>1/40</f>
        <v>2.5000000000000001E-2</v>
      </c>
      <c r="H1080" s="252">
        <f t="shared" si="79"/>
        <v>6207.55</v>
      </c>
      <c r="I1080" s="914"/>
    </row>
    <row r="1081" spans="1:9" s="324" customFormat="1" ht="13.5" thickBot="1" x14ac:dyDescent="0.25">
      <c r="A1081" s="504" t="s">
        <v>293</v>
      </c>
      <c r="B1081" s="543" t="s">
        <v>269</v>
      </c>
      <c r="C1081" s="169" t="s">
        <v>284</v>
      </c>
      <c r="D1081" s="112" t="s">
        <v>586</v>
      </c>
      <c r="E1081" s="201">
        <v>0.1</v>
      </c>
      <c r="F1081" s="321">
        <f>+H1080</f>
        <v>6207.55</v>
      </c>
      <c r="G1081" s="686">
        <v>0</v>
      </c>
      <c r="H1081" s="255">
        <f t="shared" si="79"/>
        <v>620.75500000000011</v>
      </c>
      <c r="I1081" s="914"/>
    </row>
    <row r="1082" spans="1:9" s="41" customFormat="1" ht="30" x14ac:dyDescent="0.2">
      <c r="A1082" s="67" t="s">
        <v>1211</v>
      </c>
      <c r="B1082" s="526"/>
      <c r="C1082" s="325" t="s">
        <v>141</v>
      </c>
      <c r="D1082" s="326" t="s">
        <v>405</v>
      </c>
      <c r="E1082" s="414"/>
      <c r="F1082" s="357">
        <f>ROUND(SUM(H1082:H1086),0)</f>
        <v>12717</v>
      </c>
      <c r="G1082" s="683"/>
      <c r="H1082" s="370"/>
      <c r="I1082" s="914">
        <v>11</v>
      </c>
    </row>
    <row r="1083" spans="1:9" s="324" customFormat="1" ht="12.75" x14ac:dyDescent="0.2">
      <c r="A1083" s="502" t="s">
        <v>382</v>
      </c>
      <c r="B1083" s="244" t="s">
        <v>1346</v>
      </c>
      <c r="C1083" s="62" t="s">
        <v>2171</v>
      </c>
      <c r="D1083" s="19" t="s">
        <v>405</v>
      </c>
      <c r="E1083" s="194">
        <v>3</v>
      </c>
      <c r="F1083" s="320">
        <f>VLOOKUP(B1083,'BASE DE DATOS'!$A$5:$E$997,5,FALSE)</f>
        <v>68</v>
      </c>
      <c r="G1083" s="681">
        <v>0</v>
      </c>
      <c r="H1083" s="252">
        <f t="shared" si="79"/>
        <v>204</v>
      </c>
      <c r="I1083" s="914"/>
    </row>
    <row r="1084" spans="1:9" s="324" customFormat="1" ht="25.5" x14ac:dyDescent="0.2">
      <c r="A1084" s="505" t="s">
        <v>3252</v>
      </c>
      <c r="B1084" s="244" t="s">
        <v>1210</v>
      </c>
      <c r="C1084" s="62" t="s">
        <v>2170</v>
      </c>
      <c r="D1084" s="19" t="s">
        <v>411</v>
      </c>
      <c r="E1084" s="194">
        <v>0.6</v>
      </c>
      <c r="F1084" s="320">
        <f>F1073</f>
        <v>20651</v>
      </c>
      <c r="G1084" s="681">
        <v>0</v>
      </c>
      <c r="H1084" s="252">
        <f t="shared" si="79"/>
        <v>12390.6</v>
      </c>
      <c r="I1084" s="914"/>
    </row>
    <row r="1085" spans="1:9" s="324" customFormat="1" ht="12.75" x14ac:dyDescent="0.2">
      <c r="A1085" s="979" t="s">
        <v>2555</v>
      </c>
      <c r="B1085" s="244" t="s">
        <v>583</v>
      </c>
      <c r="C1085" s="474" t="s">
        <v>584</v>
      </c>
      <c r="D1085" s="215" t="s">
        <v>585</v>
      </c>
      <c r="E1085" s="194">
        <v>1</v>
      </c>
      <c r="F1085" s="320">
        <f>VLOOKUP(B1085,'BASE DE DATOS'!$A$5:$E$997,5,FALSE)</f>
        <v>88679</v>
      </c>
      <c r="G1085" s="684">
        <f>1/800</f>
        <v>1.25E-3</v>
      </c>
      <c r="H1085" s="252">
        <f>IF(G1085&gt;0,(G1085*F1085*E1085),(F1085*E1085))</f>
        <v>110.84875</v>
      </c>
      <c r="I1085" s="914"/>
    </row>
    <row r="1086" spans="1:9" s="324" customFormat="1" ht="13.5" thickBot="1" x14ac:dyDescent="0.25">
      <c r="A1086" s="1037"/>
      <c r="B1086" s="543" t="s">
        <v>266</v>
      </c>
      <c r="C1086" s="75" t="s">
        <v>283</v>
      </c>
      <c r="D1086" s="49" t="s">
        <v>586</v>
      </c>
      <c r="E1086" s="195">
        <v>0.1</v>
      </c>
      <c r="F1086" s="355">
        <f>+H1085</f>
        <v>110.84875</v>
      </c>
      <c r="G1086" s="682">
        <v>0</v>
      </c>
      <c r="H1086" s="255">
        <f t="shared" si="79"/>
        <v>11.084875</v>
      </c>
      <c r="I1086" s="914"/>
    </row>
    <row r="1087" spans="1:9" s="41" customFormat="1" ht="15.75" thickBot="1" x14ac:dyDescent="0.25">
      <c r="A1087" s="1022" t="s">
        <v>2216</v>
      </c>
      <c r="B1087" s="1023"/>
      <c r="C1087" s="1023"/>
      <c r="D1087" s="1023"/>
      <c r="E1087" s="1023"/>
      <c r="F1087" s="1023"/>
      <c r="G1087" s="1023"/>
      <c r="H1087" s="1024"/>
      <c r="I1087" s="914"/>
    </row>
    <row r="1088" spans="1:9" s="41" customFormat="1" ht="45.75" thickBot="1" x14ac:dyDescent="0.25">
      <c r="A1088" s="510" t="s">
        <v>2044</v>
      </c>
      <c r="B1088" s="346" t="s">
        <v>265</v>
      </c>
      <c r="C1088" s="74" t="s">
        <v>402</v>
      </c>
      <c r="D1088" s="347" t="s">
        <v>346</v>
      </c>
      <c r="E1088" s="192" t="s">
        <v>2173</v>
      </c>
      <c r="F1088" s="162" t="s">
        <v>404</v>
      </c>
      <c r="G1088" s="290" t="s">
        <v>281</v>
      </c>
      <c r="H1088" s="73" t="s">
        <v>282</v>
      </c>
      <c r="I1088" s="914"/>
    </row>
    <row r="1089" spans="1:9" s="41" customFormat="1" ht="17.25" x14ac:dyDescent="0.2">
      <c r="A1089" s="67" t="s">
        <v>1094</v>
      </c>
      <c r="B1089" s="548"/>
      <c r="C1089" s="325" t="s">
        <v>466</v>
      </c>
      <c r="D1089" s="326" t="s">
        <v>3251</v>
      </c>
      <c r="E1089" s="414"/>
      <c r="F1089" s="357">
        <f>ROUND(SUM(H1089:H1093),0)</f>
        <v>33952</v>
      </c>
      <c r="G1089" s="683"/>
      <c r="H1089" s="330"/>
      <c r="I1089" s="914"/>
    </row>
    <row r="1090" spans="1:9" s="102" customFormat="1" ht="12.75" x14ac:dyDescent="0.2">
      <c r="A1090" s="936" t="s">
        <v>382</v>
      </c>
      <c r="B1090" s="244" t="s">
        <v>1382</v>
      </c>
      <c r="C1090" s="62" t="s">
        <v>636</v>
      </c>
      <c r="D1090" s="19" t="s">
        <v>411</v>
      </c>
      <c r="E1090" s="194">
        <v>3</v>
      </c>
      <c r="F1090" s="320">
        <f>VLOOKUP(B1090,'BASE DE DATOS'!$A$5:$E$997,5,FALSE)</f>
        <v>4900</v>
      </c>
      <c r="G1090" s="681">
        <v>0</v>
      </c>
      <c r="H1090" s="252">
        <f>IF(G1090&gt;0,(G1090*F1090*E1090),(F1090*E1090))</f>
        <v>14700</v>
      </c>
      <c r="I1090" s="917"/>
    </row>
    <row r="1091" spans="1:9" s="324" customFormat="1" ht="14.25" x14ac:dyDescent="0.2">
      <c r="A1091" s="936"/>
      <c r="B1091" s="244" t="s">
        <v>1555</v>
      </c>
      <c r="C1091" s="62" t="s">
        <v>635</v>
      </c>
      <c r="D1091" s="19" t="s">
        <v>288</v>
      </c>
      <c r="E1091" s="194">
        <v>1</v>
      </c>
      <c r="F1091" s="320">
        <f>VLOOKUP(B1091,'BASE DE DATOS'!$A$5:$E$997,5,FALSE)</f>
        <v>16000</v>
      </c>
      <c r="G1091" s="681">
        <v>0</v>
      </c>
      <c r="H1091" s="252">
        <f t="shared" ref="H1091:H1141" si="80">IF(G1091&gt;0,(G1091*F1091*E1091),(F1091*E1091))</f>
        <v>16000</v>
      </c>
      <c r="I1091" s="914"/>
    </row>
    <row r="1092" spans="1:9" s="324" customFormat="1" ht="12.75" x14ac:dyDescent="0.2">
      <c r="A1092" s="508" t="s">
        <v>2555</v>
      </c>
      <c r="B1092" s="244" t="s">
        <v>583</v>
      </c>
      <c r="C1092" s="62" t="s">
        <v>584</v>
      </c>
      <c r="D1092" s="19" t="s">
        <v>585</v>
      </c>
      <c r="E1092" s="194">
        <v>1</v>
      </c>
      <c r="F1092" s="320">
        <f>VLOOKUP(B1092,'BASE DE DATOS'!$A$5:$E$997,5,FALSE)</f>
        <v>88679</v>
      </c>
      <c r="G1092" s="681">
        <f>1/30</f>
        <v>3.3333333333333333E-2</v>
      </c>
      <c r="H1092" s="252">
        <f t="shared" si="80"/>
        <v>2955.9666666666667</v>
      </c>
      <c r="I1092" s="914"/>
    </row>
    <row r="1093" spans="1:9" s="324" customFormat="1" ht="13.5" thickBot="1" x14ac:dyDescent="0.25">
      <c r="A1093" s="504" t="s">
        <v>293</v>
      </c>
      <c r="B1093" s="543" t="s">
        <v>269</v>
      </c>
      <c r="C1093" s="169" t="s">
        <v>284</v>
      </c>
      <c r="D1093" s="112" t="s">
        <v>586</v>
      </c>
      <c r="E1093" s="201">
        <v>0.1</v>
      </c>
      <c r="F1093" s="321">
        <f>+H1092</f>
        <v>2955.9666666666667</v>
      </c>
      <c r="G1093" s="686">
        <v>0</v>
      </c>
      <c r="H1093" s="255">
        <f t="shared" si="80"/>
        <v>295.59666666666669</v>
      </c>
      <c r="I1093" s="914"/>
    </row>
    <row r="1094" spans="1:9" s="41" customFormat="1" ht="17.25" x14ac:dyDescent="0.2">
      <c r="A1094" s="67" t="s">
        <v>1212</v>
      </c>
      <c r="B1094" s="526"/>
      <c r="C1094" s="325" t="s">
        <v>465</v>
      </c>
      <c r="D1094" s="326" t="s">
        <v>3251</v>
      </c>
      <c r="E1094" s="414"/>
      <c r="F1094" s="357">
        <f>ROUND(SUM(H1094:H1099),0)</f>
        <v>26887</v>
      </c>
      <c r="G1094" s="683"/>
      <c r="H1094" s="252"/>
      <c r="I1094" s="914"/>
    </row>
    <row r="1095" spans="1:9" s="324" customFormat="1" ht="14.25" x14ac:dyDescent="0.2">
      <c r="A1095" s="936" t="s">
        <v>382</v>
      </c>
      <c r="B1095" s="244" t="s">
        <v>1292</v>
      </c>
      <c r="C1095" s="62" t="s">
        <v>638</v>
      </c>
      <c r="D1095" s="19" t="s">
        <v>285</v>
      </c>
      <c r="E1095" s="194">
        <v>0.03</v>
      </c>
      <c r="F1095" s="320">
        <f>VLOOKUP(B1095,'BASE DE DATOS'!$A$5:$E$997,5,FALSE)</f>
        <v>54900</v>
      </c>
      <c r="G1095" s="681">
        <v>1.05</v>
      </c>
      <c r="H1095" s="252">
        <f t="shared" si="80"/>
        <v>1729.35</v>
      </c>
      <c r="I1095" s="914"/>
    </row>
    <row r="1096" spans="1:9" s="324" customFormat="1" ht="14.25" x14ac:dyDescent="0.2">
      <c r="A1096" s="936"/>
      <c r="B1096" s="244" t="s">
        <v>1555</v>
      </c>
      <c r="C1096" s="62" t="s">
        <v>635</v>
      </c>
      <c r="D1096" s="19" t="s">
        <v>288</v>
      </c>
      <c r="E1096" s="194">
        <v>1</v>
      </c>
      <c r="F1096" s="320">
        <f>VLOOKUP(B1096,'BASE DE DATOS'!$A$5:$E$997,5,FALSE)</f>
        <v>16000</v>
      </c>
      <c r="G1096" s="681">
        <v>0</v>
      </c>
      <c r="H1096" s="252">
        <f t="shared" si="80"/>
        <v>16000</v>
      </c>
      <c r="I1096" s="914"/>
    </row>
    <row r="1097" spans="1:9" s="324" customFormat="1" ht="14.25" x14ac:dyDescent="0.2">
      <c r="A1097" s="936"/>
      <c r="B1097" s="244" t="s">
        <v>1599</v>
      </c>
      <c r="C1097" s="62" t="s">
        <v>637</v>
      </c>
      <c r="D1097" s="19" t="s">
        <v>285</v>
      </c>
      <c r="E1097" s="194">
        <v>0.06</v>
      </c>
      <c r="F1097" s="320">
        <f>VLOOKUP(B1097,'BASE DE DATOS'!$A$5:$E$997,5,FALSE)</f>
        <v>93750</v>
      </c>
      <c r="G1097" s="681">
        <v>1.05</v>
      </c>
      <c r="H1097" s="252">
        <f>IF(G1097&gt;0,(G1097*F1097*E1097),(F1097*E1097))</f>
        <v>5906.25</v>
      </c>
      <c r="I1097" s="914"/>
    </row>
    <row r="1098" spans="1:9" s="324" customFormat="1" ht="12.75" x14ac:dyDescent="0.2">
      <c r="A1098" s="508" t="s">
        <v>2555</v>
      </c>
      <c r="B1098" s="244" t="s">
        <v>583</v>
      </c>
      <c r="C1098" s="62" t="s">
        <v>584</v>
      </c>
      <c r="D1098" s="19" t="s">
        <v>585</v>
      </c>
      <c r="E1098" s="194">
        <v>1</v>
      </c>
      <c r="F1098" s="320">
        <f>VLOOKUP(B1098,'BASE DE DATOS'!$A$5:$E$997,5,FALSE)</f>
        <v>88679</v>
      </c>
      <c r="G1098" s="681">
        <f>1/30</f>
        <v>3.3333333333333333E-2</v>
      </c>
      <c r="H1098" s="252">
        <f t="shared" si="80"/>
        <v>2955.9666666666667</v>
      </c>
      <c r="I1098" s="914"/>
    </row>
    <row r="1099" spans="1:9" s="324" customFormat="1" ht="13.5" thickBot="1" x14ac:dyDescent="0.25">
      <c r="A1099" s="504" t="s">
        <v>293</v>
      </c>
      <c r="B1099" s="543" t="s">
        <v>269</v>
      </c>
      <c r="C1099" s="169" t="s">
        <v>284</v>
      </c>
      <c r="D1099" s="112" t="s">
        <v>586</v>
      </c>
      <c r="E1099" s="201">
        <v>0.1</v>
      </c>
      <c r="F1099" s="321">
        <f>+H1098</f>
        <v>2955.9666666666667</v>
      </c>
      <c r="G1099" s="686">
        <v>0</v>
      </c>
      <c r="H1099" s="255">
        <f t="shared" si="80"/>
        <v>295.59666666666669</v>
      </c>
      <c r="I1099" s="914"/>
    </row>
    <row r="1100" spans="1:9" s="41" customFormat="1" ht="17.25" x14ac:dyDescent="0.2">
      <c r="A1100" s="67" t="s">
        <v>1213</v>
      </c>
      <c r="B1100" s="526"/>
      <c r="C1100" s="325" t="s">
        <v>464</v>
      </c>
      <c r="D1100" s="326" t="s">
        <v>3251</v>
      </c>
      <c r="E1100" s="414"/>
      <c r="F1100" s="357">
        <f>ROUND(SUM(H1100:H1105),0)</f>
        <v>39858</v>
      </c>
      <c r="G1100" s="683"/>
      <c r="H1100" s="252"/>
      <c r="I1100" s="914"/>
    </row>
    <row r="1101" spans="1:9" s="324" customFormat="1" ht="12.75" x14ac:dyDescent="0.2">
      <c r="A1101" s="936" t="s">
        <v>382</v>
      </c>
      <c r="B1101" s="244" t="s">
        <v>1382</v>
      </c>
      <c r="C1101" s="62" t="s">
        <v>636</v>
      </c>
      <c r="D1101" s="19" t="s">
        <v>411</v>
      </c>
      <c r="E1101" s="194">
        <v>3</v>
      </c>
      <c r="F1101" s="320">
        <f>VLOOKUP(B1101,'BASE DE DATOS'!$A$5:$E$997,5,FALSE)</f>
        <v>4900</v>
      </c>
      <c r="G1101" s="681">
        <v>0</v>
      </c>
      <c r="H1101" s="252">
        <f t="shared" si="80"/>
        <v>14700</v>
      </c>
      <c r="I1101" s="914"/>
    </row>
    <row r="1102" spans="1:9" s="324" customFormat="1" ht="14.25" x14ac:dyDescent="0.2">
      <c r="A1102" s="936"/>
      <c r="B1102" s="244" t="s">
        <v>1554</v>
      </c>
      <c r="C1102" s="62" t="s">
        <v>639</v>
      </c>
      <c r="D1102" s="19" t="s">
        <v>288</v>
      </c>
      <c r="E1102" s="194">
        <v>1</v>
      </c>
      <c r="F1102" s="320">
        <f>VLOOKUP(B1102,'BASE DE DATOS'!$A$5:$E$997,5,FALSE)</f>
        <v>16000</v>
      </c>
      <c r="G1102" s="681">
        <v>0</v>
      </c>
      <c r="H1102" s="252">
        <f t="shared" si="80"/>
        <v>16000</v>
      </c>
      <c r="I1102" s="914"/>
    </row>
    <row r="1103" spans="1:9" s="324" customFormat="1" ht="14.25" x14ac:dyDescent="0.2">
      <c r="A1103" s="936"/>
      <c r="B1103" s="244" t="s">
        <v>1599</v>
      </c>
      <c r="C1103" s="62" t="s">
        <v>637</v>
      </c>
      <c r="D1103" s="19" t="s">
        <v>285</v>
      </c>
      <c r="E1103" s="194">
        <v>0.06</v>
      </c>
      <c r="F1103" s="320">
        <f>VLOOKUP(B1103,'BASE DE DATOS'!$A$5:$E$997,5,FALSE)</f>
        <v>93750</v>
      </c>
      <c r="G1103" s="681">
        <v>1.05</v>
      </c>
      <c r="H1103" s="252">
        <f>IF(G1103&gt;0,(G1103*F1103*E1103),(F1103*E1103))</f>
        <v>5906.25</v>
      </c>
      <c r="I1103" s="914"/>
    </row>
    <row r="1104" spans="1:9" s="324" customFormat="1" ht="12.75" x14ac:dyDescent="0.2">
      <c r="A1104" s="508" t="s">
        <v>2555</v>
      </c>
      <c r="B1104" s="244" t="s">
        <v>583</v>
      </c>
      <c r="C1104" s="62" t="s">
        <v>584</v>
      </c>
      <c r="D1104" s="19" t="s">
        <v>585</v>
      </c>
      <c r="E1104" s="194">
        <v>1</v>
      </c>
      <c r="F1104" s="320">
        <f>VLOOKUP(B1104,'BASE DE DATOS'!$A$5:$E$997,5,FALSE)</f>
        <v>88679</v>
      </c>
      <c r="G1104" s="681">
        <f>1/30</f>
        <v>3.3333333333333333E-2</v>
      </c>
      <c r="H1104" s="252">
        <f t="shared" si="80"/>
        <v>2955.9666666666667</v>
      </c>
      <c r="I1104" s="914"/>
    </row>
    <row r="1105" spans="1:9" s="324" customFormat="1" ht="13.5" thickBot="1" x14ac:dyDescent="0.25">
      <c r="A1105" s="504" t="s">
        <v>293</v>
      </c>
      <c r="B1105" s="543" t="s">
        <v>269</v>
      </c>
      <c r="C1105" s="169" t="s">
        <v>284</v>
      </c>
      <c r="D1105" s="112" t="s">
        <v>586</v>
      </c>
      <c r="E1105" s="201">
        <v>0.1</v>
      </c>
      <c r="F1105" s="321">
        <f>+H1104</f>
        <v>2955.9666666666667</v>
      </c>
      <c r="G1105" s="686">
        <v>0</v>
      </c>
      <c r="H1105" s="255">
        <f t="shared" si="80"/>
        <v>295.59666666666669</v>
      </c>
      <c r="I1105" s="914"/>
    </row>
    <row r="1106" spans="1:9" s="41" customFormat="1" ht="45" x14ac:dyDescent="0.2">
      <c r="A1106" s="67" t="s">
        <v>1214</v>
      </c>
      <c r="B1106" s="526"/>
      <c r="C1106" s="325" t="s">
        <v>2172</v>
      </c>
      <c r="D1106" s="326" t="s">
        <v>411</v>
      </c>
      <c r="E1106" s="414"/>
      <c r="F1106" s="357">
        <f>ROUND(SUM(H1106:H1111),0)</f>
        <v>920022</v>
      </c>
      <c r="G1106" s="683"/>
      <c r="H1106" s="370"/>
      <c r="I1106" s="914"/>
    </row>
    <row r="1107" spans="1:9" s="324" customFormat="1" ht="14.25" x14ac:dyDescent="0.2">
      <c r="A1107" s="953" t="s">
        <v>3252</v>
      </c>
      <c r="B1107" s="244" t="s">
        <v>798</v>
      </c>
      <c r="C1107" s="62" t="s">
        <v>2148</v>
      </c>
      <c r="D1107" s="19" t="s">
        <v>285</v>
      </c>
      <c r="E1107" s="194">
        <v>0.64</v>
      </c>
      <c r="F1107" s="320">
        <f>CONSTRUCCION!F26</f>
        <v>456694</v>
      </c>
      <c r="G1107" s="681">
        <v>1.05</v>
      </c>
      <c r="H1107" s="252">
        <f>IF(G1107&gt;0,(G1107*F1107*E1107),(F1107*E1107))</f>
        <v>306898.36800000002</v>
      </c>
      <c r="I1107" s="914"/>
    </row>
    <row r="1108" spans="1:9" s="324" customFormat="1" ht="12.75" x14ac:dyDescent="0.2">
      <c r="A1108" s="953"/>
      <c r="B1108" s="244" t="s">
        <v>814</v>
      </c>
      <c r="C1108" s="307" t="s">
        <v>2018</v>
      </c>
      <c r="D1108" s="19" t="s">
        <v>406</v>
      </c>
      <c r="E1108" s="194">
        <v>57</v>
      </c>
      <c r="F1108" s="320">
        <f>CONSTRUCCION!F118</f>
        <v>7440</v>
      </c>
      <c r="G1108" s="681">
        <v>0</v>
      </c>
      <c r="H1108" s="252">
        <f t="shared" si="80"/>
        <v>424080</v>
      </c>
      <c r="I1108" s="914"/>
    </row>
    <row r="1109" spans="1:9" s="324" customFormat="1" ht="12.75" x14ac:dyDescent="0.2">
      <c r="A1109" s="508" t="s">
        <v>2555</v>
      </c>
      <c r="B1109" s="244" t="s">
        <v>587</v>
      </c>
      <c r="C1109" s="62" t="s">
        <v>588</v>
      </c>
      <c r="D1109" s="19" t="s">
        <v>585</v>
      </c>
      <c r="E1109" s="194">
        <v>1</v>
      </c>
      <c r="F1109" s="320">
        <f>VLOOKUP(B1109,'BASE DE DATOS'!$A$5:$E$997,5,FALSE)</f>
        <v>514339</v>
      </c>
      <c r="G1109" s="681">
        <f>1/4</f>
        <v>0.25</v>
      </c>
      <c r="H1109" s="252">
        <f t="shared" si="80"/>
        <v>128584.75</v>
      </c>
      <c r="I1109" s="914"/>
    </row>
    <row r="1110" spans="1:9" s="324" customFormat="1" ht="12.75" x14ac:dyDescent="0.2">
      <c r="A1110" s="944" t="s">
        <v>293</v>
      </c>
      <c r="B1110" s="244" t="s">
        <v>269</v>
      </c>
      <c r="C1110" s="62" t="s">
        <v>284</v>
      </c>
      <c r="D1110" s="19" t="s">
        <v>586</v>
      </c>
      <c r="E1110" s="194">
        <v>0.1</v>
      </c>
      <c r="F1110" s="320">
        <f>+H1109</f>
        <v>128584.75</v>
      </c>
      <c r="G1110" s="681">
        <v>0</v>
      </c>
      <c r="H1110" s="252">
        <f t="shared" si="80"/>
        <v>12858.475</v>
      </c>
      <c r="I1110" s="914"/>
    </row>
    <row r="1111" spans="1:9" s="324" customFormat="1" ht="13.5" thickBot="1" x14ac:dyDescent="0.25">
      <c r="A1111" s="945"/>
      <c r="B1111" s="543" t="s">
        <v>666</v>
      </c>
      <c r="C1111" s="169" t="s">
        <v>667</v>
      </c>
      <c r="D1111" s="112" t="s">
        <v>585</v>
      </c>
      <c r="E1111" s="201">
        <v>1</v>
      </c>
      <c r="F1111" s="321">
        <f>VLOOKUP(B1111,'BASE DE DATOS'!$A$5:$E$997,5,FALSE)</f>
        <v>47600</v>
      </c>
      <c r="G1111" s="686">
        <v>0</v>
      </c>
      <c r="H1111" s="255">
        <f t="shared" si="80"/>
        <v>47600</v>
      </c>
      <c r="I1111" s="914"/>
    </row>
    <row r="1112" spans="1:9" s="41" customFormat="1" ht="30" x14ac:dyDescent="0.2">
      <c r="A1112" s="67" t="s">
        <v>1215</v>
      </c>
      <c r="B1112" s="526"/>
      <c r="C1112" s="325" t="s">
        <v>2036</v>
      </c>
      <c r="D1112" s="326" t="s">
        <v>3251</v>
      </c>
      <c r="E1112" s="414"/>
      <c r="F1112" s="357">
        <f>ROUND(SUM(H1112:H1119),0)</f>
        <v>95424</v>
      </c>
      <c r="G1112" s="683"/>
      <c r="H1112" s="370"/>
      <c r="I1112" s="914"/>
    </row>
    <row r="1113" spans="1:9" s="324" customFormat="1" ht="12.75" x14ac:dyDescent="0.2">
      <c r="A1113" s="936" t="s">
        <v>382</v>
      </c>
      <c r="B1113" s="244" t="s">
        <v>1290</v>
      </c>
      <c r="C1113" s="62" t="s">
        <v>2697</v>
      </c>
      <c r="D1113" s="19" t="s">
        <v>406</v>
      </c>
      <c r="E1113" s="194">
        <v>0.2</v>
      </c>
      <c r="F1113" s="320">
        <f>VLOOKUP(B1113,'BASE DE DATOS'!$A$5:$E$997,5,FALSE)</f>
        <v>13045</v>
      </c>
      <c r="G1113" s="681">
        <v>1.03</v>
      </c>
      <c r="H1113" s="252">
        <f>IF(G1113&gt;0,(G1113*F1113*E1113),(F1113*E1113))</f>
        <v>2687.2700000000004</v>
      </c>
      <c r="I1113" s="914"/>
    </row>
    <row r="1114" spans="1:9" s="324" customFormat="1" ht="12.75" x14ac:dyDescent="0.2">
      <c r="A1114" s="936"/>
      <c r="B1114" s="244" t="s">
        <v>1463</v>
      </c>
      <c r="C1114" s="62" t="s">
        <v>593</v>
      </c>
      <c r="D1114" s="19" t="s">
        <v>405</v>
      </c>
      <c r="E1114" s="194">
        <v>2</v>
      </c>
      <c r="F1114" s="320">
        <f>VLOOKUP(B1114,'BASE DE DATOS'!$A$5:$E$997,5,FALSE)</f>
        <v>4704</v>
      </c>
      <c r="G1114" s="681">
        <f>1/3</f>
        <v>0.33333333333333331</v>
      </c>
      <c r="H1114" s="252">
        <f t="shared" si="80"/>
        <v>3136</v>
      </c>
      <c r="I1114" s="914"/>
    </row>
    <row r="1115" spans="1:9" s="324" customFormat="1" ht="12.75" x14ac:dyDescent="0.2">
      <c r="A1115" s="936"/>
      <c r="B1115" s="244" t="s">
        <v>1558</v>
      </c>
      <c r="C1115" s="62" t="s">
        <v>603</v>
      </c>
      <c r="D1115" s="19" t="s">
        <v>590</v>
      </c>
      <c r="E1115" s="194">
        <v>0.01</v>
      </c>
      <c r="F1115" s="320">
        <f>VLOOKUP(B1115,'BASE DE DATOS'!$A$5:$E$997,5,FALSE)</f>
        <v>5650</v>
      </c>
      <c r="G1115" s="681">
        <v>0</v>
      </c>
      <c r="H1115" s="252">
        <f t="shared" si="80"/>
        <v>56.5</v>
      </c>
      <c r="I1115" s="914"/>
    </row>
    <row r="1116" spans="1:9" s="324" customFormat="1" ht="12.75" x14ac:dyDescent="0.2">
      <c r="A1116" s="936"/>
      <c r="B1116" s="244" t="s">
        <v>1711</v>
      </c>
      <c r="C1116" s="62" t="s">
        <v>632</v>
      </c>
      <c r="D1116" s="19" t="s">
        <v>405</v>
      </c>
      <c r="E1116" s="194">
        <v>1.3</v>
      </c>
      <c r="F1116" s="320">
        <f>VLOOKUP(B1116,'BASE DE DATOS'!$A$5:$E$997,5,FALSE)</f>
        <v>10991</v>
      </c>
      <c r="G1116" s="681">
        <f>1/3</f>
        <v>0.33333333333333331</v>
      </c>
      <c r="H1116" s="252">
        <f>IF(G1116&gt;0,(G1116*F1116*E1116),(F1116*E1116))</f>
        <v>4762.7666666666664</v>
      </c>
      <c r="I1116" s="914"/>
    </row>
    <row r="1117" spans="1:9" s="324" customFormat="1" ht="14.25" x14ac:dyDescent="0.2">
      <c r="A1117" s="505" t="s">
        <v>3252</v>
      </c>
      <c r="B1117" s="244" t="s">
        <v>799</v>
      </c>
      <c r="C1117" s="62" t="s">
        <v>3276</v>
      </c>
      <c r="D1117" s="19" t="s">
        <v>285</v>
      </c>
      <c r="E1117" s="194">
        <v>0.1</v>
      </c>
      <c r="F1117" s="320">
        <f>CONSTRUCCION!F34</f>
        <v>482282</v>
      </c>
      <c r="G1117" s="681">
        <v>1.05</v>
      </c>
      <c r="H1117" s="252">
        <f t="shared" si="80"/>
        <v>50639.610000000008</v>
      </c>
      <c r="I1117" s="914"/>
    </row>
    <row r="1118" spans="1:9" s="324" customFormat="1" ht="12.75" x14ac:dyDescent="0.2">
      <c r="A1118" s="508" t="s">
        <v>2555</v>
      </c>
      <c r="B1118" s="244" t="s">
        <v>644</v>
      </c>
      <c r="C1118" s="62" t="s">
        <v>645</v>
      </c>
      <c r="D1118" s="19" t="s">
        <v>585</v>
      </c>
      <c r="E1118" s="194">
        <v>1</v>
      </c>
      <c r="F1118" s="320">
        <f>VLOOKUP(B1118,'BASE DE DATOS'!$A$5:$E$997,5,FALSE)</f>
        <v>248302</v>
      </c>
      <c r="G1118" s="681">
        <f>1/8</f>
        <v>0.125</v>
      </c>
      <c r="H1118" s="252">
        <f t="shared" si="80"/>
        <v>31037.75</v>
      </c>
      <c r="I1118" s="914"/>
    </row>
    <row r="1119" spans="1:9" s="324" customFormat="1" ht="13.5" thickBot="1" x14ac:dyDescent="0.25">
      <c r="A1119" s="504" t="s">
        <v>293</v>
      </c>
      <c r="B1119" s="543" t="s">
        <v>269</v>
      </c>
      <c r="C1119" s="169" t="s">
        <v>284</v>
      </c>
      <c r="D1119" s="112" t="s">
        <v>586</v>
      </c>
      <c r="E1119" s="201">
        <v>0.1</v>
      </c>
      <c r="F1119" s="321">
        <f>+H1118</f>
        <v>31037.75</v>
      </c>
      <c r="G1119" s="686">
        <v>0</v>
      </c>
      <c r="H1119" s="255">
        <f t="shared" si="80"/>
        <v>3103.7750000000001</v>
      </c>
      <c r="I1119" s="914"/>
    </row>
    <row r="1120" spans="1:9" s="41" customFormat="1" ht="60" x14ac:dyDescent="0.2">
      <c r="A1120" s="68" t="s">
        <v>1216</v>
      </c>
      <c r="B1120" s="526"/>
      <c r="C1120" s="325" t="s">
        <v>2037</v>
      </c>
      <c r="D1120" s="326" t="s">
        <v>411</v>
      </c>
      <c r="E1120" s="414"/>
      <c r="F1120" s="357">
        <f>ROUND(SUM(H1120:H1128),0)</f>
        <v>139531</v>
      </c>
      <c r="G1120" s="683"/>
      <c r="H1120" s="370"/>
      <c r="I1120" s="914"/>
    </row>
    <row r="1121" spans="1:10" s="324" customFormat="1" ht="12.75" x14ac:dyDescent="0.2">
      <c r="A1121" s="936" t="s">
        <v>382</v>
      </c>
      <c r="B1121" s="244" t="s">
        <v>1290</v>
      </c>
      <c r="C1121" s="62" t="s">
        <v>2697</v>
      </c>
      <c r="D1121" s="19" t="s">
        <v>406</v>
      </c>
      <c r="E1121" s="194">
        <v>0.05</v>
      </c>
      <c r="F1121" s="320">
        <f>VLOOKUP(B1121,'BASE DE DATOS'!$A$5:$E$997,5,FALSE)</f>
        <v>13045</v>
      </c>
      <c r="G1121" s="681">
        <v>1.03</v>
      </c>
      <c r="H1121" s="252">
        <f>IF(G1121&gt;0,(G1121*F1121*E1121),(F1121*E1121))</f>
        <v>671.81750000000011</v>
      </c>
      <c r="I1121" s="914"/>
    </row>
    <row r="1122" spans="1:10" s="324" customFormat="1" ht="12.75" x14ac:dyDescent="0.2">
      <c r="A1122" s="936"/>
      <c r="B1122" s="244" t="s">
        <v>1463</v>
      </c>
      <c r="C1122" s="62" t="s">
        <v>593</v>
      </c>
      <c r="D1122" s="19" t="s">
        <v>405</v>
      </c>
      <c r="E1122" s="194">
        <v>3</v>
      </c>
      <c r="F1122" s="320">
        <f>VLOOKUP(B1122,'BASE DE DATOS'!$A$5:$E$997,5,FALSE)</f>
        <v>4704</v>
      </c>
      <c r="G1122" s="681">
        <f>1/3</f>
        <v>0.33333333333333331</v>
      </c>
      <c r="H1122" s="252">
        <f t="shared" si="80"/>
        <v>4704</v>
      </c>
      <c r="I1122" s="914"/>
    </row>
    <row r="1123" spans="1:10" s="324" customFormat="1" ht="12.75" x14ac:dyDescent="0.2">
      <c r="A1123" s="936"/>
      <c r="B1123" s="244" t="s">
        <v>1558</v>
      </c>
      <c r="C1123" s="62" t="s">
        <v>603</v>
      </c>
      <c r="D1123" s="19" t="s">
        <v>590</v>
      </c>
      <c r="E1123" s="194">
        <v>0.05</v>
      </c>
      <c r="F1123" s="320">
        <f>VLOOKUP(B1123,'BASE DE DATOS'!$A$5:$E$997,5,FALSE)</f>
        <v>5650</v>
      </c>
      <c r="G1123" s="681">
        <v>0</v>
      </c>
      <c r="H1123" s="252">
        <f t="shared" si="80"/>
        <v>282.5</v>
      </c>
      <c r="I1123" s="914"/>
    </row>
    <row r="1124" spans="1:10" s="324" customFormat="1" ht="15" customHeight="1" x14ac:dyDescent="0.2">
      <c r="A1124" s="936"/>
      <c r="B1124" s="244" t="s">
        <v>1711</v>
      </c>
      <c r="C1124" s="62" t="s">
        <v>632</v>
      </c>
      <c r="D1124" s="19" t="s">
        <v>405</v>
      </c>
      <c r="E1124" s="194">
        <v>4</v>
      </c>
      <c r="F1124" s="320">
        <f>VLOOKUP(B1124,'BASE DE DATOS'!$A$5:$E$997,5,FALSE)</f>
        <v>10991</v>
      </c>
      <c r="G1124" s="681">
        <f>1/3</f>
        <v>0.33333333333333331</v>
      </c>
      <c r="H1124" s="252">
        <f>IF(G1124&gt;0,(G1124*F1124*E1124),(F1124*E1124))</f>
        <v>14654.666666666666</v>
      </c>
      <c r="I1124" s="914"/>
    </row>
    <row r="1125" spans="1:10" s="324" customFormat="1" ht="14.25" x14ac:dyDescent="0.2">
      <c r="A1125" s="953" t="s">
        <v>3252</v>
      </c>
      <c r="B1125" s="244" t="s">
        <v>799</v>
      </c>
      <c r="C1125" s="62" t="s">
        <v>3276</v>
      </c>
      <c r="D1125" s="19" t="s">
        <v>285</v>
      </c>
      <c r="E1125" s="194">
        <v>3.3000000000000002E-2</v>
      </c>
      <c r="F1125" s="320">
        <f>CONSTRUCCION!F34</f>
        <v>482282</v>
      </c>
      <c r="G1125" s="681">
        <v>1.05</v>
      </c>
      <c r="H1125" s="252">
        <f t="shared" si="80"/>
        <v>16711.071300000003</v>
      </c>
      <c r="I1125" s="914"/>
    </row>
    <row r="1126" spans="1:10" s="324" customFormat="1" ht="12.75" x14ac:dyDescent="0.2">
      <c r="A1126" s="953"/>
      <c r="B1126" s="244" t="s">
        <v>814</v>
      </c>
      <c r="C1126" s="307" t="s">
        <v>2018</v>
      </c>
      <c r="D1126" s="19" t="s">
        <v>406</v>
      </c>
      <c r="E1126" s="194">
        <v>4.5999999999999996</v>
      </c>
      <c r="F1126" s="320">
        <f>CONSTRUCCION!F118</f>
        <v>7440</v>
      </c>
      <c r="G1126" s="681">
        <v>0</v>
      </c>
      <c r="H1126" s="252">
        <f t="shared" si="80"/>
        <v>34224</v>
      </c>
      <c r="I1126" s="914"/>
    </row>
    <row r="1127" spans="1:10" s="324" customFormat="1" ht="12.75" x14ac:dyDescent="0.2">
      <c r="A1127" s="508" t="s">
        <v>2555</v>
      </c>
      <c r="B1127" s="244" t="s">
        <v>644</v>
      </c>
      <c r="C1127" s="62" t="s">
        <v>645</v>
      </c>
      <c r="D1127" s="19" t="s">
        <v>585</v>
      </c>
      <c r="E1127" s="194">
        <v>1</v>
      </c>
      <c r="F1127" s="320">
        <f>VLOOKUP(B1127,'BASE DE DATOS'!$A$5:$E$997,5,FALSE)</f>
        <v>248302</v>
      </c>
      <c r="G1127" s="681">
        <f>1/4</f>
        <v>0.25</v>
      </c>
      <c r="H1127" s="252">
        <f t="shared" si="80"/>
        <v>62075.5</v>
      </c>
      <c r="I1127" s="914"/>
    </row>
    <row r="1128" spans="1:10" s="324" customFormat="1" ht="13.5" thickBot="1" x14ac:dyDescent="0.25">
      <c r="A1128" s="504" t="s">
        <v>293</v>
      </c>
      <c r="B1128" s="543" t="s">
        <v>269</v>
      </c>
      <c r="C1128" s="169" t="s">
        <v>284</v>
      </c>
      <c r="D1128" s="112" t="s">
        <v>586</v>
      </c>
      <c r="E1128" s="201">
        <v>0.1</v>
      </c>
      <c r="F1128" s="321">
        <f>+H1127</f>
        <v>62075.5</v>
      </c>
      <c r="G1128" s="686">
        <v>0</v>
      </c>
      <c r="H1128" s="255">
        <f t="shared" si="80"/>
        <v>6207.55</v>
      </c>
      <c r="I1128" s="914"/>
    </row>
    <row r="1129" spans="1:10" s="41" customFormat="1" ht="17.25" x14ac:dyDescent="0.2">
      <c r="A1129" s="67" t="s">
        <v>1217</v>
      </c>
      <c r="B1129" s="541"/>
      <c r="C1129" s="332" t="s">
        <v>477</v>
      </c>
      <c r="D1129" s="333" t="s">
        <v>3261</v>
      </c>
      <c r="E1129" s="414"/>
      <c r="F1129" s="357">
        <f>ROUND(SUM(H1129:H1131),0)</f>
        <v>22973</v>
      </c>
      <c r="G1129" s="683"/>
      <c r="H1129" s="370"/>
      <c r="I1129" s="914"/>
    </row>
    <row r="1130" spans="1:10" s="324" customFormat="1" ht="14.25" x14ac:dyDescent="0.2">
      <c r="A1130" s="502" t="s">
        <v>382</v>
      </c>
      <c r="B1130" s="244" t="s">
        <v>1427</v>
      </c>
      <c r="C1130" s="62" t="s">
        <v>212</v>
      </c>
      <c r="D1130" s="19" t="s">
        <v>288</v>
      </c>
      <c r="E1130" s="194">
        <v>1</v>
      </c>
      <c r="F1130" s="320">
        <f>VLOOKUP(B1130,'BASE DE DATOS'!$A$5:$E$997,5,FALSE)</f>
        <v>9598</v>
      </c>
      <c r="G1130" s="684">
        <v>1.1000000000000001</v>
      </c>
      <c r="H1130" s="252">
        <f t="shared" si="80"/>
        <v>10557.800000000001</v>
      </c>
      <c r="I1130" s="914"/>
    </row>
    <row r="1131" spans="1:10" s="324" customFormat="1" ht="13.5" thickBot="1" x14ac:dyDescent="0.25">
      <c r="A1131" s="508" t="s">
        <v>2555</v>
      </c>
      <c r="B1131" s="543" t="s">
        <v>644</v>
      </c>
      <c r="C1131" s="169" t="s">
        <v>645</v>
      </c>
      <c r="D1131" s="112" t="s">
        <v>585</v>
      </c>
      <c r="E1131" s="201">
        <v>1</v>
      </c>
      <c r="F1131" s="321">
        <f>VLOOKUP(B1131,'BASE DE DATOS'!$A$5:$E$997,5,FALSE)</f>
        <v>248302</v>
      </c>
      <c r="G1131" s="686">
        <f>1/20</f>
        <v>0.05</v>
      </c>
      <c r="H1131" s="255">
        <f t="shared" si="80"/>
        <v>12415.1</v>
      </c>
      <c r="I1131" s="914"/>
    </row>
    <row r="1132" spans="1:10" s="42" customFormat="1" ht="75.75" thickBot="1" x14ac:dyDescent="0.25">
      <c r="A1132" s="387" t="s">
        <v>3670</v>
      </c>
      <c r="B1132" s="529"/>
      <c r="C1132" s="388" t="s">
        <v>3266</v>
      </c>
      <c r="D1132" s="389" t="s">
        <v>3265</v>
      </c>
      <c r="E1132" s="390"/>
      <c r="F1132" s="391">
        <f>ROUND(SUM(H1132:H1136),0)</f>
        <v>35895</v>
      </c>
      <c r="G1132" s="392"/>
      <c r="H1132" s="393"/>
      <c r="I1132" s="913"/>
    </row>
    <row r="1133" spans="1:10" customFormat="1" ht="14.25" x14ac:dyDescent="0.2">
      <c r="A1133" s="1058" t="s">
        <v>295</v>
      </c>
      <c r="B1133" s="241" t="s">
        <v>1291</v>
      </c>
      <c r="C1133" s="3" t="s">
        <v>648</v>
      </c>
      <c r="D1133" s="2" t="s">
        <v>285</v>
      </c>
      <c r="E1133" s="114">
        <v>0.4</v>
      </c>
      <c r="F1133" s="23">
        <f>VLOOKUP(B1133,'BASE DE DATOS'!$A$5:$E$997,5,FALSE)</f>
        <v>71990</v>
      </c>
      <c r="G1133" s="104">
        <v>1.01</v>
      </c>
      <c r="H1133" s="252">
        <f>IF(G1133&gt;0,(G1133*F1133*E1133),(F1133*E1133))</f>
        <v>29083.96</v>
      </c>
      <c r="I1133" s="913"/>
      <c r="J1133" s="43"/>
    </row>
    <row r="1134" spans="1:10" customFormat="1" ht="63.75" x14ac:dyDescent="0.2">
      <c r="A1134" s="939"/>
      <c r="B1134" s="241" t="s">
        <v>2640</v>
      </c>
      <c r="C1134" s="3" t="s">
        <v>2641</v>
      </c>
      <c r="D1134" s="2" t="s">
        <v>411</v>
      </c>
      <c r="E1134" s="114">
        <v>1</v>
      </c>
      <c r="F1134" s="23">
        <f>VLOOKUP(B1134,'BASE DE DATOS'!$A$5:$E$997,5,FALSE)</f>
        <v>588900</v>
      </c>
      <c r="G1134" s="104">
        <f>1/100</f>
        <v>0.01</v>
      </c>
      <c r="H1134" s="252">
        <f t="shared" si="80"/>
        <v>5889</v>
      </c>
      <c r="I1134" s="913"/>
      <c r="J1134" s="189"/>
    </row>
    <row r="1135" spans="1:10" customFormat="1" ht="12.75" x14ac:dyDescent="0.2">
      <c r="A1135" s="508" t="s">
        <v>294</v>
      </c>
      <c r="B1135" s="244" t="s">
        <v>583</v>
      </c>
      <c r="C1135" s="20" t="s">
        <v>584</v>
      </c>
      <c r="D1135" s="19" t="s">
        <v>585</v>
      </c>
      <c r="E1135" s="194">
        <v>1</v>
      </c>
      <c r="F1135" s="23">
        <f>VLOOKUP(B1135,'BASE DE DATOS'!$A$5:$E$997,5,FALSE)</f>
        <v>88679</v>
      </c>
      <c r="G1135" s="58">
        <f>1/100</f>
        <v>0.01</v>
      </c>
      <c r="H1135" s="252">
        <f t="shared" si="80"/>
        <v>886.79</v>
      </c>
      <c r="I1135" s="913"/>
    </row>
    <row r="1136" spans="1:10" customFormat="1" ht="13.5" thickBot="1" x14ac:dyDescent="0.25">
      <c r="A1136" s="504" t="s">
        <v>293</v>
      </c>
      <c r="B1136" s="543" t="s">
        <v>269</v>
      </c>
      <c r="C1136" s="111" t="s">
        <v>284</v>
      </c>
      <c r="D1136" s="112" t="s">
        <v>586</v>
      </c>
      <c r="E1136" s="201">
        <v>0.04</v>
      </c>
      <c r="F1136" s="113">
        <f>H1135</f>
        <v>886.79</v>
      </c>
      <c r="G1136" s="157">
        <v>0</v>
      </c>
      <c r="H1136" s="255">
        <f t="shared" si="80"/>
        <v>35.471600000000002</v>
      </c>
      <c r="I1136" s="913"/>
    </row>
    <row r="1137" spans="1:10" s="42" customFormat="1" ht="90.75" thickBot="1" x14ac:dyDescent="0.25">
      <c r="A1137" s="387" t="s">
        <v>3268</v>
      </c>
      <c r="B1137" s="529"/>
      <c r="C1137" s="388" t="s">
        <v>3267</v>
      </c>
      <c r="D1137" s="389" t="s">
        <v>3265</v>
      </c>
      <c r="E1137" s="390"/>
      <c r="F1137" s="391">
        <f>ROUND(SUM(H1137:H1141),0)</f>
        <v>7579</v>
      </c>
      <c r="G1137" s="392"/>
      <c r="H1137" s="393"/>
      <c r="I1137" s="913">
        <v>9</v>
      </c>
    </row>
    <row r="1138" spans="1:10" customFormat="1" ht="12.75" x14ac:dyDescent="0.2">
      <c r="A1138" s="1058" t="s">
        <v>295</v>
      </c>
      <c r="B1138" s="241" t="s">
        <v>1279</v>
      </c>
      <c r="C1138" s="3" t="s">
        <v>358</v>
      </c>
      <c r="D1138" s="2" t="s">
        <v>617</v>
      </c>
      <c r="E1138" s="114">
        <v>40</v>
      </c>
      <c r="F1138" s="23">
        <f>VLOOKUP(B1138,'BASE DE DATOS'!$A$5:$E$997,5,FALSE)</f>
        <v>19</v>
      </c>
      <c r="G1138" s="104">
        <v>1.01</v>
      </c>
      <c r="H1138" s="252">
        <f>IF(G1138&gt;0,(G1138*F1138*E1138),(F1138*E1138))</f>
        <v>767.6</v>
      </c>
      <c r="I1138" s="913"/>
      <c r="J1138" s="43"/>
    </row>
    <row r="1139" spans="1:10" customFormat="1" ht="63.75" x14ac:dyDescent="0.2">
      <c r="A1139" s="939"/>
      <c r="B1139" s="241" t="s">
        <v>2640</v>
      </c>
      <c r="C1139" s="3" t="s">
        <v>3119</v>
      </c>
      <c r="D1139" s="2" t="s">
        <v>411</v>
      </c>
      <c r="E1139" s="114">
        <v>1</v>
      </c>
      <c r="F1139" s="23">
        <f>VLOOKUP(B1139,'BASE DE DATOS'!$A$5:$E$997,5,FALSE)</f>
        <v>588900</v>
      </c>
      <c r="G1139" s="104">
        <f>1/100</f>
        <v>0.01</v>
      </c>
      <c r="H1139" s="252">
        <f t="shared" si="80"/>
        <v>5889</v>
      </c>
      <c r="I1139" s="913"/>
      <c r="J1139" s="189"/>
    </row>
    <row r="1140" spans="1:10" customFormat="1" ht="12.75" x14ac:dyDescent="0.2">
      <c r="A1140" s="508" t="s">
        <v>294</v>
      </c>
      <c r="B1140" s="244" t="s">
        <v>583</v>
      </c>
      <c r="C1140" s="20" t="s">
        <v>584</v>
      </c>
      <c r="D1140" s="19" t="s">
        <v>585</v>
      </c>
      <c r="E1140" s="194">
        <v>1</v>
      </c>
      <c r="F1140" s="23">
        <f>VLOOKUP(B1140,'BASE DE DATOS'!$A$5:$E$997,5,FALSE)</f>
        <v>88679</v>
      </c>
      <c r="G1140" s="58">
        <f>1/100</f>
        <v>0.01</v>
      </c>
      <c r="H1140" s="252">
        <f t="shared" si="80"/>
        <v>886.79</v>
      </c>
      <c r="I1140" s="913"/>
    </row>
    <row r="1141" spans="1:10" customFormat="1" ht="13.5" thickBot="1" x14ac:dyDescent="0.25">
      <c r="A1141" s="504" t="s">
        <v>293</v>
      </c>
      <c r="B1141" s="543" t="s">
        <v>269</v>
      </c>
      <c r="C1141" s="111" t="s">
        <v>284</v>
      </c>
      <c r="D1141" s="112" t="s">
        <v>586</v>
      </c>
      <c r="E1141" s="201">
        <v>0.04</v>
      </c>
      <c r="F1141" s="113">
        <f>H1140</f>
        <v>886.79</v>
      </c>
      <c r="G1141" s="157">
        <v>0</v>
      </c>
      <c r="H1141" s="252">
        <f t="shared" si="80"/>
        <v>35.471600000000002</v>
      </c>
      <c r="I1141" s="913"/>
    </row>
    <row r="1142" spans="1:10" s="324" customFormat="1" ht="15.75" thickBot="1" x14ac:dyDescent="0.25">
      <c r="A1142" s="1022" t="s">
        <v>2217</v>
      </c>
      <c r="B1142" s="1023"/>
      <c r="C1142" s="1023"/>
      <c r="D1142" s="1023"/>
      <c r="E1142" s="1023"/>
      <c r="F1142" s="1023"/>
      <c r="G1142" s="1023"/>
      <c r="H1142" s="1024"/>
      <c r="I1142" s="914"/>
    </row>
    <row r="1143" spans="1:10" s="324" customFormat="1" ht="45.75" thickBot="1" x14ac:dyDescent="0.25">
      <c r="A1143" s="510" t="s">
        <v>2044</v>
      </c>
      <c r="B1143" s="346" t="s">
        <v>265</v>
      </c>
      <c r="C1143" s="74" t="s">
        <v>402</v>
      </c>
      <c r="D1143" s="347" t="s">
        <v>346</v>
      </c>
      <c r="E1143" s="192" t="s">
        <v>2173</v>
      </c>
      <c r="F1143" s="162" t="s">
        <v>404</v>
      </c>
      <c r="G1143" s="290" t="s">
        <v>281</v>
      </c>
      <c r="H1143" s="73" t="s">
        <v>282</v>
      </c>
      <c r="I1143" s="914"/>
    </row>
    <row r="1144" spans="1:10" s="324" customFormat="1" ht="17.25" x14ac:dyDescent="0.2">
      <c r="A1144" s="67" t="s">
        <v>1095</v>
      </c>
      <c r="B1144" s="79"/>
      <c r="C1144" s="325" t="s">
        <v>544</v>
      </c>
      <c r="D1144" s="326" t="s">
        <v>3264</v>
      </c>
      <c r="E1144" s="360"/>
      <c r="F1144" s="328">
        <f>ROUND(SUM(H1144:H1145),0)</f>
        <v>4998</v>
      </c>
      <c r="G1144" s="329"/>
      <c r="H1144" s="330"/>
      <c r="I1144" s="914">
        <v>1</v>
      </c>
    </row>
    <row r="1145" spans="1:10" s="324" customFormat="1" thickBot="1" x14ac:dyDescent="0.25">
      <c r="A1145" s="504" t="s">
        <v>293</v>
      </c>
      <c r="B1145" s="543" t="s">
        <v>631</v>
      </c>
      <c r="C1145" s="169" t="s">
        <v>370</v>
      </c>
      <c r="D1145" s="112" t="s">
        <v>614</v>
      </c>
      <c r="E1145" s="317">
        <v>1</v>
      </c>
      <c r="F1145" s="321">
        <f>VLOOKUP(B1145,'BASE DE DATOS'!$A$5:$E$997,5,FALSE)</f>
        <v>166600</v>
      </c>
      <c r="G1145" s="314">
        <v>0.03</v>
      </c>
      <c r="H1145" s="255">
        <f t="shared" ref="H1145" si="81">IF(G1145&gt;0,(G1145*F1145*E1145),(F1145*E1145))</f>
        <v>4998</v>
      </c>
      <c r="I1145" s="914"/>
    </row>
    <row r="1146" spans="1:10" s="324" customFormat="1" ht="12.75" x14ac:dyDescent="0.2">
      <c r="A1146" s="376"/>
      <c r="B1146" s="38"/>
      <c r="C1146" s="312"/>
      <c r="D1146" s="377"/>
      <c r="E1146" s="378"/>
      <c r="F1146" s="379"/>
      <c r="G1146" s="315"/>
      <c r="H1146" s="380"/>
      <c r="I1146" s="914">
        <f>SUM(I9:I1145)</f>
        <v>145</v>
      </c>
    </row>
    <row r="1147" spans="1:10" s="324" customFormat="1" ht="12.75" x14ac:dyDescent="0.2">
      <c r="A1147" s="376"/>
      <c r="B1147" s="38"/>
      <c r="C1147" s="312"/>
      <c r="D1147" s="377"/>
      <c r="E1147" s="378"/>
      <c r="F1147" s="379"/>
      <c r="G1147" s="315"/>
      <c r="H1147" s="380"/>
      <c r="I1147" s="914"/>
    </row>
    <row r="1148" spans="1:10" s="324" customFormat="1" ht="12.75" x14ac:dyDescent="0.2">
      <c r="A1148" s="376"/>
      <c r="B1148" s="38"/>
      <c r="C1148" s="312"/>
      <c r="D1148" s="377"/>
      <c r="E1148" s="378"/>
      <c r="F1148" s="379"/>
      <c r="G1148" s="315"/>
      <c r="H1148" s="380"/>
      <c r="I1148" s="914"/>
    </row>
    <row r="1149" spans="1:10" s="324" customFormat="1" ht="12.75" x14ac:dyDescent="0.2">
      <c r="A1149" s="376"/>
      <c r="B1149" s="38"/>
      <c r="C1149" s="312"/>
      <c r="D1149" s="377"/>
      <c r="E1149" s="378"/>
      <c r="F1149" s="379"/>
      <c r="G1149" s="315"/>
      <c r="H1149" s="380"/>
      <c r="I1149" s="914"/>
    </row>
    <row r="1150" spans="1:10" s="324" customFormat="1" ht="12.75" x14ac:dyDescent="0.2">
      <c r="A1150" s="376"/>
      <c r="B1150" s="38"/>
      <c r="C1150" s="312"/>
      <c r="D1150" s="377"/>
      <c r="E1150" s="378"/>
      <c r="F1150" s="379"/>
      <c r="G1150" s="315"/>
      <c r="H1150" s="380"/>
      <c r="I1150" s="914"/>
    </row>
    <row r="1151" spans="1:10" s="324" customFormat="1" ht="12.75" x14ac:dyDescent="0.2">
      <c r="A1151" s="376"/>
      <c r="B1151" s="38"/>
      <c r="C1151" s="312"/>
      <c r="D1151" s="377"/>
      <c r="E1151" s="378"/>
      <c r="F1151" s="379"/>
      <c r="G1151" s="315"/>
      <c r="H1151" s="380"/>
      <c r="I1151" s="914"/>
    </row>
    <row r="1152" spans="1:10" s="324" customFormat="1" ht="12.75" x14ac:dyDescent="0.2">
      <c r="A1152" s="376"/>
      <c r="B1152" s="38"/>
      <c r="C1152" s="312"/>
      <c r="D1152" s="377"/>
      <c r="E1152" s="378"/>
      <c r="F1152" s="379"/>
      <c r="G1152" s="315"/>
      <c r="H1152" s="380"/>
      <c r="I1152" s="914"/>
    </row>
    <row r="1153" spans="1:9" s="324" customFormat="1" ht="12.75" x14ac:dyDescent="0.2">
      <c r="A1153" s="376"/>
      <c r="B1153" s="38"/>
      <c r="C1153" s="312"/>
      <c r="D1153" s="377"/>
      <c r="E1153" s="378"/>
      <c r="F1153" s="379"/>
      <c r="G1153" s="315"/>
      <c r="H1153" s="380"/>
      <c r="I1153" s="914"/>
    </row>
    <row r="1154" spans="1:9" s="324" customFormat="1" ht="12.75" x14ac:dyDescent="0.2">
      <c r="A1154" s="376"/>
      <c r="B1154" s="38"/>
      <c r="C1154" s="312"/>
      <c r="D1154" s="377"/>
      <c r="E1154" s="378"/>
      <c r="F1154" s="379"/>
      <c r="G1154" s="315"/>
      <c r="H1154" s="380"/>
      <c r="I1154" s="914"/>
    </row>
    <row r="1155" spans="1:9" s="324" customFormat="1" ht="12.75" x14ac:dyDescent="0.2">
      <c r="A1155" s="376"/>
      <c r="B1155" s="38"/>
      <c r="C1155" s="312"/>
      <c r="D1155" s="377"/>
      <c r="E1155" s="378"/>
      <c r="F1155" s="379"/>
      <c r="G1155" s="315"/>
      <c r="H1155" s="380"/>
      <c r="I1155" s="914"/>
    </row>
    <row r="1156" spans="1:9" s="324" customFormat="1" ht="12.75" x14ac:dyDescent="0.2">
      <c r="A1156" s="376"/>
      <c r="B1156" s="38"/>
      <c r="C1156" s="312"/>
      <c r="D1156" s="377"/>
      <c r="E1156" s="378"/>
      <c r="F1156" s="379"/>
      <c r="G1156" s="315"/>
      <c r="H1156" s="380"/>
      <c r="I1156" s="914"/>
    </row>
    <row r="1157" spans="1:9" s="324" customFormat="1" ht="12.75" x14ac:dyDescent="0.2">
      <c r="A1157" s="376"/>
      <c r="B1157" s="38"/>
      <c r="C1157" s="312"/>
      <c r="D1157" s="377"/>
      <c r="E1157" s="378"/>
      <c r="F1157" s="379"/>
      <c r="G1157" s="315"/>
      <c r="H1157" s="380"/>
      <c r="I1157" s="914"/>
    </row>
    <row r="1158" spans="1:9" s="324" customFormat="1" ht="12.75" x14ac:dyDescent="0.2">
      <c r="A1158" s="376"/>
      <c r="B1158" s="38"/>
      <c r="C1158" s="312"/>
      <c r="D1158" s="377"/>
      <c r="E1158" s="378"/>
      <c r="F1158" s="379"/>
      <c r="G1158" s="315"/>
      <c r="H1158" s="380"/>
      <c r="I1158" s="914"/>
    </row>
    <row r="1159" spans="1:9" s="324" customFormat="1" ht="12.75" x14ac:dyDescent="0.2">
      <c r="A1159" s="376"/>
      <c r="B1159" s="38"/>
      <c r="C1159" s="312"/>
      <c r="D1159" s="377"/>
      <c r="E1159" s="378"/>
      <c r="F1159" s="379"/>
      <c r="G1159" s="315"/>
      <c r="H1159" s="380"/>
      <c r="I1159" s="914"/>
    </row>
    <row r="1160" spans="1:9" s="324" customFormat="1" ht="12.75" x14ac:dyDescent="0.2">
      <c r="A1160" s="376"/>
      <c r="B1160" s="38"/>
      <c r="C1160" s="312"/>
      <c r="D1160" s="377"/>
      <c r="E1160" s="378"/>
      <c r="F1160" s="379"/>
      <c r="G1160" s="315"/>
      <c r="H1160" s="380"/>
      <c r="I1160" s="914"/>
    </row>
    <row r="1161" spans="1:9" s="324" customFormat="1" ht="12.75" x14ac:dyDescent="0.2">
      <c r="A1161" s="376"/>
      <c r="B1161" s="38"/>
      <c r="C1161" s="312"/>
      <c r="D1161" s="377"/>
      <c r="E1161" s="378"/>
      <c r="F1161" s="379"/>
      <c r="G1161" s="315"/>
      <c r="H1161" s="380"/>
      <c r="I1161" s="914"/>
    </row>
    <row r="1162" spans="1:9" s="324" customFormat="1" ht="12.75" x14ac:dyDescent="0.2">
      <c r="A1162" s="376"/>
      <c r="B1162" s="38"/>
      <c r="C1162" s="312"/>
      <c r="D1162" s="377"/>
      <c r="E1162" s="378"/>
      <c r="F1162" s="379"/>
      <c r="G1162" s="315"/>
      <c r="H1162" s="380"/>
      <c r="I1162" s="914"/>
    </row>
    <row r="1163" spans="1:9" s="324" customFormat="1" ht="12.75" x14ac:dyDescent="0.2">
      <c r="A1163" s="376"/>
      <c r="B1163" s="38"/>
      <c r="C1163" s="312"/>
      <c r="D1163" s="377"/>
      <c r="E1163" s="378"/>
      <c r="F1163" s="379"/>
      <c r="G1163" s="315"/>
      <c r="H1163" s="380"/>
      <c r="I1163" s="914"/>
    </row>
    <row r="1164" spans="1:9" s="324" customFormat="1" ht="12.75" x14ac:dyDescent="0.2">
      <c r="A1164" s="376"/>
      <c r="B1164" s="38"/>
      <c r="C1164" s="312"/>
      <c r="D1164" s="377"/>
      <c r="E1164" s="378"/>
      <c r="F1164" s="379"/>
      <c r="G1164" s="315"/>
      <c r="H1164" s="380"/>
      <c r="I1164" s="914"/>
    </row>
    <row r="1165" spans="1:9" s="324" customFormat="1" ht="12.75" x14ac:dyDescent="0.2">
      <c r="A1165" s="376"/>
      <c r="B1165" s="38"/>
      <c r="C1165" s="312"/>
      <c r="D1165" s="377"/>
      <c r="E1165" s="378"/>
      <c r="F1165" s="379"/>
      <c r="G1165" s="315"/>
      <c r="H1165" s="380"/>
      <c r="I1165" s="914"/>
    </row>
    <row r="1166" spans="1:9" s="324" customFormat="1" ht="12.75" x14ac:dyDescent="0.2">
      <c r="A1166" s="376"/>
      <c r="B1166" s="38"/>
      <c r="C1166" s="312"/>
      <c r="D1166" s="377"/>
      <c r="E1166" s="378"/>
      <c r="F1166" s="379"/>
      <c r="G1166" s="315"/>
      <c r="H1166" s="380"/>
      <c r="I1166" s="914"/>
    </row>
    <row r="1167" spans="1:9" s="324" customFormat="1" ht="12.75" x14ac:dyDescent="0.2">
      <c r="A1167" s="376"/>
      <c r="B1167" s="38"/>
      <c r="C1167" s="312"/>
      <c r="D1167" s="377"/>
      <c r="E1167" s="378"/>
      <c r="F1167" s="379"/>
      <c r="G1167" s="315"/>
      <c r="H1167" s="380"/>
      <c r="I1167" s="914"/>
    </row>
    <row r="1168" spans="1:9" s="324" customFormat="1" ht="12.75" x14ac:dyDescent="0.2">
      <c r="A1168" s="376"/>
      <c r="B1168" s="38"/>
      <c r="C1168" s="312"/>
      <c r="D1168" s="377"/>
      <c r="E1168" s="378"/>
      <c r="F1168" s="379"/>
      <c r="G1168" s="315"/>
      <c r="H1168" s="380"/>
      <c r="I1168" s="914"/>
    </row>
    <row r="1169" spans="1:9" s="324" customFormat="1" ht="12.75" x14ac:dyDescent="0.2">
      <c r="A1169" s="376"/>
      <c r="B1169" s="38"/>
      <c r="C1169" s="312"/>
      <c r="D1169" s="377"/>
      <c r="E1169" s="378"/>
      <c r="F1169" s="379"/>
      <c r="G1169" s="315"/>
      <c r="H1169" s="380"/>
      <c r="I1169" s="914"/>
    </row>
    <row r="1170" spans="1:9" s="324" customFormat="1" ht="12.75" x14ac:dyDescent="0.2">
      <c r="A1170" s="376"/>
      <c r="B1170" s="38"/>
      <c r="C1170" s="312"/>
      <c r="D1170" s="377"/>
      <c r="E1170" s="378"/>
      <c r="F1170" s="379"/>
      <c r="G1170" s="315"/>
      <c r="H1170" s="380"/>
      <c r="I1170" s="914"/>
    </row>
    <row r="1171" spans="1:9" s="324" customFormat="1" ht="12.75" x14ac:dyDescent="0.2">
      <c r="A1171" s="376"/>
      <c r="B1171" s="38"/>
      <c r="C1171" s="312"/>
      <c r="D1171" s="377"/>
      <c r="E1171" s="378"/>
      <c r="F1171" s="379"/>
      <c r="G1171" s="315"/>
      <c r="H1171" s="380"/>
      <c r="I1171" s="914"/>
    </row>
    <row r="1172" spans="1:9" s="324" customFormat="1" ht="12.75" x14ac:dyDescent="0.2">
      <c r="A1172" s="376"/>
      <c r="B1172" s="38"/>
      <c r="C1172" s="312"/>
      <c r="D1172" s="377"/>
      <c r="E1172" s="378"/>
      <c r="F1172" s="379"/>
      <c r="G1172" s="315"/>
      <c r="H1172" s="380"/>
      <c r="I1172" s="914"/>
    </row>
    <row r="1173" spans="1:9" s="324" customFormat="1" ht="12.75" x14ac:dyDescent="0.2">
      <c r="A1173" s="376"/>
      <c r="B1173" s="38"/>
      <c r="C1173" s="312"/>
      <c r="D1173" s="377"/>
      <c r="E1173" s="378"/>
      <c r="F1173" s="379"/>
      <c r="G1173" s="315"/>
      <c r="H1173" s="380"/>
      <c r="I1173" s="914"/>
    </row>
    <row r="1174" spans="1:9" s="324" customFormat="1" ht="12.75" x14ac:dyDescent="0.2">
      <c r="A1174" s="376"/>
      <c r="B1174" s="38"/>
      <c r="C1174" s="312"/>
      <c r="D1174" s="377"/>
      <c r="E1174" s="378"/>
      <c r="F1174" s="379"/>
      <c r="G1174" s="315"/>
      <c r="H1174" s="380"/>
      <c r="I1174" s="914"/>
    </row>
    <row r="1175" spans="1:9" s="324" customFormat="1" ht="12.75" x14ac:dyDescent="0.2">
      <c r="A1175" s="376"/>
      <c r="B1175" s="38"/>
      <c r="C1175" s="312"/>
      <c r="D1175" s="377"/>
      <c r="E1175" s="378"/>
      <c r="F1175" s="379"/>
      <c r="G1175" s="315"/>
      <c r="H1175" s="380"/>
      <c r="I1175" s="914"/>
    </row>
    <row r="1176" spans="1:9" s="324" customFormat="1" ht="12.75" x14ac:dyDescent="0.2">
      <c r="A1176" s="376"/>
      <c r="B1176" s="38"/>
      <c r="C1176" s="312"/>
      <c r="D1176" s="377"/>
      <c r="E1176" s="378"/>
      <c r="F1176" s="379"/>
      <c r="G1176" s="315"/>
      <c r="H1176" s="380"/>
      <c r="I1176" s="914"/>
    </row>
    <row r="1177" spans="1:9" s="324" customFormat="1" ht="12.75" x14ac:dyDescent="0.2">
      <c r="A1177" s="376"/>
      <c r="B1177" s="38"/>
      <c r="C1177" s="312"/>
      <c r="D1177" s="377"/>
      <c r="E1177" s="378"/>
      <c r="F1177" s="379"/>
      <c r="G1177" s="315"/>
      <c r="H1177" s="380"/>
      <c r="I1177" s="914"/>
    </row>
    <row r="1178" spans="1:9" s="324" customFormat="1" ht="12.75" x14ac:dyDescent="0.2">
      <c r="A1178" s="376"/>
      <c r="B1178" s="38"/>
      <c r="C1178" s="312"/>
      <c r="D1178" s="377"/>
      <c r="E1178" s="378"/>
      <c r="F1178" s="379"/>
      <c r="G1178" s="315"/>
      <c r="H1178" s="380"/>
      <c r="I1178" s="914"/>
    </row>
    <row r="1179" spans="1:9" s="324" customFormat="1" ht="12.75" x14ac:dyDescent="0.2">
      <c r="A1179" s="376"/>
      <c r="B1179" s="38"/>
      <c r="C1179" s="312"/>
      <c r="D1179" s="377"/>
      <c r="E1179" s="378"/>
      <c r="F1179" s="379"/>
      <c r="G1179" s="315"/>
      <c r="H1179" s="380"/>
      <c r="I1179" s="914"/>
    </row>
    <row r="1180" spans="1:9" s="324" customFormat="1" ht="12.75" x14ac:dyDescent="0.2">
      <c r="A1180" s="376"/>
      <c r="B1180" s="38"/>
      <c r="C1180" s="312"/>
      <c r="D1180" s="377"/>
      <c r="E1180" s="378"/>
      <c r="F1180" s="379"/>
      <c r="G1180" s="315"/>
      <c r="H1180" s="380"/>
      <c r="I1180" s="914"/>
    </row>
    <row r="1181" spans="1:9" s="324" customFormat="1" ht="12.75" x14ac:dyDescent="0.2">
      <c r="A1181" s="376"/>
      <c r="B1181" s="38"/>
      <c r="C1181" s="312"/>
      <c r="D1181" s="377"/>
      <c r="E1181" s="378"/>
      <c r="F1181" s="379"/>
      <c r="G1181" s="315"/>
      <c r="H1181" s="380"/>
      <c r="I1181" s="914"/>
    </row>
    <row r="1182" spans="1:9" s="324" customFormat="1" ht="12.75" x14ac:dyDescent="0.2">
      <c r="A1182" s="376"/>
      <c r="B1182" s="38"/>
      <c r="C1182" s="312"/>
      <c r="D1182" s="377"/>
      <c r="E1182" s="378"/>
      <c r="F1182" s="379"/>
      <c r="G1182" s="315"/>
      <c r="H1182" s="380"/>
      <c r="I1182" s="914"/>
    </row>
    <row r="1183" spans="1:9" s="324" customFormat="1" ht="12.75" x14ac:dyDescent="0.2">
      <c r="A1183" s="376"/>
      <c r="B1183" s="38"/>
      <c r="C1183" s="312"/>
      <c r="D1183" s="377"/>
      <c r="E1183" s="378"/>
      <c r="F1183" s="379"/>
      <c r="G1183" s="315"/>
      <c r="H1183" s="380"/>
      <c r="I1183" s="914"/>
    </row>
    <row r="1184" spans="1:9" s="324" customFormat="1" ht="12.75" x14ac:dyDescent="0.2">
      <c r="A1184" s="376"/>
      <c r="B1184" s="38"/>
      <c r="C1184" s="312"/>
      <c r="D1184" s="377"/>
      <c r="E1184" s="378"/>
      <c r="F1184" s="379"/>
      <c r="G1184" s="315"/>
      <c r="H1184" s="380"/>
      <c r="I1184" s="914"/>
    </row>
    <row r="1185" spans="1:9" s="324" customFormat="1" ht="12.75" x14ac:dyDescent="0.2">
      <c r="A1185" s="376"/>
      <c r="B1185" s="38"/>
      <c r="C1185" s="312"/>
      <c r="D1185" s="377"/>
      <c r="E1185" s="378"/>
      <c r="F1185" s="379"/>
      <c r="G1185" s="315"/>
      <c r="H1185" s="380"/>
      <c r="I1185" s="914"/>
    </row>
    <row r="1186" spans="1:9" s="324" customFormat="1" ht="12.75" x14ac:dyDescent="0.2">
      <c r="A1186" s="376"/>
      <c r="B1186" s="38"/>
      <c r="C1186" s="312"/>
      <c r="D1186" s="377"/>
      <c r="E1186" s="378"/>
      <c r="F1186" s="379"/>
      <c r="G1186" s="315"/>
      <c r="H1186" s="380"/>
      <c r="I1186" s="914"/>
    </row>
    <row r="1187" spans="1:9" s="324" customFormat="1" ht="12.75" x14ac:dyDescent="0.2">
      <c r="A1187" s="376"/>
      <c r="B1187" s="38"/>
      <c r="C1187" s="312"/>
      <c r="D1187" s="377"/>
      <c r="E1187" s="378"/>
      <c r="F1187" s="379"/>
      <c r="G1187" s="315"/>
      <c r="H1187" s="380"/>
      <c r="I1187" s="914"/>
    </row>
    <row r="1188" spans="1:9" s="324" customFormat="1" ht="12.75" x14ac:dyDescent="0.2">
      <c r="A1188" s="376"/>
      <c r="B1188" s="38"/>
      <c r="C1188" s="312"/>
      <c r="D1188" s="377"/>
      <c r="E1188" s="378"/>
      <c r="F1188" s="379"/>
      <c r="G1188" s="315"/>
      <c r="H1188" s="380"/>
      <c r="I1188" s="914"/>
    </row>
    <row r="1189" spans="1:9" s="324" customFormat="1" ht="12.75" x14ac:dyDescent="0.2">
      <c r="A1189" s="376"/>
      <c r="B1189" s="38"/>
      <c r="C1189" s="312"/>
      <c r="D1189" s="377"/>
      <c r="E1189" s="378"/>
      <c r="F1189" s="379"/>
      <c r="G1189" s="315"/>
      <c r="H1189" s="380"/>
      <c r="I1189" s="914"/>
    </row>
    <row r="1190" spans="1:9" s="324" customFormat="1" ht="12.75" x14ac:dyDescent="0.2">
      <c r="A1190" s="376"/>
      <c r="B1190" s="38"/>
      <c r="C1190" s="312"/>
      <c r="D1190" s="377"/>
      <c r="E1190" s="378"/>
      <c r="F1190" s="379"/>
      <c r="G1190" s="315"/>
      <c r="H1190" s="380"/>
      <c r="I1190" s="914"/>
    </row>
    <row r="1191" spans="1:9" s="324" customFormat="1" ht="12.75" x14ac:dyDescent="0.2">
      <c r="A1191" s="376"/>
      <c r="B1191" s="38"/>
      <c r="C1191" s="312"/>
      <c r="D1191" s="377"/>
      <c r="E1191" s="378"/>
      <c r="F1191" s="379"/>
      <c r="G1191" s="315"/>
      <c r="H1191" s="380"/>
      <c r="I1191" s="914"/>
    </row>
    <row r="1192" spans="1:9" s="324" customFormat="1" ht="12.75" x14ac:dyDescent="0.2">
      <c r="A1192" s="376"/>
      <c r="B1192" s="38"/>
      <c r="C1192" s="312"/>
      <c r="D1192" s="377"/>
      <c r="E1192" s="378"/>
      <c r="F1192" s="379"/>
      <c r="G1192" s="315"/>
      <c r="H1192" s="380"/>
      <c r="I1192" s="914"/>
    </row>
    <row r="1193" spans="1:9" s="324" customFormat="1" ht="12.75" x14ac:dyDescent="0.2">
      <c r="A1193" s="376"/>
      <c r="B1193" s="38"/>
      <c r="C1193" s="312"/>
      <c r="D1193" s="377"/>
      <c r="E1193" s="378"/>
      <c r="F1193" s="379"/>
      <c r="G1193" s="315"/>
      <c r="H1193" s="380"/>
      <c r="I1193" s="914"/>
    </row>
    <row r="1194" spans="1:9" s="324" customFormat="1" ht="12.75" x14ac:dyDescent="0.2">
      <c r="A1194" s="376"/>
      <c r="B1194" s="38"/>
      <c r="C1194" s="312"/>
      <c r="D1194" s="377"/>
      <c r="E1194" s="378"/>
      <c r="F1194" s="379"/>
      <c r="G1194" s="315"/>
      <c r="H1194" s="380"/>
      <c r="I1194" s="914"/>
    </row>
    <row r="1195" spans="1:9" s="324" customFormat="1" ht="12.75" x14ac:dyDescent="0.2">
      <c r="A1195" s="376"/>
      <c r="B1195" s="38"/>
      <c r="C1195" s="312"/>
      <c r="D1195" s="377"/>
      <c r="E1195" s="378"/>
      <c r="F1195" s="379"/>
      <c r="G1195" s="315"/>
      <c r="H1195" s="380"/>
      <c r="I1195" s="914"/>
    </row>
    <row r="1196" spans="1:9" s="324" customFormat="1" ht="12.75" x14ac:dyDescent="0.2">
      <c r="A1196" s="376"/>
      <c r="B1196" s="38"/>
      <c r="C1196" s="312"/>
      <c r="D1196" s="377"/>
      <c r="E1196" s="378"/>
      <c r="F1196" s="379"/>
      <c r="G1196" s="315"/>
      <c r="H1196" s="380"/>
      <c r="I1196" s="914"/>
    </row>
    <row r="1197" spans="1:9" s="324" customFormat="1" ht="12.75" x14ac:dyDescent="0.2">
      <c r="A1197" s="376"/>
      <c r="B1197" s="38"/>
      <c r="C1197" s="312"/>
      <c r="D1197" s="377"/>
      <c r="E1197" s="378"/>
      <c r="F1197" s="379"/>
      <c r="G1197" s="315"/>
      <c r="H1197" s="380"/>
      <c r="I1197" s="914"/>
    </row>
    <row r="1198" spans="1:9" s="324" customFormat="1" ht="12.75" x14ac:dyDescent="0.2">
      <c r="A1198" s="376"/>
      <c r="B1198" s="38"/>
      <c r="C1198" s="312"/>
      <c r="D1198" s="377"/>
      <c r="E1198" s="378"/>
      <c r="F1198" s="379"/>
      <c r="G1198" s="315"/>
      <c r="H1198" s="380"/>
      <c r="I1198" s="914"/>
    </row>
    <row r="1199" spans="1:9" s="324" customFormat="1" ht="12.75" x14ac:dyDescent="0.2">
      <c r="A1199" s="376"/>
      <c r="B1199" s="38"/>
      <c r="C1199" s="312"/>
      <c r="D1199" s="377"/>
      <c r="E1199" s="378"/>
      <c r="F1199" s="379"/>
      <c r="G1199" s="315"/>
      <c r="H1199" s="380"/>
      <c r="I1199" s="914"/>
    </row>
    <row r="1200" spans="1:9" s="324" customFormat="1" ht="12.75" x14ac:dyDescent="0.2">
      <c r="A1200" s="376"/>
      <c r="B1200" s="38"/>
      <c r="C1200" s="312"/>
      <c r="D1200" s="377"/>
      <c r="E1200" s="378"/>
      <c r="F1200" s="379"/>
      <c r="G1200" s="315"/>
      <c r="H1200" s="380"/>
      <c r="I1200" s="914"/>
    </row>
    <row r="1201" spans="1:9" s="324" customFormat="1" ht="12.75" x14ac:dyDescent="0.2">
      <c r="A1201" s="376"/>
      <c r="B1201" s="38"/>
      <c r="C1201" s="312"/>
      <c r="D1201" s="377"/>
      <c r="E1201" s="378"/>
      <c r="F1201" s="379"/>
      <c r="G1201" s="315"/>
      <c r="H1201" s="380"/>
      <c r="I1201" s="914"/>
    </row>
    <row r="1202" spans="1:9" s="324" customFormat="1" ht="12.75" x14ac:dyDescent="0.2">
      <c r="A1202" s="376"/>
      <c r="B1202" s="38"/>
      <c r="C1202" s="312"/>
      <c r="D1202" s="377"/>
      <c r="E1202" s="378"/>
      <c r="F1202" s="379"/>
      <c r="G1202" s="315"/>
      <c r="H1202" s="380"/>
      <c r="I1202" s="914"/>
    </row>
    <row r="1203" spans="1:9" s="324" customFormat="1" ht="12.75" x14ac:dyDescent="0.2">
      <c r="A1203" s="376"/>
      <c r="B1203" s="38"/>
      <c r="C1203" s="312"/>
      <c r="D1203" s="377"/>
      <c r="E1203" s="378"/>
      <c r="F1203" s="379"/>
      <c r="G1203" s="315"/>
      <c r="H1203" s="380"/>
      <c r="I1203" s="914"/>
    </row>
    <row r="1204" spans="1:9" s="324" customFormat="1" ht="12.75" x14ac:dyDescent="0.2">
      <c r="A1204" s="376"/>
      <c r="B1204" s="38"/>
      <c r="C1204" s="312"/>
      <c r="D1204" s="377"/>
      <c r="E1204" s="378"/>
      <c r="F1204" s="379"/>
      <c r="G1204" s="315"/>
      <c r="H1204" s="380"/>
      <c r="I1204" s="914"/>
    </row>
    <row r="1205" spans="1:9" s="324" customFormat="1" ht="12.75" x14ac:dyDescent="0.2">
      <c r="A1205" s="376"/>
      <c r="B1205" s="38"/>
      <c r="C1205" s="312"/>
      <c r="D1205" s="377"/>
      <c r="E1205" s="378"/>
      <c r="F1205" s="379"/>
      <c r="G1205" s="315"/>
      <c r="H1205" s="380"/>
      <c r="I1205" s="914"/>
    </row>
    <row r="1206" spans="1:9" s="324" customFormat="1" ht="12.75" x14ac:dyDescent="0.2">
      <c r="A1206" s="376"/>
      <c r="B1206" s="38"/>
      <c r="C1206" s="312"/>
      <c r="D1206" s="377"/>
      <c r="E1206" s="378"/>
      <c r="F1206" s="379"/>
      <c r="G1206" s="315"/>
      <c r="H1206" s="380"/>
      <c r="I1206" s="914"/>
    </row>
    <row r="1207" spans="1:9" s="324" customFormat="1" ht="12.75" x14ac:dyDescent="0.2">
      <c r="A1207" s="376"/>
      <c r="B1207" s="38"/>
      <c r="C1207" s="312"/>
      <c r="D1207" s="377"/>
      <c r="E1207" s="378"/>
      <c r="F1207" s="379"/>
      <c r="G1207" s="315"/>
      <c r="H1207" s="380"/>
      <c r="I1207" s="914"/>
    </row>
    <row r="1208" spans="1:9" s="324" customFormat="1" ht="12.75" x14ac:dyDescent="0.2">
      <c r="A1208" s="376"/>
      <c r="B1208" s="38"/>
      <c r="C1208" s="312"/>
      <c r="D1208" s="377"/>
      <c r="E1208" s="378"/>
      <c r="F1208" s="379"/>
      <c r="G1208" s="315"/>
      <c r="H1208" s="380"/>
      <c r="I1208" s="914"/>
    </row>
    <row r="1209" spans="1:9" s="324" customFormat="1" ht="12.75" x14ac:dyDescent="0.2">
      <c r="A1209" s="376"/>
      <c r="B1209" s="38"/>
      <c r="C1209" s="312"/>
      <c r="D1209" s="377"/>
      <c r="E1209" s="378"/>
      <c r="F1209" s="379"/>
      <c r="G1209" s="315"/>
      <c r="H1209" s="380"/>
      <c r="I1209" s="914"/>
    </row>
    <row r="1210" spans="1:9" s="324" customFormat="1" ht="12.75" x14ac:dyDescent="0.2">
      <c r="A1210" s="376"/>
      <c r="B1210" s="38"/>
      <c r="C1210" s="312"/>
      <c r="D1210" s="377"/>
      <c r="E1210" s="378"/>
      <c r="F1210" s="379"/>
      <c r="G1210" s="315"/>
      <c r="H1210" s="380"/>
      <c r="I1210" s="914"/>
    </row>
    <row r="1211" spans="1:9" s="324" customFormat="1" ht="12.75" x14ac:dyDescent="0.2">
      <c r="A1211" s="376"/>
      <c r="B1211" s="38"/>
      <c r="C1211" s="312"/>
      <c r="D1211" s="377"/>
      <c r="E1211" s="378"/>
      <c r="F1211" s="379"/>
      <c r="G1211" s="315"/>
      <c r="H1211" s="380"/>
      <c r="I1211" s="914"/>
    </row>
    <row r="1212" spans="1:9" s="324" customFormat="1" ht="12.75" x14ac:dyDescent="0.2">
      <c r="A1212" s="376"/>
      <c r="B1212" s="38"/>
      <c r="C1212" s="312"/>
      <c r="D1212" s="377"/>
      <c r="E1212" s="378"/>
      <c r="F1212" s="379"/>
      <c r="G1212" s="315"/>
      <c r="H1212" s="380"/>
      <c r="I1212" s="914"/>
    </row>
    <row r="1213" spans="1:9" s="324" customFormat="1" ht="12.75" x14ac:dyDescent="0.2">
      <c r="A1213" s="376"/>
      <c r="B1213" s="38"/>
      <c r="C1213" s="312"/>
      <c r="D1213" s="377"/>
      <c r="E1213" s="378"/>
      <c r="F1213" s="379"/>
      <c r="G1213" s="315"/>
      <c r="H1213" s="380"/>
      <c r="I1213" s="914"/>
    </row>
    <row r="1214" spans="1:9" s="324" customFormat="1" ht="12.75" x14ac:dyDescent="0.2">
      <c r="A1214" s="376"/>
      <c r="B1214" s="38"/>
      <c r="C1214" s="312"/>
      <c r="D1214" s="377"/>
      <c r="E1214" s="378"/>
      <c r="F1214" s="379"/>
      <c r="G1214" s="315"/>
      <c r="H1214" s="380"/>
      <c r="I1214" s="914"/>
    </row>
    <row r="1215" spans="1:9" s="324" customFormat="1" ht="12.75" x14ac:dyDescent="0.2">
      <c r="A1215" s="376"/>
      <c r="B1215" s="38"/>
      <c r="C1215" s="312"/>
      <c r="D1215" s="377"/>
      <c r="E1215" s="378"/>
      <c r="F1215" s="379"/>
      <c r="G1215" s="315"/>
      <c r="H1215" s="380"/>
      <c r="I1215" s="914"/>
    </row>
    <row r="1216" spans="1:9" s="324" customFormat="1" ht="12.75" x14ac:dyDescent="0.2">
      <c r="A1216" s="376"/>
      <c r="B1216" s="38"/>
      <c r="C1216" s="312"/>
      <c r="D1216" s="377"/>
      <c r="E1216" s="378"/>
      <c r="F1216" s="379"/>
      <c r="G1216" s="315"/>
      <c r="H1216" s="380"/>
      <c r="I1216" s="914"/>
    </row>
    <row r="1217" spans="1:9" s="324" customFormat="1" ht="12.75" x14ac:dyDescent="0.2">
      <c r="A1217" s="376"/>
      <c r="B1217" s="38"/>
      <c r="C1217" s="312"/>
      <c r="D1217" s="377"/>
      <c r="E1217" s="378"/>
      <c r="F1217" s="379"/>
      <c r="G1217" s="315"/>
      <c r="H1217" s="380"/>
      <c r="I1217" s="914"/>
    </row>
    <row r="1218" spans="1:9" s="324" customFormat="1" ht="12.75" x14ac:dyDescent="0.2">
      <c r="A1218" s="376"/>
      <c r="B1218" s="38"/>
      <c r="C1218" s="312"/>
      <c r="D1218" s="377"/>
      <c r="E1218" s="378"/>
      <c r="F1218" s="379"/>
      <c r="G1218" s="315"/>
      <c r="H1218" s="380"/>
      <c r="I1218" s="914"/>
    </row>
    <row r="1219" spans="1:9" s="324" customFormat="1" ht="12.75" x14ac:dyDescent="0.2">
      <c r="A1219" s="376"/>
      <c r="B1219" s="38"/>
      <c r="C1219" s="312"/>
      <c r="D1219" s="377"/>
      <c r="E1219" s="378"/>
      <c r="F1219" s="379"/>
      <c r="G1219" s="315"/>
      <c r="H1219" s="380"/>
      <c r="I1219" s="914"/>
    </row>
    <row r="1220" spans="1:9" s="324" customFormat="1" ht="12.75" x14ac:dyDescent="0.2">
      <c r="A1220" s="376"/>
      <c r="B1220" s="38"/>
      <c r="C1220" s="312"/>
      <c r="D1220" s="377"/>
      <c r="E1220" s="378"/>
      <c r="F1220" s="379"/>
      <c r="G1220" s="315"/>
      <c r="H1220" s="380"/>
      <c r="I1220" s="914"/>
    </row>
    <row r="1221" spans="1:9" s="324" customFormat="1" ht="12.75" x14ac:dyDescent="0.2">
      <c r="A1221" s="376"/>
      <c r="B1221" s="38"/>
      <c r="C1221" s="312"/>
      <c r="D1221" s="377"/>
      <c r="E1221" s="378"/>
      <c r="F1221" s="379"/>
      <c r="G1221" s="315"/>
      <c r="H1221" s="380"/>
      <c r="I1221" s="914"/>
    </row>
    <row r="1222" spans="1:9" s="324" customFormat="1" ht="12.75" x14ac:dyDescent="0.2">
      <c r="A1222" s="376"/>
      <c r="B1222" s="38"/>
      <c r="C1222" s="312"/>
      <c r="D1222" s="377"/>
      <c r="E1222" s="378"/>
      <c r="F1222" s="379"/>
      <c r="G1222" s="315"/>
      <c r="H1222" s="380"/>
      <c r="I1222" s="914"/>
    </row>
    <row r="1223" spans="1:9" s="324" customFormat="1" ht="12.75" x14ac:dyDescent="0.2">
      <c r="A1223" s="376"/>
      <c r="B1223" s="38"/>
      <c r="C1223" s="312"/>
      <c r="D1223" s="377"/>
      <c r="E1223" s="378"/>
      <c r="F1223" s="379"/>
      <c r="G1223" s="315"/>
      <c r="H1223" s="380"/>
      <c r="I1223" s="914"/>
    </row>
    <row r="1224" spans="1:9" s="324" customFormat="1" ht="12.75" x14ac:dyDescent="0.2">
      <c r="A1224" s="376"/>
      <c r="B1224" s="38"/>
      <c r="C1224" s="312"/>
      <c r="D1224" s="377"/>
      <c r="E1224" s="378"/>
      <c r="F1224" s="379"/>
      <c r="G1224" s="315"/>
      <c r="H1224" s="380"/>
      <c r="I1224" s="914"/>
    </row>
    <row r="1225" spans="1:9" s="324" customFormat="1" ht="12.75" x14ac:dyDescent="0.2">
      <c r="A1225" s="376"/>
      <c r="B1225" s="38"/>
      <c r="C1225" s="312"/>
      <c r="D1225" s="377"/>
      <c r="E1225" s="378"/>
      <c r="F1225" s="379"/>
      <c r="G1225" s="315"/>
      <c r="H1225" s="380"/>
      <c r="I1225" s="914"/>
    </row>
    <row r="1226" spans="1:9" s="324" customFormat="1" ht="12.75" x14ac:dyDescent="0.2">
      <c r="A1226" s="376"/>
      <c r="B1226" s="38"/>
      <c r="C1226" s="312"/>
      <c r="D1226" s="377"/>
      <c r="E1226" s="378"/>
      <c r="F1226" s="379"/>
      <c r="G1226" s="315"/>
      <c r="H1226" s="380"/>
      <c r="I1226" s="914"/>
    </row>
    <row r="1227" spans="1:9" s="324" customFormat="1" ht="12.75" x14ac:dyDescent="0.2">
      <c r="A1227" s="376"/>
      <c r="B1227" s="38"/>
      <c r="C1227" s="312"/>
      <c r="D1227" s="377"/>
      <c r="E1227" s="378"/>
      <c r="F1227" s="379"/>
      <c r="G1227" s="315"/>
      <c r="H1227" s="380"/>
      <c r="I1227" s="914"/>
    </row>
    <row r="1228" spans="1:9" s="324" customFormat="1" ht="12.75" x14ac:dyDescent="0.2">
      <c r="A1228" s="376"/>
      <c r="B1228" s="38"/>
      <c r="C1228" s="312"/>
      <c r="D1228" s="377"/>
      <c r="E1228" s="378"/>
      <c r="F1228" s="379"/>
      <c r="G1228" s="315"/>
      <c r="H1228" s="380"/>
      <c r="I1228" s="914"/>
    </row>
    <row r="1229" spans="1:9" s="324" customFormat="1" ht="12.75" x14ac:dyDescent="0.2">
      <c r="A1229" s="376"/>
      <c r="B1229" s="38"/>
      <c r="C1229" s="312"/>
      <c r="D1229" s="377"/>
      <c r="E1229" s="378"/>
      <c r="F1229" s="379"/>
      <c r="G1229" s="315"/>
      <c r="H1229" s="380"/>
      <c r="I1229" s="914"/>
    </row>
    <row r="1230" spans="1:9" s="324" customFormat="1" ht="12.75" x14ac:dyDescent="0.2">
      <c r="A1230" s="376"/>
      <c r="B1230" s="38"/>
      <c r="C1230" s="312"/>
      <c r="D1230" s="377"/>
      <c r="E1230" s="378"/>
      <c r="F1230" s="379"/>
      <c r="G1230" s="315"/>
      <c r="H1230" s="380"/>
      <c r="I1230" s="914"/>
    </row>
    <row r="1231" spans="1:9" s="324" customFormat="1" ht="12.75" x14ac:dyDescent="0.2">
      <c r="A1231" s="376"/>
      <c r="B1231" s="38"/>
      <c r="C1231" s="312"/>
      <c r="D1231" s="377"/>
      <c r="E1231" s="378"/>
      <c r="F1231" s="379"/>
      <c r="G1231" s="315"/>
      <c r="H1231" s="380"/>
      <c r="I1231" s="914"/>
    </row>
    <row r="1232" spans="1:9" s="324" customFormat="1" ht="12.75" x14ac:dyDescent="0.2">
      <c r="A1232" s="376"/>
      <c r="B1232" s="38"/>
      <c r="C1232" s="312"/>
      <c r="D1232" s="377"/>
      <c r="E1232" s="378"/>
      <c r="F1232" s="379"/>
      <c r="G1232" s="315"/>
      <c r="H1232" s="380"/>
      <c r="I1232" s="914"/>
    </row>
    <row r="1233" spans="1:9" s="324" customFormat="1" ht="12.75" x14ac:dyDescent="0.2">
      <c r="A1233" s="376"/>
      <c r="B1233" s="38"/>
      <c r="C1233" s="312"/>
      <c r="D1233" s="377"/>
      <c r="E1233" s="378"/>
      <c r="F1233" s="379"/>
      <c r="G1233" s="315"/>
      <c r="H1233" s="380"/>
      <c r="I1233" s="914"/>
    </row>
    <row r="1234" spans="1:9" s="324" customFormat="1" ht="12.75" x14ac:dyDescent="0.2">
      <c r="A1234" s="376"/>
      <c r="B1234" s="38"/>
      <c r="C1234" s="312"/>
      <c r="D1234" s="377"/>
      <c r="E1234" s="378"/>
      <c r="F1234" s="379"/>
      <c r="G1234" s="315"/>
      <c r="H1234" s="380"/>
      <c r="I1234" s="914"/>
    </row>
    <row r="1235" spans="1:9" s="324" customFormat="1" ht="12.75" x14ac:dyDescent="0.2">
      <c r="A1235" s="376"/>
      <c r="B1235" s="38"/>
      <c r="C1235" s="312"/>
      <c r="D1235" s="377"/>
      <c r="E1235" s="378"/>
      <c r="F1235" s="379"/>
      <c r="G1235" s="315"/>
      <c r="H1235" s="380"/>
      <c r="I1235" s="914"/>
    </row>
    <row r="1236" spans="1:9" s="324" customFormat="1" ht="12.75" x14ac:dyDescent="0.2">
      <c r="A1236" s="376"/>
      <c r="B1236" s="38"/>
      <c r="C1236" s="312"/>
      <c r="D1236" s="377"/>
      <c r="E1236" s="378"/>
      <c r="F1236" s="379"/>
      <c r="G1236" s="315"/>
      <c r="H1236" s="380"/>
      <c r="I1236" s="914"/>
    </row>
    <row r="1237" spans="1:9" s="324" customFormat="1" ht="12.75" x14ac:dyDescent="0.2">
      <c r="A1237" s="376"/>
      <c r="B1237" s="38"/>
      <c r="C1237" s="312"/>
      <c r="D1237" s="377"/>
      <c r="E1237" s="378"/>
      <c r="F1237" s="379"/>
      <c r="G1237" s="315"/>
      <c r="H1237" s="380"/>
      <c r="I1237" s="914"/>
    </row>
    <row r="1238" spans="1:9" s="324" customFormat="1" ht="12.75" x14ac:dyDescent="0.2">
      <c r="A1238" s="376"/>
      <c r="B1238" s="38"/>
      <c r="C1238" s="312"/>
      <c r="D1238" s="377"/>
      <c r="E1238" s="378"/>
      <c r="F1238" s="379"/>
      <c r="G1238" s="315"/>
      <c r="H1238" s="380"/>
      <c r="I1238" s="914"/>
    </row>
    <row r="1239" spans="1:9" s="324" customFormat="1" ht="12.75" x14ac:dyDescent="0.2">
      <c r="A1239" s="376"/>
      <c r="B1239" s="38"/>
      <c r="C1239" s="312"/>
      <c r="D1239" s="377"/>
      <c r="E1239" s="378"/>
      <c r="F1239" s="379"/>
      <c r="G1239" s="315"/>
      <c r="H1239" s="380"/>
      <c r="I1239" s="914"/>
    </row>
    <row r="1240" spans="1:9" s="324" customFormat="1" ht="12.75" x14ac:dyDescent="0.2">
      <c r="A1240" s="376"/>
      <c r="B1240" s="38"/>
      <c r="C1240" s="312"/>
      <c r="D1240" s="377"/>
      <c r="E1240" s="378"/>
      <c r="F1240" s="379"/>
      <c r="G1240" s="315"/>
      <c r="H1240" s="380"/>
      <c r="I1240" s="914"/>
    </row>
    <row r="1241" spans="1:9" s="324" customFormat="1" ht="12.75" x14ac:dyDescent="0.2">
      <c r="A1241" s="376"/>
      <c r="B1241" s="38"/>
      <c r="C1241" s="312"/>
      <c r="D1241" s="377"/>
      <c r="E1241" s="378"/>
      <c r="F1241" s="379"/>
      <c r="G1241" s="315"/>
      <c r="H1241" s="380"/>
      <c r="I1241" s="914"/>
    </row>
    <row r="1242" spans="1:9" s="324" customFormat="1" ht="12.75" x14ac:dyDescent="0.2">
      <c r="A1242" s="376"/>
      <c r="B1242" s="38"/>
      <c r="C1242" s="312"/>
      <c r="D1242" s="377"/>
      <c r="E1242" s="378"/>
      <c r="F1242" s="379"/>
      <c r="G1242" s="315"/>
      <c r="H1242" s="380"/>
      <c r="I1242" s="914"/>
    </row>
    <row r="1243" spans="1:9" s="324" customFormat="1" ht="12.75" x14ac:dyDescent="0.2">
      <c r="A1243" s="376"/>
      <c r="B1243" s="38"/>
      <c r="C1243" s="312"/>
      <c r="D1243" s="377"/>
      <c r="E1243" s="378"/>
      <c r="F1243" s="379"/>
      <c r="G1243" s="315"/>
      <c r="H1243" s="380"/>
      <c r="I1243" s="914"/>
    </row>
    <row r="1244" spans="1:9" s="324" customFormat="1" ht="12.75" x14ac:dyDescent="0.2">
      <c r="A1244" s="376"/>
      <c r="B1244" s="38"/>
      <c r="C1244" s="312"/>
      <c r="D1244" s="377"/>
      <c r="E1244" s="378"/>
      <c r="F1244" s="379"/>
      <c r="G1244" s="315"/>
      <c r="H1244" s="380"/>
      <c r="I1244" s="914"/>
    </row>
    <row r="1245" spans="1:9" s="324" customFormat="1" ht="12.75" x14ac:dyDescent="0.2">
      <c r="A1245" s="376"/>
      <c r="B1245" s="38"/>
      <c r="C1245" s="312"/>
      <c r="D1245" s="377"/>
      <c r="E1245" s="378"/>
      <c r="F1245" s="379"/>
      <c r="G1245" s="315"/>
      <c r="H1245" s="380"/>
      <c r="I1245" s="914"/>
    </row>
    <row r="1246" spans="1:9" s="324" customFormat="1" ht="12.75" x14ac:dyDescent="0.2">
      <c r="A1246" s="376"/>
      <c r="B1246" s="38"/>
      <c r="C1246" s="312"/>
      <c r="D1246" s="377"/>
      <c r="E1246" s="378"/>
      <c r="F1246" s="379"/>
      <c r="G1246" s="315"/>
      <c r="H1246" s="380"/>
      <c r="I1246" s="914"/>
    </row>
    <row r="1247" spans="1:9" s="324" customFormat="1" ht="12.75" x14ac:dyDescent="0.2">
      <c r="A1247" s="376"/>
      <c r="B1247" s="38"/>
      <c r="C1247" s="312"/>
      <c r="D1247" s="377"/>
      <c r="E1247" s="378"/>
      <c r="F1247" s="379"/>
      <c r="G1247" s="315"/>
      <c r="H1247" s="380"/>
      <c r="I1247" s="914"/>
    </row>
    <row r="1248" spans="1:9" s="324" customFormat="1" ht="12.75" x14ac:dyDescent="0.2">
      <c r="A1248" s="376"/>
      <c r="B1248" s="38"/>
      <c r="C1248" s="312"/>
      <c r="D1248" s="377"/>
      <c r="E1248" s="378"/>
      <c r="F1248" s="379"/>
      <c r="G1248" s="315"/>
      <c r="H1248" s="380"/>
      <c r="I1248" s="914"/>
    </row>
    <row r="1249" spans="1:9" s="324" customFormat="1" ht="12.75" x14ac:dyDescent="0.2">
      <c r="A1249" s="376"/>
      <c r="B1249" s="38"/>
      <c r="C1249" s="312"/>
      <c r="D1249" s="377"/>
      <c r="E1249" s="378"/>
      <c r="F1249" s="379"/>
      <c r="G1249" s="315"/>
      <c r="H1249" s="380"/>
      <c r="I1249" s="914"/>
    </row>
    <row r="1250" spans="1:9" s="324" customFormat="1" ht="12.75" x14ac:dyDescent="0.2">
      <c r="A1250" s="376"/>
      <c r="B1250" s="38"/>
      <c r="C1250" s="312"/>
      <c r="D1250" s="377"/>
      <c r="E1250" s="378"/>
      <c r="F1250" s="379"/>
      <c r="G1250" s="315"/>
      <c r="H1250" s="380"/>
      <c r="I1250" s="914"/>
    </row>
    <row r="1251" spans="1:9" s="324" customFormat="1" ht="12.75" x14ac:dyDescent="0.2">
      <c r="A1251" s="376"/>
      <c r="B1251" s="38"/>
      <c r="C1251" s="312"/>
      <c r="D1251" s="377"/>
      <c r="E1251" s="378"/>
      <c r="F1251" s="379"/>
      <c r="G1251" s="315"/>
      <c r="H1251" s="380"/>
      <c r="I1251" s="914"/>
    </row>
    <row r="1252" spans="1:9" s="324" customFormat="1" ht="12.75" x14ac:dyDescent="0.2">
      <c r="A1252" s="376"/>
      <c r="B1252" s="38"/>
      <c r="C1252" s="312"/>
      <c r="D1252" s="377"/>
      <c r="E1252" s="378"/>
      <c r="F1252" s="379"/>
      <c r="G1252" s="315"/>
      <c r="H1252" s="380"/>
      <c r="I1252" s="914"/>
    </row>
    <row r="1253" spans="1:9" s="324" customFormat="1" ht="12.75" x14ac:dyDescent="0.2">
      <c r="A1253" s="376"/>
      <c r="B1253" s="38"/>
      <c r="C1253" s="312"/>
      <c r="D1253" s="377"/>
      <c r="E1253" s="378"/>
      <c r="F1253" s="379"/>
      <c r="G1253" s="315"/>
      <c r="H1253" s="380"/>
      <c r="I1253" s="914"/>
    </row>
    <row r="1254" spans="1:9" s="324" customFormat="1" ht="12.75" x14ac:dyDescent="0.2">
      <c r="A1254" s="376"/>
      <c r="B1254" s="38"/>
      <c r="C1254" s="312"/>
      <c r="D1254" s="377"/>
      <c r="E1254" s="378"/>
      <c r="F1254" s="379"/>
      <c r="G1254" s="315"/>
      <c r="H1254" s="380"/>
      <c r="I1254" s="914"/>
    </row>
    <row r="1255" spans="1:9" s="324" customFormat="1" ht="12.75" x14ac:dyDescent="0.2">
      <c r="A1255" s="376"/>
      <c r="B1255" s="38"/>
      <c r="C1255" s="312"/>
      <c r="D1255" s="377"/>
      <c r="E1255" s="378"/>
      <c r="F1255" s="379"/>
      <c r="G1255" s="315"/>
      <c r="H1255" s="380"/>
      <c r="I1255" s="914"/>
    </row>
    <row r="1256" spans="1:9" s="324" customFormat="1" ht="12.75" x14ac:dyDescent="0.2">
      <c r="A1256" s="376"/>
      <c r="B1256" s="38"/>
      <c r="C1256" s="312"/>
      <c r="D1256" s="377"/>
      <c r="E1256" s="378"/>
      <c r="F1256" s="379"/>
      <c r="G1256" s="315"/>
      <c r="H1256" s="380"/>
      <c r="I1256" s="914"/>
    </row>
    <row r="1257" spans="1:9" s="324" customFormat="1" ht="12.75" x14ac:dyDescent="0.2">
      <c r="A1257" s="376"/>
      <c r="B1257" s="38"/>
      <c r="C1257" s="312"/>
      <c r="D1257" s="377"/>
      <c r="E1257" s="378"/>
      <c r="F1257" s="379"/>
      <c r="G1257" s="315"/>
      <c r="H1257" s="380"/>
      <c r="I1257" s="914"/>
    </row>
    <row r="1258" spans="1:9" s="324" customFormat="1" ht="12.75" x14ac:dyDescent="0.2">
      <c r="A1258" s="376"/>
      <c r="B1258" s="38"/>
      <c r="C1258" s="312"/>
      <c r="D1258" s="377"/>
      <c r="E1258" s="378"/>
      <c r="F1258" s="379"/>
      <c r="G1258" s="315"/>
      <c r="H1258" s="380"/>
      <c r="I1258" s="914"/>
    </row>
    <row r="1259" spans="1:9" s="324" customFormat="1" ht="12.75" x14ac:dyDescent="0.2">
      <c r="A1259" s="376"/>
      <c r="B1259" s="38"/>
      <c r="C1259" s="312"/>
      <c r="D1259" s="377"/>
      <c r="E1259" s="378"/>
      <c r="F1259" s="379"/>
      <c r="G1259" s="315"/>
      <c r="H1259" s="380"/>
      <c r="I1259" s="914"/>
    </row>
    <row r="1260" spans="1:9" s="324" customFormat="1" ht="12.75" x14ac:dyDescent="0.2">
      <c r="A1260" s="376"/>
      <c r="B1260" s="38"/>
      <c r="C1260" s="312"/>
      <c r="D1260" s="377"/>
      <c r="E1260" s="378"/>
      <c r="F1260" s="379"/>
      <c r="G1260" s="315"/>
      <c r="H1260" s="380"/>
      <c r="I1260" s="914"/>
    </row>
    <row r="1261" spans="1:9" s="324" customFormat="1" ht="12.75" x14ac:dyDescent="0.2">
      <c r="A1261" s="376"/>
      <c r="B1261" s="38"/>
      <c r="C1261" s="312"/>
      <c r="D1261" s="377"/>
      <c r="E1261" s="378"/>
      <c r="F1261" s="379"/>
      <c r="G1261" s="315"/>
      <c r="H1261" s="380"/>
      <c r="I1261" s="914"/>
    </row>
    <row r="1262" spans="1:9" s="324" customFormat="1" ht="12.75" x14ac:dyDescent="0.2">
      <c r="A1262" s="376"/>
      <c r="B1262" s="38"/>
      <c r="C1262" s="312"/>
      <c r="D1262" s="377"/>
      <c r="E1262" s="378"/>
      <c r="F1262" s="379"/>
      <c r="G1262" s="315"/>
      <c r="H1262" s="380"/>
      <c r="I1262" s="914"/>
    </row>
    <row r="1263" spans="1:9" s="324" customFormat="1" ht="12.75" x14ac:dyDescent="0.2">
      <c r="A1263" s="376"/>
      <c r="B1263" s="38"/>
      <c r="C1263" s="312"/>
      <c r="D1263" s="377"/>
      <c r="E1263" s="378"/>
      <c r="F1263" s="379"/>
      <c r="G1263" s="315"/>
      <c r="H1263" s="380"/>
      <c r="I1263" s="914"/>
    </row>
    <row r="1264" spans="1:9" s="324" customFormat="1" ht="12.75" x14ac:dyDescent="0.2">
      <c r="A1264" s="376"/>
      <c r="B1264" s="38"/>
      <c r="C1264" s="312"/>
      <c r="D1264" s="377"/>
      <c r="E1264" s="378"/>
      <c r="F1264" s="379"/>
      <c r="G1264" s="315"/>
      <c r="H1264" s="380"/>
      <c r="I1264" s="914"/>
    </row>
    <row r="1265" spans="1:9" s="324" customFormat="1" ht="12.75" x14ac:dyDescent="0.2">
      <c r="A1265" s="376"/>
      <c r="B1265" s="38"/>
      <c r="C1265" s="312"/>
      <c r="D1265" s="377"/>
      <c r="E1265" s="378"/>
      <c r="F1265" s="379"/>
      <c r="G1265" s="315"/>
      <c r="H1265" s="380"/>
      <c r="I1265" s="914"/>
    </row>
    <row r="1266" spans="1:9" s="324" customFormat="1" ht="12.75" x14ac:dyDescent="0.2">
      <c r="A1266" s="376"/>
      <c r="B1266" s="38"/>
      <c r="C1266" s="312"/>
      <c r="D1266" s="377"/>
      <c r="E1266" s="378"/>
      <c r="F1266" s="379"/>
      <c r="G1266" s="315"/>
      <c r="H1266" s="380"/>
      <c r="I1266" s="914"/>
    </row>
    <row r="1267" spans="1:9" s="324" customFormat="1" ht="12.75" x14ac:dyDescent="0.2">
      <c r="A1267" s="376"/>
      <c r="B1267" s="38"/>
      <c r="C1267" s="312"/>
      <c r="D1267" s="377"/>
      <c r="E1267" s="378"/>
      <c r="F1267" s="379"/>
      <c r="G1267" s="315"/>
      <c r="H1267" s="380"/>
      <c r="I1267" s="914"/>
    </row>
    <row r="1268" spans="1:9" s="324" customFormat="1" ht="12.75" x14ac:dyDescent="0.2">
      <c r="A1268" s="376"/>
      <c r="B1268" s="38"/>
      <c r="C1268" s="312"/>
      <c r="D1268" s="377"/>
      <c r="E1268" s="378"/>
      <c r="F1268" s="379"/>
      <c r="G1268" s="315"/>
      <c r="H1268" s="380"/>
      <c r="I1268" s="914"/>
    </row>
    <row r="1269" spans="1:9" s="324" customFormat="1" ht="12.75" x14ac:dyDescent="0.2">
      <c r="A1269" s="376"/>
      <c r="B1269" s="38"/>
      <c r="C1269" s="312"/>
      <c r="D1269" s="377"/>
      <c r="E1269" s="378"/>
      <c r="F1269" s="379"/>
      <c r="G1269" s="315"/>
      <c r="H1269" s="380"/>
      <c r="I1269" s="914"/>
    </row>
    <row r="1270" spans="1:9" s="324" customFormat="1" ht="12.75" x14ac:dyDescent="0.2">
      <c r="A1270" s="376"/>
      <c r="B1270" s="38"/>
      <c r="C1270" s="312"/>
      <c r="D1270" s="377"/>
      <c r="E1270" s="378"/>
      <c r="F1270" s="379"/>
      <c r="G1270" s="315"/>
      <c r="H1270" s="380"/>
      <c r="I1270" s="914"/>
    </row>
    <row r="1271" spans="1:9" s="324" customFormat="1" ht="12.75" x14ac:dyDescent="0.2">
      <c r="A1271" s="376"/>
      <c r="B1271" s="38"/>
      <c r="C1271" s="312"/>
      <c r="D1271" s="377"/>
      <c r="E1271" s="378"/>
      <c r="F1271" s="379"/>
      <c r="G1271" s="315"/>
      <c r="H1271" s="380"/>
      <c r="I1271" s="914"/>
    </row>
    <row r="1272" spans="1:9" s="324" customFormat="1" ht="12.75" x14ac:dyDescent="0.2">
      <c r="A1272" s="376"/>
      <c r="B1272" s="38"/>
      <c r="C1272" s="312"/>
      <c r="D1272" s="377"/>
      <c r="E1272" s="378"/>
      <c r="F1272" s="379"/>
      <c r="G1272" s="315"/>
      <c r="H1272" s="380"/>
      <c r="I1272" s="914"/>
    </row>
    <row r="1273" spans="1:9" s="324" customFormat="1" ht="12.75" x14ac:dyDescent="0.2">
      <c r="A1273" s="376"/>
      <c r="B1273" s="38"/>
      <c r="C1273" s="312"/>
      <c r="D1273" s="377"/>
      <c r="E1273" s="378"/>
      <c r="F1273" s="379"/>
      <c r="G1273" s="315"/>
      <c r="H1273" s="380"/>
      <c r="I1273" s="914"/>
    </row>
    <row r="1274" spans="1:9" s="324" customFormat="1" ht="12.75" x14ac:dyDescent="0.2">
      <c r="A1274" s="376"/>
      <c r="B1274" s="38"/>
      <c r="C1274" s="312"/>
      <c r="D1274" s="377"/>
      <c r="E1274" s="378"/>
      <c r="F1274" s="379"/>
      <c r="G1274" s="315"/>
      <c r="H1274" s="380"/>
      <c r="I1274" s="914"/>
    </row>
    <row r="1275" spans="1:9" s="324" customFormat="1" ht="12.75" x14ac:dyDescent="0.2">
      <c r="A1275" s="376"/>
      <c r="B1275" s="38"/>
      <c r="C1275" s="312"/>
      <c r="D1275" s="377"/>
      <c r="E1275" s="378"/>
      <c r="F1275" s="379"/>
      <c r="G1275" s="315"/>
      <c r="H1275" s="380"/>
      <c r="I1275" s="914"/>
    </row>
    <row r="1276" spans="1:9" s="324" customFormat="1" ht="12.75" x14ac:dyDescent="0.2">
      <c r="A1276" s="376"/>
      <c r="B1276" s="38"/>
      <c r="C1276" s="312"/>
      <c r="D1276" s="377"/>
      <c r="E1276" s="378"/>
      <c r="F1276" s="379"/>
      <c r="G1276" s="315"/>
      <c r="H1276" s="380"/>
      <c r="I1276" s="914"/>
    </row>
    <row r="1277" spans="1:9" s="324" customFormat="1" ht="12.75" x14ac:dyDescent="0.2">
      <c r="A1277" s="376"/>
      <c r="B1277" s="38"/>
      <c r="C1277" s="312"/>
      <c r="D1277" s="377"/>
      <c r="E1277" s="378"/>
      <c r="F1277" s="379"/>
      <c r="G1277" s="315"/>
      <c r="H1277" s="380"/>
      <c r="I1277" s="914"/>
    </row>
    <row r="1278" spans="1:9" s="324" customFormat="1" ht="12.75" x14ac:dyDescent="0.2">
      <c r="A1278" s="376"/>
      <c r="B1278" s="38"/>
      <c r="C1278" s="312"/>
      <c r="D1278" s="377"/>
      <c r="E1278" s="378"/>
      <c r="F1278" s="379"/>
      <c r="G1278" s="315"/>
      <c r="H1278" s="380"/>
      <c r="I1278" s="914"/>
    </row>
    <row r="1279" spans="1:9" s="324" customFormat="1" ht="12.75" x14ac:dyDescent="0.2">
      <c r="A1279" s="376"/>
      <c r="B1279" s="38"/>
      <c r="C1279" s="312"/>
      <c r="D1279" s="377"/>
      <c r="E1279" s="378"/>
      <c r="F1279" s="379"/>
      <c r="G1279" s="315"/>
      <c r="H1279" s="380"/>
      <c r="I1279" s="914"/>
    </row>
    <row r="1280" spans="1:9" s="324" customFormat="1" ht="12.75" x14ac:dyDescent="0.2">
      <c r="A1280" s="376"/>
      <c r="B1280" s="38"/>
      <c r="C1280" s="312"/>
      <c r="D1280" s="377"/>
      <c r="E1280" s="378"/>
      <c r="F1280" s="379"/>
      <c r="G1280" s="315"/>
      <c r="H1280" s="380"/>
      <c r="I1280" s="914"/>
    </row>
    <row r="1281" spans="1:9" s="324" customFormat="1" ht="12.75" x14ac:dyDescent="0.2">
      <c r="A1281" s="376"/>
      <c r="B1281" s="38"/>
      <c r="C1281" s="312"/>
      <c r="D1281" s="377"/>
      <c r="E1281" s="378"/>
      <c r="F1281" s="379"/>
      <c r="G1281" s="315"/>
      <c r="H1281" s="380"/>
      <c r="I1281" s="914"/>
    </row>
    <row r="1282" spans="1:9" s="324" customFormat="1" ht="12.75" x14ac:dyDescent="0.2">
      <c r="A1282" s="376"/>
      <c r="B1282" s="38"/>
      <c r="C1282" s="312"/>
      <c r="D1282" s="377"/>
      <c r="E1282" s="378"/>
      <c r="F1282" s="379"/>
      <c r="G1282" s="315"/>
      <c r="H1282" s="380"/>
      <c r="I1282" s="914"/>
    </row>
    <row r="1283" spans="1:9" s="324" customFormat="1" ht="12.75" x14ac:dyDescent="0.2">
      <c r="A1283" s="376"/>
      <c r="B1283" s="38"/>
      <c r="C1283" s="312"/>
      <c r="D1283" s="377"/>
      <c r="E1283" s="378"/>
      <c r="F1283" s="379"/>
      <c r="G1283" s="315"/>
      <c r="H1283" s="380"/>
      <c r="I1283" s="914"/>
    </row>
    <row r="1284" spans="1:9" s="324" customFormat="1" ht="12.75" x14ac:dyDescent="0.2">
      <c r="A1284" s="376"/>
      <c r="B1284" s="38"/>
      <c r="C1284" s="312"/>
      <c r="D1284" s="377"/>
      <c r="E1284" s="378"/>
      <c r="F1284" s="379"/>
      <c r="G1284" s="315"/>
      <c r="H1284" s="380"/>
      <c r="I1284" s="914"/>
    </row>
    <row r="1285" spans="1:9" s="324" customFormat="1" ht="12.75" x14ac:dyDescent="0.2">
      <c r="A1285" s="376"/>
      <c r="B1285" s="38"/>
      <c r="C1285" s="312"/>
      <c r="D1285" s="377"/>
      <c r="E1285" s="378"/>
      <c r="F1285" s="379"/>
      <c r="G1285" s="315"/>
      <c r="H1285" s="380"/>
      <c r="I1285" s="914"/>
    </row>
    <row r="1286" spans="1:9" s="324" customFormat="1" ht="12.75" x14ac:dyDescent="0.2">
      <c r="A1286" s="376"/>
      <c r="B1286" s="38"/>
      <c r="C1286" s="312"/>
      <c r="D1286" s="377"/>
      <c r="E1286" s="378"/>
      <c r="F1286" s="379"/>
      <c r="G1286" s="315"/>
      <c r="H1286" s="380"/>
      <c r="I1286" s="914"/>
    </row>
    <row r="1287" spans="1:9" s="324" customFormat="1" ht="12.75" x14ac:dyDescent="0.2">
      <c r="A1287" s="376"/>
      <c r="B1287" s="38"/>
      <c r="C1287" s="312"/>
      <c r="D1287" s="377"/>
      <c r="E1287" s="378"/>
      <c r="F1287" s="379"/>
      <c r="G1287" s="315"/>
      <c r="H1287" s="380"/>
      <c r="I1287" s="914"/>
    </row>
    <row r="1288" spans="1:9" s="324" customFormat="1" ht="12.75" x14ac:dyDescent="0.2">
      <c r="A1288" s="376"/>
      <c r="B1288" s="38"/>
      <c r="C1288" s="312"/>
      <c r="D1288" s="377"/>
      <c r="E1288" s="378"/>
      <c r="F1288" s="379"/>
      <c r="G1288" s="315"/>
      <c r="H1288" s="380"/>
      <c r="I1288" s="914"/>
    </row>
    <row r="1289" spans="1:9" s="324" customFormat="1" ht="12.75" x14ac:dyDescent="0.2">
      <c r="A1289" s="376"/>
      <c r="B1289" s="38"/>
      <c r="C1289" s="312"/>
      <c r="D1289" s="377"/>
      <c r="E1289" s="378"/>
      <c r="F1289" s="379"/>
      <c r="G1289" s="315"/>
      <c r="H1289" s="380"/>
      <c r="I1289" s="914"/>
    </row>
    <row r="1290" spans="1:9" s="324" customFormat="1" ht="12.75" x14ac:dyDescent="0.2">
      <c r="A1290" s="376"/>
      <c r="B1290" s="38"/>
      <c r="C1290" s="312"/>
      <c r="D1290" s="377"/>
      <c r="E1290" s="378"/>
      <c r="F1290" s="379"/>
      <c r="G1290" s="315"/>
      <c r="H1290" s="380"/>
      <c r="I1290" s="914"/>
    </row>
    <row r="1291" spans="1:9" s="324" customFormat="1" ht="12.75" x14ac:dyDescent="0.2">
      <c r="A1291" s="376"/>
      <c r="B1291" s="38"/>
      <c r="C1291" s="312"/>
      <c r="D1291" s="377"/>
      <c r="E1291" s="378"/>
      <c r="F1291" s="379"/>
      <c r="G1291" s="315"/>
      <c r="H1291" s="380"/>
      <c r="I1291" s="914"/>
    </row>
    <row r="1292" spans="1:9" s="324" customFormat="1" ht="12.75" x14ac:dyDescent="0.2">
      <c r="A1292" s="376"/>
      <c r="B1292" s="38"/>
      <c r="C1292" s="312"/>
      <c r="D1292" s="377"/>
      <c r="E1292" s="378"/>
      <c r="F1292" s="379"/>
      <c r="G1292" s="315"/>
      <c r="H1292" s="380"/>
      <c r="I1292" s="914"/>
    </row>
    <row r="1293" spans="1:9" s="324" customFormat="1" ht="12.75" x14ac:dyDescent="0.2">
      <c r="A1293" s="376"/>
      <c r="B1293" s="38"/>
      <c r="C1293" s="312"/>
      <c r="D1293" s="377"/>
      <c r="E1293" s="378"/>
      <c r="F1293" s="379"/>
      <c r="G1293" s="315"/>
      <c r="H1293" s="380"/>
      <c r="I1293" s="914"/>
    </row>
    <row r="1294" spans="1:9" s="324" customFormat="1" ht="12.75" x14ac:dyDescent="0.2">
      <c r="A1294" s="376"/>
      <c r="B1294" s="38"/>
      <c r="C1294" s="312"/>
      <c r="D1294" s="377"/>
      <c r="E1294" s="378"/>
      <c r="F1294" s="379"/>
      <c r="G1294" s="315"/>
      <c r="H1294" s="380"/>
      <c r="I1294" s="914"/>
    </row>
    <row r="1295" spans="1:9" s="324" customFormat="1" ht="12.75" x14ac:dyDescent="0.2">
      <c r="A1295" s="376"/>
      <c r="B1295" s="38"/>
      <c r="C1295" s="312"/>
      <c r="D1295" s="377"/>
      <c r="E1295" s="378"/>
      <c r="F1295" s="379"/>
      <c r="G1295" s="315"/>
      <c r="H1295" s="380"/>
      <c r="I1295" s="914"/>
    </row>
    <row r="1296" spans="1:9" s="324" customFormat="1" ht="12.75" x14ac:dyDescent="0.2">
      <c r="A1296" s="376"/>
      <c r="B1296" s="38"/>
      <c r="C1296" s="312"/>
      <c r="D1296" s="377"/>
      <c r="E1296" s="378"/>
      <c r="F1296" s="379"/>
      <c r="G1296" s="315"/>
      <c r="H1296" s="380"/>
      <c r="I1296" s="914"/>
    </row>
    <row r="1297" spans="1:9" s="324" customFormat="1" ht="12.75" x14ac:dyDescent="0.2">
      <c r="A1297" s="376"/>
      <c r="B1297" s="38"/>
      <c r="C1297" s="312"/>
      <c r="D1297" s="377"/>
      <c r="E1297" s="378"/>
      <c r="F1297" s="379"/>
      <c r="G1297" s="315"/>
      <c r="H1297" s="380"/>
      <c r="I1297" s="914"/>
    </row>
    <row r="1298" spans="1:9" s="324" customFormat="1" ht="12.75" x14ac:dyDescent="0.2">
      <c r="A1298" s="376"/>
      <c r="B1298" s="38"/>
      <c r="C1298" s="312"/>
      <c r="D1298" s="377"/>
      <c r="E1298" s="378"/>
      <c r="F1298" s="379"/>
      <c r="G1298" s="315"/>
      <c r="H1298" s="380"/>
      <c r="I1298" s="914"/>
    </row>
    <row r="1299" spans="1:9" s="324" customFormat="1" ht="12.75" x14ac:dyDescent="0.2">
      <c r="A1299" s="376"/>
      <c r="B1299" s="38"/>
      <c r="C1299" s="312"/>
      <c r="D1299" s="377"/>
      <c r="E1299" s="378"/>
      <c r="F1299" s="379"/>
      <c r="G1299" s="315"/>
      <c r="H1299" s="380"/>
      <c r="I1299" s="914"/>
    </row>
    <row r="1300" spans="1:9" s="324" customFormat="1" ht="12.75" x14ac:dyDescent="0.2">
      <c r="A1300" s="376"/>
      <c r="B1300" s="38"/>
      <c r="C1300" s="312"/>
      <c r="D1300" s="377"/>
      <c r="E1300" s="378"/>
      <c r="F1300" s="379"/>
      <c r="G1300" s="315"/>
      <c r="H1300" s="380"/>
      <c r="I1300" s="914"/>
    </row>
    <row r="1301" spans="1:9" s="324" customFormat="1" ht="12.75" x14ac:dyDescent="0.2">
      <c r="A1301" s="376"/>
      <c r="B1301" s="38"/>
      <c r="C1301" s="312"/>
      <c r="D1301" s="377"/>
      <c r="E1301" s="378"/>
      <c r="F1301" s="379"/>
      <c r="G1301" s="315"/>
      <c r="H1301" s="380"/>
      <c r="I1301" s="914"/>
    </row>
    <row r="1302" spans="1:9" s="324" customFormat="1" ht="12.75" x14ac:dyDescent="0.2">
      <c r="A1302" s="376"/>
      <c r="B1302" s="38"/>
      <c r="C1302" s="312"/>
      <c r="D1302" s="377"/>
      <c r="E1302" s="378"/>
      <c r="F1302" s="379"/>
      <c r="G1302" s="315"/>
      <c r="H1302" s="380"/>
      <c r="I1302" s="914"/>
    </row>
    <row r="1303" spans="1:9" s="324" customFormat="1" ht="12.75" x14ac:dyDescent="0.2">
      <c r="A1303" s="376"/>
      <c r="B1303" s="38"/>
      <c r="C1303" s="312"/>
      <c r="D1303" s="377"/>
      <c r="E1303" s="378"/>
      <c r="F1303" s="379"/>
      <c r="G1303" s="315"/>
      <c r="H1303" s="380"/>
      <c r="I1303" s="914"/>
    </row>
    <row r="1304" spans="1:9" s="324" customFormat="1" ht="12.75" x14ac:dyDescent="0.2">
      <c r="A1304" s="376"/>
      <c r="B1304" s="38"/>
      <c r="C1304" s="312"/>
      <c r="D1304" s="377"/>
      <c r="E1304" s="378"/>
      <c r="F1304" s="379"/>
      <c r="G1304" s="315"/>
      <c r="H1304" s="380"/>
      <c r="I1304" s="914"/>
    </row>
    <row r="1305" spans="1:9" s="324" customFormat="1" ht="12.75" x14ac:dyDescent="0.2">
      <c r="A1305" s="376"/>
      <c r="B1305" s="38"/>
      <c r="C1305" s="312"/>
      <c r="D1305" s="377"/>
      <c r="E1305" s="378"/>
      <c r="F1305" s="379"/>
      <c r="G1305" s="315"/>
      <c r="H1305" s="380"/>
      <c r="I1305" s="914"/>
    </row>
    <row r="1306" spans="1:9" s="324" customFormat="1" ht="12.75" x14ac:dyDescent="0.2">
      <c r="A1306" s="376"/>
      <c r="B1306" s="38"/>
      <c r="C1306" s="312"/>
      <c r="D1306" s="377"/>
      <c r="E1306" s="378"/>
      <c r="F1306" s="379"/>
      <c r="G1306" s="315"/>
      <c r="H1306" s="380"/>
      <c r="I1306" s="914"/>
    </row>
    <row r="1307" spans="1:9" s="324" customFormat="1" ht="12.75" x14ac:dyDescent="0.2">
      <c r="A1307" s="376"/>
      <c r="B1307" s="38"/>
      <c r="C1307" s="312"/>
      <c r="D1307" s="377"/>
      <c r="E1307" s="378"/>
      <c r="F1307" s="379"/>
      <c r="G1307" s="315"/>
      <c r="H1307" s="380"/>
      <c r="I1307" s="914"/>
    </row>
    <row r="1308" spans="1:9" s="324" customFormat="1" ht="12.75" x14ac:dyDescent="0.2">
      <c r="A1308" s="376"/>
      <c r="B1308" s="38"/>
      <c r="C1308" s="312"/>
      <c r="D1308" s="377"/>
      <c r="E1308" s="378"/>
      <c r="F1308" s="379"/>
      <c r="G1308" s="315"/>
      <c r="H1308" s="380"/>
      <c r="I1308" s="914"/>
    </row>
    <row r="1309" spans="1:9" s="324" customFormat="1" ht="12.75" x14ac:dyDescent="0.2">
      <c r="A1309" s="376"/>
      <c r="B1309" s="38"/>
      <c r="C1309" s="312"/>
      <c r="D1309" s="377"/>
      <c r="E1309" s="378"/>
      <c r="F1309" s="379"/>
      <c r="G1309" s="315"/>
      <c r="H1309" s="380"/>
      <c r="I1309" s="914"/>
    </row>
    <row r="1310" spans="1:9" s="324" customFormat="1" ht="12.75" x14ac:dyDescent="0.2">
      <c r="A1310" s="376"/>
      <c r="B1310" s="38"/>
      <c r="C1310" s="312"/>
      <c r="D1310" s="377"/>
      <c r="E1310" s="378"/>
      <c r="F1310" s="379"/>
      <c r="G1310" s="315"/>
      <c r="H1310" s="380"/>
      <c r="I1310" s="914"/>
    </row>
    <row r="1311" spans="1:9" s="324" customFormat="1" ht="12.75" x14ac:dyDescent="0.2">
      <c r="A1311" s="376"/>
      <c r="B1311" s="38"/>
      <c r="C1311" s="312"/>
      <c r="D1311" s="377"/>
      <c r="E1311" s="378"/>
      <c r="F1311" s="379"/>
      <c r="G1311" s="315"/>
      <c r="H1311" s="380"/>
      <c r="I1311" s="914"/>
    </row>
    <row r="1312" spans="1:9" s="324" customFormat="1" ht="12.75" x14ac:dyDescent="0.2">
      <c r="A1312" s="376"/>
      <c r="B1312" s="38"/>
      <c r="C1312" s="312"/>
      <c r="D1312" s="377"/>
      <c r="E1312" s="378"/>
      <c r="F1312" s="379"/>
      <c r="G1312" s="315"/>
      <c r="H1312" s="380"/>
      <c r="I1312" s="914"/>
    </row>
    <row r="1313" spans="1:9" s="324" customFormat="1" ht="12.75" x14ac:dyDescent="0.2">
      <c r="A1313" s="376"/>
      <c r="B1313" s="38"/>
      <c r="C1313" s="312"/>
      <c r="D1313" s="377"/>
      <c r="E1313" s="378"/>
      <c r="F1313" s="379"/>
      <c r="G1313" s="315"/>
      <c r="H1313" s="380"/>
      <c r="I1313" s="914"/>
    </row>
    <row r="1314" spans="1:9" s="324" customFormat="1" ht="12.75" x14ac:dyDescent="0.2">
      <c r="A1314" s="376"/>
      <c r="B1314" s="38"/>
      <c r="C1314" s="312"/>
      <c r="D1314" s="377"/>
      <c r="E1314" s="378"/>
      <c r="F1314" s="379"/>
      <c r="G1314" s="315"/>
      <c r="H1314" s="380"/>
      <c r="I1314" s="914"/>
    </row>
    <row r="1315" spans="1:9" s="324" customFormat="1" ht="12.75" x14ac:dyDescent="0.2">
      <c r="A1315" s="376"/>
      <c r="B1315" s="38"/>
      <c r="C1315" s="312"/>
      <c r="D1315" s="377"/>
      <c r="E1315" s="378"/>
      <c r="F1315" s="379"/>
      <c r="G1315" s="315"/>
      <c r="H1315" s="380"/>
      <c r="I1315" s="914"/>
    </row>
    <row r="1316" spans="1:9" s="324" customFormat="1" ht="12.75" x14ac:dyDescent="0.2">
      <c r="A1316" s="376"/>
      <c r="B1316" s="38"/>
      <c r="C1316" s="312"/>
      <c r="D1316" s="377"/>
      <c r="E1316" s="378"/>
      <c r="F1316" s="379"/>
      <c r="G1316" s="315"/>
      <c r="H1316" s="380"/>
      <c r="I1316" s="914"/>
    </row>
    <row r="1317" spans="1:9" s="324" customFormat="1" ht="12.75" x14ac:dyDescent="0.2">
      <c r="A1317" s="376"/>
      <c r="B1317" s="38"/>
      <c r="C1317" s="312"/>
      <c r="D1317" s="377"/>
      <c r="E1317" s="378"/>
      <c r="F1317" s="379"/>
      <c r="G1317" s="315"/>
      <c r="H1317" s="380"/>
      <c r="I1317" s="914"/>
    </row>
    <row r="1318" spans="1:9" s="324" customFormat="1" ht="12.75" x14ac:dyDescent="0.2">
      <c r="A1318" s="376"/>
      <c r="B1318" s="38"/>
      <c r="C1318" s="312"/>
      <c r="D1318" s="377"/>
      <c r="E1318" s="378"/>
      <c r="F1318" s="379"/>
      <c r="G1318" s="315"/>
      <c r="H1318" s="380"/>
      <c r="I1318" s="914"/>
    </row>
    <row r="1319" spans="1:9" s="324" customFormat="1" ht="12.75" x14ac:dyDescent="0.2">
      <c r="A1319" s="376"/>
      <c r="B1319" s="38"/>
      <c r="C1319" s="312"/>
      <c r="D1319" s="377"/>
      <c r="E1319" s="378"/>
      <c r="F1319" s="379"/>
      <c r="G1319" s="315"/>
      <c r="H1319" s="380"/>
      <c r="I1319" s="914"/>
    </row>
    <row r="1320" spans="1:9" s="324" customFormat="1" ht="12.75" x14ac:dyDescent="0.2">
      <c r="A1320" s="376"/>
      <c r="B1320" s="38"/>
      <c r="C1320" s="312"/>
      <c r="D1320" s="377"/>
      <c r="E1320" s="378"/>
      <c r="F1320" s="379"/>
      <c r="G1320" s="315"/>
      <c r="H1320" s="380"/>
      <c r="I1320" s="914"/>
    </row>
    <row r="1321" spans="1:9" s="324" customFormat="1" ht="12.75" x14ac:dyDescent="0.2">
      <c r="A1321" s="376"/>
      <c r="B1321" s="38"/>
      <c r="C1321" s="312"/>
      <c r="D1321" s="377"/>
      <c r="E1321" s="378"/>
      <c r="F1321" s="379"/>
      <c r="G1321" s="315"/>
      <c r="H1321" s="380"/>
      <c r="I1321" s="914"/>
    </row>
    <row r="1322" spans="1:9" s="324" customFormat="1" ht="12.75" x14ac:dyDescent="0.2">
      <c r="A1322" s="376"/>
      <c r="B1322" s="38"/>
      <c r="C1322" s="312"/>
      <c r="D1322" s="377"/>
      <c r="E1322" s="378"/>
      <c r="F1322" s="379"/>
      <c r="G1322" s="315"/>
      <c r="H1322" s="380"/>
      <c r="I1322" s="914"/>
    </row>
    <row r="1323" spans="1:9" s="324" customFormat="1" ht="12.75" x14ac:dyDescent="0.2">
      <c r="A1323" s="376"/>
      <c r="B1323" s="38"/>
      <c r="C1323" s="312"/>
      <c r="D1323" s="377"/>
      <c r="E1323" s="378"/>
      <c r="F1323" s="379"/>
      <c r="G1323" s="315"/>
      <c r="H1323" s="380"/>
      <c r="I1323" s="914"/>
    </row>
    <row r="1324" spans="1:9" s="324" customFormat="1" ht="12.75" x14ac:dyDescent="0.2">
      <c r="A1324" s="376"/>
      <c r="B1324" s="38"/>
      <c r="C1324" s="312"/>
      <c r="D1324" s="377"/>
      <c r="E1324" s="378"/>
      <c r="F1324" s="379"/>
      <c r="G1324" s="315"/>
      <c r="H1324" s="380"/>
      <c r="I1324" s="914"/>
    </row>
    <row r="1325" spans="1:9" s="324" customFormat="1" ht="12.75" x14ac:dyDescent="0.2">
      <c r="A1325" s="376"/>
      <c r="B1325" s="38"/>
      <c r="C1325" s="312"/>
      <c r="D1325" s="377"/>
      <c r="E1325" s="378"/>
      <c r="F1325" s="379"/>
      <c r="G1325" s="315"/>
      <c r="H1325" s="380"/>
      <c r="I1325" s="914"/>
    </row>
    <row r="1326" spans="1:9" s="324" customFormat="1" ht="12.75" x14ac:dyDescent="0.2">
      <c r="A1326" s="376"/>
      <c r="B1326" s="38"/>
      <c r="C1326" s="312"/>
      <c r="D1326" s="377"/>
      <c r="E1326" s="378"/>
      <c r="F1326" s="379"/>
      <c r="G1326" s="315"/>
      <c r="H1326" s="380"/>
      <c r="I1326" s="914"/>
    </row>
    <row r="1327" spans="1:9" s="324" customFormat="1" ht="12.75" x14ac:dyDescent="0.2">
      <c r="A1327" s="376"/>
      <c r="B1327" s="38"/>
      <c r="C1327" s="312"/>
      <c r="D1327" s="377"/>
      <c r="E1327" s="378"/>
      <c r="F1327" s="379"/>
      <c r="G1327" s="315"/>
      <c r="H1327" s="380"/>
      <c r="I1327" s="914"/>
    </row>
    <row r="1328" spans="1:9" s="324" customFormat="1" ht="12.75" x14ac:dyDescent="0.2">
      <c r="A1328" s="376"/>
      <c r="B1328" s="38"/>
      <c r="C1328" s="312"/>
      <c r="D1328" s="377"/>
      <c r="E1328" s="378"/>
      <c r="F1328" s="379"/>
      <c r="G1328" s="315"/>
      <c r="H1328" s="380"/>
      <c r="I1328" s="914"/>
    </row>
    <row r="1329" spans="1:9" s="324" customFormat="1" ht="12.75" x14ac:dyDescent="0.2">
      <c r="A1329" s="376"/>
      <c r="B1329" s="38"/>
      <c r="C1329" s="312"/>
      <c r="D1329" s="377"/>
      <c r="E1329" s="378"/>
      <c r="F1329" s="379"/>
      <c r="G1329" s="315"/>
      <c r="H1329" s="380"/>
      <c r="I1329" s="914"/>
    </row>
    <row r="1330" spans="1:9" s="324" customFormat="1" ht="12.75" x14ac:dyDescent="0.2">
      <c r="A1330" s="376"/>
      <c r="B1330" s="38"/>
      <c r="C1330" s="312"/>
      <c r="D1330" s="377"/>
      <c r="E1330" s="378"/>
      <c r="F1330" s="379"/>
      <c r="G1330" s="315"/>
      <c r="H1330" s="380"/>
      <c r="I1330" s="914"/>
    </row>
    <row r="1331" spans="1:9" s="324" customFormat="1" ht="12.75" x14ac:dyDescent="0.2">
      <c r="A1331" s="376"/>
      <c r="B1331" s="38"/>
      <c r="C1331" s="312"/>
      <c r="D1331" s="377"/>
      <c r="E1331" s="378"/>
      <c r="F1331" s="379"/>
      <c r="G1331" s="315"/>
      <c r="H1331" s="380"/>
      <c r="I1331" s="914"/>
    </row>
    <row r="1332" spans="1:9" s="324" customFormat="1" ht="12.75" x14ac:dyDescent="0.2">
      <c r="A1332" s="376"/>
      <c r="B1332" s="38"/>
      <c r="C1332" s="312"/>
      <c r="D1332" s="377"/>
      <c r="E1332" s="378"/>
      <c r="F1332" s="379"/>
      <c r="G1332" s="315"/>
      <c r="H1332" s="380"/>
      <c r="I1332" s="914"/>
    </row>
    <row r="1333" spans="1:9" s="324" customFormat="1" ht="12.75" x14ac:dyDescent="0.2">
      <c r="A1333" s="376"/>
      <c r="B1333" s="38"/>
      <c r="C1333" s="312"/>
      <c r="D1333" s="377"/>
      <c r="E1333" s="378"/>
      <c r="F1333" s="379"/>
      <c r="G1333" s="315"/>
      <c r="H1333" s="380"/>
      <c r="I1333" s="914"/>
    </row>
    <row r="1334" spans="1:9" s="324" customFormat="1" ht="12.75" x14ac:dyDescent="0.2">
      <c r="A1334" s="376"/>
      <c r="B1334" s="38"/>
      <c r="C1334" s="312"/>
      <c r="D1334" s="377"/>
      <c r="E1334" s="378"/>
      <c r="F1334" s="379"/>
      <c r="G1334" s="315"/>
      <c r="H1334" s="380"/>
      <c r="I1334" s="914"/>
    </row>
    <row r="1335" spans="1:9" s="324" customFormat="1" ht="12.75" x14ac:dyDescent="0.2">
      <c r="A1335" s="376"/>
      <c r="B1335" s="38"/>
      <c r="C1335" s="312"/>
      <c r="D1335" s="377"/>
      <c r="E1335" s="378"/>
      <c r="F1335" s="379"/>
      <c r="G1335" s="315"/>
      <c r="H1335" s="380"/>
      <c r="I1335" s="914"/>
    </row>
    <row r="1336" spans="1:9" s="324" customFormat="1" ht="12.75" x14ac:dyDescent="0.2">
      <c r="A1336" s="376"/>
      <c r="B1336" s="38"/>
      <c r="C1336" s="312"/>
      <c r="D1336" s="377"/>
      <c r="E1336" s="378"/>
      <c r="F1336" s="379"/>
      <c r="G1336" s="315"/>
      <c r="H1336" s="380"/>
      <c r="I1336" s="914"/>
    </row>
    <row r="1337" spans="1:9" s="324" customFormat="1" ht="12.75" x14ac:dyDescent="0.2">
      <c r="A1337" s="376"/>
      <c r="B1337" s="38"/>
      <c r="C1337" s="312"/>
      <c r="D1337" s="377"/>
      <c r="E1337" s="378"/>
      <c r="F1337" s="379"/>
      <c r="G1337" s="315"/>
      <c r="H1337" s="380"/>
      <c r="I1337" s="914"/>
    </row>
    <row r="1338" spans="1:9" s="324" customFormat="1" ht="12.75" x14ac:dyDescent="0.2">
      <c r="A1338" s="376"/>
      <c r="B1338" s="38"/>
      <c r="C1338" s="312"/>
      <c r="D1338" s="377"/>
      <c r="E1338" s="378"/>
      <c r="F1338" s="379"/>
      <c r="G1338" s="315"/>
      <c r="H1338" s="380"/>
      <c r="I1338" s="914"/>
    </row>
    <row r="1339" spans="1:9" s="324" customFormat="1" ht="12.75" x14ac:dyDescent="0.2">
      <c r="A1339" s="376"/>
      <c r="B1339" s="38"/>
      <c r="C1339" s="312"/>
      <c r="D1339" s="377"/>
      <c r="E1339" s="378"/>
      <c r="F1339" s="379"/>
      <c r="G1339" s="315"/>
      <c r="H1339" s="380"/>
      <c r="I1339" s="914"/>
    </row>
    <row r="1340" spans="1:9" s="324" customFormat="1" ht="12.75" x14ac:dyDescent="0.2">
      <c r="A1340" s="376"/>
      <c r="B1340" s="38"/>
      <c r="C1340" s="312"/>
      <c r="D1340" s="377"/>
      <c r="E1340" s="378"/>
      <c r="F1340" s="379"/>
      <c r="G1340" s="315"/>
      <c r="H1340" s="380"/>
      <c r="I1340" s="914"/>
    </row>
    <row r="1341" spans="1:9" s="324" customFormat="1" ht="12.75" x14ac:dyDescent="0.2">
      <c r="A1341" s="376"/>
      <c r="B1341" s="38"/>
      <c r="C1341" s="312"/>
      <c r="D1341" s="377"/>
      <c r="E1341" s="378"/>
      <c r="F1341" s="379"/>
      <c r="G1341" s="315"/>
      <c r="H1341" s="380"/>
      <c r="I1341" s="914"/>
    </row>
    <row r="1342" spans="1:9" s="324" customFormat="1" ht="12.75" x14ac:dyDescent="0.2">
      <c r="A1342" s="376"/>
      <c r="B1342" s="38"/>
      <c r="C1342" s="312"/>
      <c r="D1342" s="377"/>
      <c r="E1342" s="378"/>
      <c r="F1342" s="379"/>
      <c r="G1342" s="315"/>
      <c r="H1342" s="380"/>
      <c r="I1342" s="914"/>
    </row>
    <row r="1343" spans="1:9" s="324" customFormat="1" ht="12.75" x14ac:dyDescent="0.2">
      <c r="A1343" s="376"/>
      <c r="B1343" s="38"/>
      <c r="C1343" s="312"/>
      <c r="D1343" s="377"/>
      <c r="E1343" s="378"/>
      <c r="F1343" s="379"/>
      <c r="G1343" s="315"/>
      <c r="H1343" s="380"/>
      <c r="I1343" s="914"/>
    </row>
    <row r="1344" spans="1:9" s="324" customFormat="1" ht="12.75" x14ac:dyDescent="0.2">
      <c r="A1344" s="376"/>
      <c r="B1344" s="38"/>
      <c r="C1344" s="312"/>
      <c r="D1344" s="377"/>
      <c r="E1344" s="378"/>
      <c r="F1344" s="379"/>
      <c r="G1344" s="315"/>
      <c r="H1344" s="380"/>
      <c r="I1344" s="914"/>
    </row>
    <row r="1345" spans="1:9" s="324" customFormat="1" ht="12.75" x14ac:dyDescent="0.2">
      <c r="A1345" s="376"/>
      <c r="B1345" s="38"/>
      <c r="C1345" s="312"/>
      <c r="D1345" s="377"/>
      <c r="E1345" s="378"/>
      <c r="F1345" s="379"/>
      <c r="G1345" s="315"/>
      <c r="H1345" s="380"/>
      <c r="I1345" s="914"/>
    </row>
    <row r="1346" spans="1:9" s="324" customFormat="1" ht="12.75" x14ac:dyDescent="0.2">
      <c r="A1346" s="376"/>
      <c r="B1346" s="38"/>
      <c r="C1346" s="312"/>
      <c r="D1346" s="377"/>
      <c r="E1346" s="378"/>
      <c r="F1346" s="379"/>
      <c r="G1346" s="315"/>
      <c r="H1346" s="380"/>
      <c r="I1346" s="914"/>
    </row>
    <row r="1347" spans="1:9" s="324" customFormat="1" ht="12.75" x14ac:dyDescent="0.2">
      <c r="A1347" s="376"/>
      <c r="B1347" s="38"/>
      <c r="C1347" s="312"/>
      <c r="D1347" s="377"/>
      <c r="E1347" s="378"/>
      <c r="F1347" s="379"/>
      <c r="G1347" s="315"/>
      <c r="H1347" s="380"/>
      <c r="I1347" s="914"/>
    </row>
    <row r="1348" spans="1:9" s="324" customFormat="1" ht="12.75" x14ac:dyDescent="0.2">
      <c r="A1348" s="376"/>
      <c r="B1348" s="38"/>
      <c r="C1348" s="312"/>
      <c r="D1348" s="377"/>
      <c r="E1348" s="378"/>
      <c r="F1348" s="379"/>
      <c r="G1348" s="315"/>
      <c r="H1348" s="380"/>
      <c r="I1348" s="914"/>
    </row>
    <row r="1349" spans="1:9" s="324" customFormat="1" ht="12.75" x14ac:dyDescent="0.2">
      <c r="A1349" s="376"/>
      <c r="B1349" s="38"/>
      <c r="C1349" s="312"/>
      <c r="D1349" s="377"/>
      <c r="E1349" s="378"/>
      <c r="F1349" s="379"/>
      <c r="G1349" s="315"/>
      <c r="H1349" s="380"/>
      <c r="I1349" s="914"/>
    </row>
    <row r="1350" spans="1:9" s="324" customFormat="1" ht="12.75" x14ac:dyDescent="0.2">
      <c r="A1350" s="376"/>
      <c r="B1350" s="38"/>
      <c r="C1350" s="312"/>
      <c r="D1350" s="377"/>
      <c r="E1350" s="378"/>
      <c r="F1350" s="379"/>
      <c r="G1350" s="315"/>
      <c r="H1350" s="380"/>
      <c r="I1350" s="914"/>
    </row>
    <row r="1351" spans="1:9" s="324" customFormat="1" ht="12.75" x14ac:dyDescent="0.2">
      <c r="A1351" s="376"/>
      <c r="B1351" s="38"/>
      <c r="C1351" s="312"/>
      <c r="D1351" s="377"/>
      <c r="E1351" s="378"/>
      <c r="F1351" s="379"/>
      <c r="G1351" s="315"/>
      <c r="H1351" s="380"/>
      <c r="I1351" s="914"/>
    </row>
    <row r="1352" spans="1:9" s="324" customFormat="1" ht="12.75" x14ac:dyDescent="0.2">
      <c r="A1352" s="376"/>
      <c r="B1352" s="38"/>
      <c r="C1352" s="312"/>
      <c r="D1352" s="377"/>
      <c r="E1352" s="378"/>
      <c r="F1352" s="379"/>
      <c r="G1352" s="315"/>
      <c r="H1352" s="380"/>
      <c r="I1352" s="914"/>
    </row>
    <row r="1353" spans="1:9" s="324" customFormat="1" ht="12.75" x14ac:dyDescent="0.2">
      <c r="A1353" s="376"/>
      <c r="B1353" s="38"/>
      <c r="C1353" s="312"/>
      <c r="D1353" s="377"/>
      <c r="E1353" s="378"/>
      <c r="F1353" s="379"/>
      <c r="G1353" s="315"/>
      <c r="H1353" s="380"/>
      <c r="I1353" s="914"/>
    </row>
    <row r="1354" spans="1:9" s="324" customFormat="1" ht="12.75" x14ac:dyDescent="0.2">
      <c r="A1354" s="376"/>
      <c r="B1354" s="38"/>
      <c r="C1354" s="312"/>
      <c r="D1354" s="377"/>
      <c r="E1354" s="378"/>
      <c r="F1354" s="379"/>
      <c r="G1354" s="315"/>
      <c r="H1354" s="380"/>
      <c r="I1354" s="914"/>
    </row>
    <row r="1355" spans="1:9" s="324" customFormat="1" ht="12.75" x14ac:dyDescent="0.2">
      <c r="A1355" s="376"/>
      <c r="B1355" s="38"/>
      <c r="C1355" s="312"/>
      <c r="D1355" s="377"/>
      <c r="E1355" s="378"/>
      <c r="F1355" s="379"/>
      <c r="G1355" s="315"/>
      <c r="H1355" s="380"/>
      <c r="I1355" s="914"/>
    </row>
    <row r="1356" spans="1:9" s="324" customFormat="1" ht="12.75" x14ac:dyDescent="0.2">
      <c r="A1356" s="376"/>
      <c r="B1356" s="38"/>
      <c r="C1356" s="312"/>
      <c r="D1356" s="377"/>
      <c r="E1356" s="378"/>
      <c r="F1356" s="379"/>
      <c r="G1356" s="315"/>
      <c r="H1356" s="380"/>
      <c r="I1356" s="914"/>
    </row>
    <row r="1357" spans="1:9" s="324" customFormat="1" ht="12.75" x14ac:dyDescent="0.2">
      <c r="A1357" s="376"/>
      <c r="B1357" s="38"/>
      <c r="C1357" s="312"/>
      <c r="D1357" s="377"/>
      <c r="E1357" s="378"/>
      <c r="F1357" s="379"/>
      <c r="G1357" s="315"/>
      <c r="H1357" s="380"/>
      <c r="I1357" s="914"/>
    </row>
    <row r="1358" spans="1:9" s="324" customFormat="1" ht="12.75" x14ac:dyDescent="0.2">
      <c r="A1358" s="376"/>
      <c r="B1358" s="38"/>
      <c r="C1358" s="312"/>
      <c r="D1358" s="377"/>
      <c r="E1358" s="378"/>
      <c r="F1358" s="379"/>
      <c r="G1358" s="315"/>
      <c r="H1358" s="380"/>
      <c r="I1358" s="914"/>
    </row>
    <row r="1359" spans="1:9" s="324" customFormat="1" ht="12.75" x14ac:dyDescent="0.2">
      <c r="A1359" s="376"/>
      <c r="B1359" s="38"/>
      <c r="C1359" s="312"/>
      <c r="D1359" s="377"/>
      <c r="E1359" s="378"/>
      <c r="F1359" s="379"/>
      <c r="G1359" s="315"/>
      <c r="H1359" s="380"/>
      <c r="I1359" s="914"/>
    </row>
    <row r="1360" spans="1:9" s="324" customFormat="1" ht="12.75" x14ac:dyDescent="0.2">
      <c r="A1360" s="376"/>
      <c r="B1360" s="38"/>
      <c r="C1360" s="312"/>
      <c r="D1360" s="377"/>
      <c r="E1360" s="378"/>
      <c r="F1360" s="379"/>
      <c r="G1360" s="315"/>
      <c r="H1360" s="380"/>
      <c r="I1360" s="914"/>
    </row>
    <row r="1361" spans="1:9" s="324" customFormat="1" ht="12.75" x14ac:dyDescent="0.2">
      <c r="A1361" s="376"/>
      <c r="B1361" s="38"/>
      <c r="C1361" s="312"/>
      <c r="D1361" s="377"/>
      <c r="E1361" s="378"/>
      <c r="F1361" s="379"/>
      <c r="G1361" s="315"/>
      <c r="H1361" s="380"/>
      <c r="I1361" s="914"/>
    </row>
    <row r="1362" spans="1:9" s="324" customFormat="1" ht="12.75" x14ac:dyDescent="0.2">
      <c r="A1362" s="376"/>
      <c r="B1362" s="38"/>
      <c r="C1362" s="312"/>
      <c r="D1362" s="377"/>
      <c r="E1362" s="378"/>
      <c r="F1362" s="379"/>
      <c r="G1362" s="315"/>
      <c r="H1362" s="380"/>
      <c r="I1362" s="914"/>
    </row>
    <row r="1363" spans="1:9" s="324" customFormat="1" ht="12.75" x14ac:dyDescent="0.2">
      <c r="A1363" s="376"/>
      <c r="B1363" s="38"/>
      <c r="C1363" s="312"/>
      <c r="D1363" s="377"/>
      <c r="E1363" s="378"/>
      <c r="F1363" s="379"/>
      <c r="G1363" s="315"/>
      <c r="H1363" s="380"/>
      <c r="I1363" s="914"/>
    </row>
    <row r="1364" spans="1:9" s="324" customFormat="1" ht="12.75" x14ac:dyDescent="0.2">
      <c r="A1364" s="376"/>
      <c r="B1364" s="38"/>
      <c r="C1364" s="312"/>
      <c r="D1364" s="377"/>
      <c r="E1364" s="378"/>
      <c r="F1364" s="379"/>
      <c r="G1364" s="315"/>
      <c r="H1364" s="380"/>
      <c r="I1364" s="914"/>
    </row>
    <row r="1365" spans="1:9" s="324" customFormat="1" ht="12.75" x14ac:dyDescent="0.2">
      <c r="A1365" s="376"/>
      <c r="B1365" s="38"/>
      <c r="C1365" s="312"/>
      <c r="D1365" s="377"/>
      <c r="E1365" s="378"/>
      <c r="F1365" s="379"/>
      <c r="G1365" s="315"/>
      <c r="H1365" s="380"/>
      <c r="I1365" s="914"/>
    </row>
    <row r="1366" spans="1:9" s="324" customFormat="1" ht="12.75" x14ac:dyDescent="0.2">
      <c r="A1366" s="376"/>
      <c r="B1366" s="38"/>
      <c r="C1366" s="312"/>
      <c r="D1366" s="377"/>
      <c r="E1366" s="378"/>
      <c r="F1366" s="379"/>
      <c r="G1366" s="315"/>
      <c r="H1366" s="380"/>
      <c r="I1366" s="914"/>
    </row>
    <row r="1367" spans="1:9" s="324" customFormat="1" ht="12.75" x14ac:dyDescent="0.2">
      <c r="A1367" s="376"/>
      <c r="B1367" s="38"/>
      <c r="C1367" s="312"/>
      <c r="D1367" s="377"/>
      <c r="E1367" s="378"/>
      <c r="F1367" s="379"/>
      <c r="G1367" s="315"/>
      <c r="H1367" s="380"/>
      <c r="I1367" s="914"/>
    </row>
    <row r="1368" spans="1:9" s="324" customFormat="1" ht="12.75" x14ac:dyDescent="0.2">
      <c r="A1368" s="376"/>
      <c r="B1368" s="38"/>
      <c r="C1368" s="312"/>
      <c r="D1368" s="377"/>
      <c r="E1368" s="378"/>
      <c r="F1368" s="379"/>
      <c r="G1368" s="315"/>
      <c r="H1368" s="380"/>
      <c r="I1368" s="914"/>
    </row>
    <row r="1369" spans="1:9" s="324" customFormat="1" ht="12.75" x14ac:dyDescent="0.2">
      <c r="A1369" s="376"/>
      <c r="B1369" s="38"/>
      <c r="C1369" s="312"/>
      <c r="D1369" s="377"/>
      <c r="E1369" s="378"/>
      <c r="F1369" s="379"/>
      <c r="G1369" s="315"/>
      <c r="H1369" s="380"/>
      <c r="I1369" s="914"/>
    </row>
    <row r="1370" spans="1:9" s="324" customFormat="1" ht="12.75" x14ac:dyDescent="0.2">
      <c r="A1370" s="376"/>
      <c r="B1370" s="38"/>
      <c r="C1370" s="312"/>
      <c r="D1370" s="377"/>
      <c r="E1370" s="378"/>
      <c r="F1370" s="379"/>
      <c r="G1370" s="315"/>
      <c r="H1370" s="380"/>
      <c r="I1370" s="914"/>
    </row>
    <row r="1371" spans="1:9" s="324" customFormat="1" ht="12.75" x14ac:dyDescent="0.2">
      <c r="A1371" s="376"/>
      <c r="B1371" s="38"/>
      <c r="C1371" s="312"/>
      <c r="D1371" s="377"/>
      <c r="E1371" s="378"/>
      <c r="F1371" s="379"/>
      <c r="G1371" s="315"/>
      <c r="H1371" s="380"/>
      <c r="I1371" s="914"/>
    </row>
    <row r="1372" spans="1:9" s="324" customFormat="1" ht="12.75" x14ac:dyDescent="0.2">
      <c r="A1372" s="376"/>
      <c r="B1372" s="38"/>
      <c r="C1372" s="312"/>
      <c r="D1372" s="377"/>
      <c r="E1372" s="378"/>
      <c r="F1372" s="379"/>
      <c r="G1372" s="315"/>
      <c r="H1372" s="380"/>
      <c r="I1372" s="914"/>
    </row>
    <row r="1373" spans="1:9" s="324" customFormat="1" ht="12.75" x14ac:dyDescent="0.2">
      <c r="A1373" s="376"/>
      <c r="B1373" s="38"/>
      <c r="C1373" s="312"/>
      <c r="D1373" s="377"/>
      <c r="E1373" s="378"/>
      <c r="F1373" s="379"/>
      <c r="G1373" s="315"/>
      <c r="H1373" s="380"/>
      <c r="I1373" s="914"/>
    </row>
    <row r="1374" spans="1:9" s="324" customFormat="1" ht="12.75" x14ac:dyDescent="0.2">
      <c r="A1374" s="376"/>
      <c r="B1374" s="38"/>
      <c r="C1374" s="312"/>
      <c r="D1374" s="377"/>
      <c r="E1374" s="378"/>
      <c r="F1374" s="379"/>
      <c r="G1374" s="315"/>
      <c r="H1374" s="380"/>
      <c r="I1374" s="914"/>
    </row>
    <row r="1375" spans="1:9" s="324" customFormat="1" ht="12.75" x14ac:dyDescent="0.2">
      <c r="A1375" s="376"/>
      <c r="B1375" s="38"/>
      <c r="C1375" s="312"/>
      <c r="D1375" s="377"/>
      <c r="E1375" s="378"/>
      <c r="F1375" s="379"/>
      <c r="G1375" s="315"/>
      <c r="H1375" s="380"/>
      <c r="I1375" s="914"/>
    </row>
    <row r="1376" spans="1:9" s="324" customFormat="1" ht="12.75" x14ac:dyDescent="0.2">
      <c r="A1376" s="376"/>
      <c r="B1376" s="38"/>
      <c r="C1376" s="312"/>
      <c r="D1376" s="377"/>
      <c r="E1376" s="378"/>
      <c r="F1376" s="379"/>
      <c r="G1376" s="315"/>
      <c r="H1376" s="380"/>
      <c r="I1376" s="914"/>
    </row>
    <row r="1377" spans="1:9" s="324" customFormat="1" ht="12.75" x14ac:dyDescent="0.2">
      <c r="A1377" s="376"/>
      <c r="B1377" s="38"/>
      <c r="C1377" s="312"/>
      <c r="D1377" s="377"/>
      <c r="E1377" s="378"/>
      <c r="F1377" s="379"/>
      <c r="G1377" s="315"/>
      <c r="H1377" s="380"/>
      <c r="I1377" s="914"/>
    </row>
    <row r="1378" spans="1:9" s="324" customFormat="1" ht="12.75" x14ac:dyDescent="0.2">
      <c r="A1378" s="376"/>
      <c r="B1378" s="38"/>
      <c r="C1378" s="312"/>
      <c r="D1378" s="377"/>
      <c r="E1378" s="378"/>
      <c r="F1378" s="379"/>
      <c r="G1378" s="315"/>
      <c r="H1378" s="380"/>
      <c r="I1378" s="914"/>
    </row>
    <row r="1379" spans="1:9" s="324" customFormat="1" ht="12.75" x14ac:dyDescent="0.2">
      <c r="A1379" s="376"/>
      <c r="B1379" s="38"/>
      <c r="C1379" s="312"/>
      <c r="D1379" s="377"/>
      <c r="E1379" s="378"/>
      <c r="F1379" s="379"/>
      <c r="G1379" s="315"/>
      <c r="H1379" s="380"/>
      <c r="I1379" s="914"/>
    </row>
    <row r="1380" spans="1:9" s="324" customFormat="1" ht="12.75" x14ac:dyDescent="0.2">
      <c r="A1380" s="376"/>
      <c r="B1380" s="38"/>
      <c r="C1380" s="312"/>
      <c r="D1380" s="377"/>
      <c r="E1380" s="378"/>
      <c r="F1380" s="379"/>
      <c r="G1380" s="315"/>
      <c r="H1380" s="380"/>
      <c r="I1380" s="914"/>
    </row>
    <row r="1381" spans="1:9" s="324" customFormat="1" ht="12.75" x14ac:dyDescent="0.2">
      <c r="A1381" s="376"/>
      <c r="B1381" s="38"/>
      <c r="C1381" s="312"/>
      <c r="D1381" s="377"/>
      <c r="E1381" s="378"/>
      <c r="F1381" s="379"/>
      <c r="G1381" s="315"/>
      <c r="H1381" s="380"/>
      <c r="I1381" s="914"/>
    </row>
    <row r="1382" spans="1:9" s="324" customFormat="1" ht="12.75" x14ac:dyDescent="0.2">
      <c r="A1382" s="376"/>
      <c r="B1382" s="38"/>
      <c r="C1382" s="312"/>
      <c r="D1382" s="377"/>
      <c r="E1382" s="378"/>
      <c r="F1382" s="379"/>
      <c r="G1382" s="315"/>
      <c r="H1382" s="380"/>
      <c r="I1382" s="914"/>
    </row>
    <row r="1383" spans="1:9" s="324" customFormat="1" ht="12.75" x14ac:dyDescent="0.2">
      <c r="A1383" s="376"/>
      <c r="B1383" s="38"/>
      <c r="C1383" s="312"/>
      <c r="D1383" s="377"/>
      <c r="E1383" s="378"/>
      <c r="F1383" s="379"/>
      <c r="G1383" s="315"/>
      <c r="H1383" s="380"/>
      <c r="I1383" s="914"/>
    </row>
    <row r="1384" spans="1:9" s="324" customFormat="1" ht="12.75" x14ac:dyDescent="0.2">
      <c r="A1384" s="376"/>
      <c r="B1384" s="38"/>
      <c r="C1384" s="312"/>
      <c r="D1384" s="377"/>
      <c r="E1384" s="378"/>
      <c r="F1384" s="379"/>
      <c r="G1384" s="315"/>
      <c r="H1384" s="380"/>
      <c r="I1384" s="914"/>
    </row>
    <row r="1385" spans="1:9" s="324" customFormat="1" ht="12.75" x14ac:dyDescent="0.2">
      <c r="A1385" s="376"/>
      <c r="B1385" s="38"/>
      <c r="C1385" s="312"/>
      <c r="D1385" s="377"/>
      <c r="E1385" s="378"/>
      <c r="F1385" s="379"/>
      <c r="G1385" s="315"/>
      <c r="H1385" s="380"/>
      <c r="I1385" s="914"/>
    </row>
    <row r="1386" spans="1:9" s="324" customFormat="1" ht="12.75" x14ac:dyDescent="0.2">
      <c r="A1386" s="376"/>
      <c r="B1386" s="38"/>
      <c r="C1386" s="312"/>
      <c r="D1386" s="377"/>
      <c r="E1386" s="378"/>
      <c r="F1386" s="379"/>
      <c r="G1386" s="315"/>
      <c r="H1386" s="380"/>
      <c r="I1386" s="914"/>
    </row>
    <row r="1387" spans="1:9" s="324" customFormat="1" ht="12.75" x14ac:dyDescent="0.2">
      <c r="A1387" s="376"/>
      <c r="B1387" s="38"/>
      <c r="C1387" s="312"/>
      <c r="D1387" s="377"/>
      <c r="E1387" s="378"/>
      <c r="F1387" s="379"/>
      <c r="G1387" s="315"/>
      <c r="H1387" s="380"/>
      <c r="I1387" s="914"/>
    </row>
    <row r="1388" spans="1:9" s="324" customFormat="1" ht="12.75" x14ac:dyDescent="0.2">
      <c r="A1388" s="376"/>
      <c r="B1388" s="38"/>
      <c r="C1388" s="312"/>
      <c r="D1388" s="377"/>
      <c r="E1388" s="378"/>
      <c r="F1388" s="379"/>
      <c r="G1388" s="315"/>
      <c r="H1388" s="380"/>
      <c r="I1388" s="914"/>
    </row>
    <row r="1389" spans="1:9" s="324" customFormat="1" ht="12.75" x14ac:dyDescent="0.2">
      <c r="A1389" s="376"/>
      <c r="B1389" s="38"/>
      <c r="C1389" s="312"/>
      <c r="D1389" s="377"/>
      <c r="E1389" s="378"/>
      <c r="F1389" s="379"/>
      <c r="G1389" s="315"/>
      <c r="H1389" s="380"/>
      <c r="I1389" s="914"/>
    </row>
    <row r="1390" spans="1:9" s="324" customFormat="1" ht="12.75" x14ac:dyDescent="0.2">
      <c r="A1390" s="376"/>
      <c r="B1390" s="38"/>
      <c r="C1390" s="312"/>
      <c r="D1390" s="377"/>
      <c r="E1390" s="378"/>
      <c r="F1390" s="379"/>
      <c r="G1390" s="315"/>
      <c r="H1390" s="380"/>
      <c r="I1390" s="914"/>
    </row>
    <row r="1391" spans="1:9" s="324" customFormat="1" ht="12.75" x14ac:dyDescent="0.2">
      <c r="A1391" s="376"/>
      <c r="B1391" s="38"/>
      <c r="C1391" s="312"/>
      <c r="D1391" s="377"/>
      <c r="E1391" s="378"/>
      <c r="F1391" s="379"/>
      <c r="G1391" s="315"/>
      <c r="H1391" s="380"/>
      <c r="I1391" s="914"/>
    </row>
    <row r="1392" spans="1:9" s="324" customFormat="1" ht="12.75" x14ac:dyDescent="0.2">
      <c r="A1392" s="376"/>
      <c r="B1392" s="38"/>
      <c r="C1392" s="312"/>
      <c r="D1392" s="377"/>
      <c r="E1392" s="378"/>
      <c r="F1392" s="379"/>
      <c r="G1392" s="315"/>
      <c r="H1392" s="380"/>
      <c r="I1392" s="914"/>
    </row>
    <row r="1393" spans="1:9" s="324" customFormat="1" ht="12.75" x14ac:dyDescent="0.2">
      <c r="A1393" s="376"/>
      <c r="B1393" s="38"/>
      <c r="C1393" s="312"/>
      <c r="D1393" s="377"/>
      <c r="E1393" s="378"/>
      <c r="F1393" s="379"/>
      <c r="G1393" s="315"/>
      <c r="H1393" s="380"/>
      <c r="I1393" s="914"/>
    </row>
    <row r="1394" spans="1:9" s="324" customFormat="1" ht="12.75" x14ac:dyDescent="0.2">
      <c r="A1394" s="376"/>
      <c r="B1394" s="38"/>
      <c r="C1394" s="312"/>
      <c r="D1394" s="377"/>
      <c r="E1394" s="378"/>
      <c r="F1394" s="379"/>
      <c r="G1394" s="315"/>
      <c r="H1394" s="380"/>
      <c r="I1394" s="914"/>
    </row>
    <row r="1395" spans="1:9" s="324" customFormat="1" ht="12.75" x14ac:dyDescent="0.2">
      <c r="A1395" s="376"/>
      <c r="B1395" s="38"/>
      <c r="C1395" s="312"/>
      <c r="D1395" s="377"/>
      <c r="E1395" s="378"/>
      <c r="F1395" s="379"/>
      <c r="G1395" s="315"/>
      <c r="H1395" s="380"/>
      <c r="I1395" s="914"/>
    </row>
    <row r="1396" spans="1:9" s="324" customFormat="1" ht="12.75" x14ac:dyDescent="0.2">
      <c r="A1396" s="376"/>
      <c r="B1396" s="38"/>
      <c r="C1396" s="312"/>
      <c r="D1396" s="377"/>
      <c r="E1396" s="378"/>
      <c r="F1396" s="379"/>
      <c r="G1396" s="315"/>
      <c r="H1396" s="380"/>
      <c r="I1396" s="914"/>
    </row>
    <row r="1397" spans="1:9" s="324" customFormat="1" ht="12.75" x14ac:dyDescent="0.2">
      <c r="A1397" s="376"/>
      <c r="B1397" s="38"/>
      <c r="C1397" s="312"/>
      <c r="D1397" s="377"/>
      <c r="E1397" s="378"/>
      <c r="F1397" s="379"/>
      <c r="G1397" s="315"/>
      <c r="H1397" s="380"/>
      <c r="I1397" s="914"/>
    </row>
    <row r="1398" spans="1:9" s="324" customFormat="1" ht="12.75" x14ac:dyDescent="0.2">
      <c r="A1398" s="376"/>
      <c r="B1398" s="38"/>
      <c r="C1398" s="312"/>
      <c r="D1398" s="377"/>
      <c r="E1398" s="378"/>
      <c r="F1398" s="379"/>
      <c r="G1398" s="315"/>
      <c r="H1398" s="380"/>
      <c r="I1398" s="914"/>
    </row>
    <row r="1399" spans="1:9" s="324" customFormat="1" ht="12.75" x14ac:dyDescent="0.2">
      <c r="A1399" s="376"/>
      <c r="B1399" s="38"/>
      <c r="C1399" s="312"/>
      <c r="D1399" s="377"/>
      <c r="E1399" s="378"/>
      <c r="F1399" s="379"/>
      <c r="G1399" s="315"/>
      <c r="H1399" s="380"/>
      <c r="I1399" s="914"/>
    </row>
    <row r="1400" spans="1:9" s="324" customFormat="1" ht="12.75" x14ac:dyDescent="0.2">
      <c r="A1400" s="376"/>
      <c r="B1400" s="38"/>
      <c r="C1400" s="312"/>
      <c r="D1400" s="377"/>
      <c r="E1400" s="378"/>
      <c r="F1400" s="379"/>
      <c r="G1400" s="315"/>
      <c r="H1400" s="380"/>
      <c r="I1400" s="914"/>
    </row>
    <row r="1401" spans="1:9" s="324" customFormat="1" ht="12.75" x14ac:dyDescent="0.2">
      <c r="A1401" s="376"/>
      <c r="B1401" s="38"/>
      <c r="C1401" s="312"/>
      <c r="D1401" s="377"/>
      <c r="E1401" s="378"/>
      <c r="F1401" s="379"/>
      <c r="G1401" s="315"/>
      <c r="H1401" s="380"/>
      <c r="I1401" s="914"/>
    </row>
    <row r="1402" spans="1:9" s="324" customFormat="1" ht="12.75" x14ac:dyDescent="0.2">
      <c r="A1402" s="376"/>
      <c r="B1402" s="38"/>
      <c r="C1402" s="312"/>
      <c r="D1402" s="377"/>
      <c r="E1402" s="378"/>
      <c r="F1402" s="379"/>
      <c r="G1402" s="315"/>
      <c r="H1402" s="380"/>
      <c r="I1402" s="914"/>
    </row>
    <row r="1403" spans="1:9" s="324" customFormat="1" ht="12.75" x14ac:dyDescent="0.2">
      <c r="A1403" s="376"/>
      <c r="B1403" s="38"/>
      <c r="C1403" s="312"/>
      <c r="D1403" s="377"/>
      <c r="E1403" s="378"/>
      <c r="F1403" s="379"/>
      <c r="G1403" s="315"/>
      <c r="H1403" s="380"/>
      <c r="I1403" s="914"/>
    </row>
    <row r="1404" spans="1:9" s="324" customFormat="1" ht="12.75" x14ac:dyDescent="0.2">
      <c r="A1404" s="376"/>
      <c r="B1404" s="38"/>
      <c r="C1404" s="312"/>
      <c r="D1404" s="377"/>
      <c r="E1404" s="378"/>
      <c r="F1404" s="379"/>
      <c r="G1404" s="315"/>
      <c r="H1404" s="380"/>
      <c r="I1404" s="914"/>
    </row>
    <row r="1405" spans="1:9" s="324" customFormat="1" ht="12.75" x14ac:dyDescent="0.2">
      <c r="A1405" s="376"/>
      <c r="B1405" s="38"/>
      <c r="C1405" s="312"/>
      <c r="D1405" s="377"/>
      <c r="E1405" s="378"/>
      <c r="F1405" s="379"/>
      <c r="G1405" s="315"/>
      <c r="H1405" s="380"/>
      <c r="I1405" s="914"/>
    </row>
    <row r="1406" spans="1:9" s="324" customFormat="1" ht="12.75" x14ac:dyDescent="0.2">
      <c r="A1406" s="376"/>
      <c r="B1406" s="38"/>
      <c r="C1406" s="312"/>
      <c r="D1406" s="377"/>
      <c r="E1406" s="378"/>
      <c r="F1406" s="379"/>
      <c r="G1406" s="315"/>
      <c r="H1406" s="380"/>
      <c r="I1406" s="914"/>
    </row>
    <row r="1407" spans="1:9" s="324" customFormat="1" ht="12.75" x14ac:dyDescent="0.2">
      <c r="A1407" s="376"/>
      <c r="B1407" s="38"/>
      <c r="C1407" s="312"/>
      <c r="D1407" s="377"/>
      <c r="E1407" s="378"/>
      <c r="F1407" s="379"/>
      <c r="G1407" s="315"/>
      <c r="H1407" s="380"/>
      <c r="I1407" s="914"/>
    </row>
    <row r="1408" spans="1:9" s="324" customFormat="1" ht="12.75" x14ac:dyDescent="0.2">
      <c r="A1408" s="376"/>
      <c r="B1408" s="38"/>
      <c r="C1408" s="312"/>
      <c r="D1408" s="377"/>
      <c r="E1408" s="378"/>
      <c r="F1408" s="379"/>
      <c r="G1408" s="315"/>
      <c r="H1408" s="380"/>
      <c r="I1408" s="914"/>
    </row>
    <row r="1409" spans="1:9" s="324" customFormat="1" ht="12.75" x14ac:dyDescent="0.2">
      <c r="A1409" s="376"/>
      <c r="B1409" s="38"/>
      <c r="C1409" s="312"/>
      <c r="D1409" s="377"/>
      <c r="E1409" s="378"/>
      <c r="F1409" s="379"/>
      <c r="G1409" s="315"/>
      <c r="H1409" s="380"/>
      <c r="I1409" s="914"/>
    </row>
    <row r="1410" spans="1:9" s="324" customFormat="1" ht="12.75" x14ac:dyDescent="0.2">
      <c r="A1410" s="376"/>
      <c r="B1410" s="38"/>
      <c r="C1410" s="312"/>
      <c r="D1410" s="377"/>
      <c r="E1410" s="378"/>
      <c r="F1410" s="379"/>
      <c r="G1410" s="315"/>
      <c r="H1410" s="380"/>
      <c r="I1410" s="914"/>
    </row>
    <row r="1411" spans="1:9" s="324" customFormat="1" ht="12.75" x14ac:dyDescent="0.2">
      <c r="A1411" s="376"/>
      <c r="B1411" s="38"/>
      <c r="C1411" s="312"/>
      <c r="D1411" s="377"/>
      <c r="E1411" s="378"/>
      <c r="F1411" s="379"/>
      <c r="G1411" s="315"/>
      <c r="H1411" s="380"/>
      <c r="I1411" s="914"/>
    </row>
    <row r="1412" spans="1:9" s="324" customFormat="1" ht="12.75" x14ac:dyDescent="0.2">
      <c r="A1412" s="376"/>
      <c r="B1412" s="38"/>
      <c r="C1412" s="312"/>
      <c r="D1412" s="377"/>
      <c r="E1412" s="378"/>
      <c r="F1412" s="379"/>
      <c r="G1412" s="315"/>
      <c r="H1412" s="380"/>
      <c r="I1412" s="914"/>
    </row>
    <row r="1413" spans="1:9" s="324" customFormat="1" ht="12.75" x14ac:dyDescent="0.2">
      <c r="A1413" s="376"/>
      <c r="B1413" s="38"/>
      <c r="C1413" s="312"/>
      <c r="D1413" s="377"/>
      <c r="E1413" s="378"/>
      <c r="F1413" s="379"/>
      <c r="G1413" s="315"/>
      <c r="H1413" s="380"/>
      <c r="I1413" s="914"/>
    </row>
    <row r="1414" spans="1:9" s="324" customFormat="1" ht="12.75" x14ac:dyDescent="0.2">
      <c r="A1414" s="376"/>
      <c r="B1414" s="38"/>
      <c r="C1414" s="312"/>
      <c r="D1414" s="377"/>
      <c r="E1414" s="378"/>
      <c r="F1414" s="379"/>
      <c r="G1414" s="315"/>
      <c r="H1414" s="380"/>
      <c r="I1414" s="914"/>
    </row>
    <row r="1415" spans="1:9" s="324" customFormat="1" ht="12.75" x14ac:dyDescent="0.2">
      <c r="A1415" s="376"/>
      <c r="B1415" s="38"/>
      <c r="C1415" s="312"/>
      <c r="D1415" s="377"/>
      <c r="E1415" s="378"/>
      <c r="F1415" s="379"/>
      <c r="G1415" s="315"/>
      <c r="H1415" s="380"/>
      <c r="I1415" s="914"/>
    </row>
    <row r="1416" spans="1:9" s="324" customFormat="1" ht="12.75" x14ac:dyDescent="0.2">
      <c r="A1416" s="376"/>
      <c r="B1416" s="38"/>
      <c r="C1416" s="312"/>
      <c r="D1416" s="377"/>
      <c r="E1416" s="378"/>
      <c r="F1416" s="379"/>
      <c r="G1416" s="315"/>
      <c r="H1416" s="380"/>
      <c r="I1416" s="914"/>
    </row>
    <row r="1417" spans="1:9" s="324" customFormat="1" ht="12.75" x14ac:dyDescent="0.2">
      <c r="A1417" s="376"/>
      <c r="B1417" s="38"/>
      <c r="C1417" s="312"/>
      <c r="D1417" s="377"/>
      <c r="E1417" s="378"/>
      <c r="F1417" s="379"/>
      <c r="G1417" s="315"/>
      <c r="H1417" s="380"/>
      <c r="I1417" s="914"/>
    </row>
    <row r="1418" spans="1:9" s="324" customFormat="1" ht="12.75" x14ac:dyDescent="0.2">
      <c r="A1418" s="376"/>
      <c r="B1418" s="38"/>
      <c r="C1418" s="312"/>
      <c r="D1418" s="377"/>
      <c r="E1418" s="378"/>
      <c r="F1418" s="379"/>
      <c r="G1418" s="315"/>
      <c r="H1418" s="380"/>
      <c r="I1418" s="914"/>
    </row>
    <row r="1419" spans="1:9" s="324" customFormat="1" ht="12.75" x14ac:dyDescent="0.2">
      <c r="A1419" s="376"/>
      <c r="B1419" s="38"/>
      <c r="C1419" s="312"/>
      <c r="D1419" s="377"/>
      <c r="E1419" s="378"/>
      <c r="F1419" s="379"/>
      <c r="G1419" s="315"/>
      <c r="H1419" s="380"/>
      <c r="I1419" s="914"/>
    </row>
    <row r="1420" spans="1:9" s="324" customFormat="1" ht="12.75" x14ac:dyDescent="0.2">
      <c r="A1420" s="376"/>
      <c r="B1420" s="38"/>
      <c r="C1420" s="312"/>
      <c r="D1420" s="377"/>
      <c r="E1420" s="378"/>
      <c r="F1420" s="379"/>
      <c r="G1420" s="315"/>
      <c r="H1420" s="380"/>
      <c r="I1420" s="914"/>
    </row>
    <row r="1421" spans="1:9" s="324" customFormat="1" ht="12.75" x14ac:dyDescent="0.2">
      <c r="A1421" s="376"/>
      <c r="B1421" s="38"/>
      <c r="C1421" s="312"/>
      <c r="D1421" s="377"/>
      <c r="E1421" s="378"/>
      <c r="F1421" s="379"/>
      <c r="G1421" s="315"/>
      <c r="H1421" s="380"/>
      <c r="I1421" s="914"/>
    </row>
    <row r="1422" spans="1:9" s="324" customFormat="1" ht="12.75" x14ac:dyDescent="0.2">
      <c r="A1422" s="376"/>
      <c r="B1422" s="38"/>
      <c r="C1422" s="312"/>
      <c r="D1422" s="377"/>
      <c r="E1422" s="378"/>
      <c r="F1422" s="379"/>
      <c r="G1422" s="315"/>
      <c r="H1422" s="380"/>
      <c r="I1422" s="914"/>
    </row>
    <row r="1423" spans="1:9" s="324" customFormat="1" ht="12.75" x14ac:dyDescent="0.2">
      <c r="A1423" s="376"/>
      <c r="B1423" s="38"/>
      <c r="C1423" s="312"/>
      <c r="D1423" s="377"/>
      <c r="E1423" s="378"/>
      <c r="F1423" s="379"/>
      <c r="G1423" s="315"/>
      <c r="H1423" s="380"/>
      <c r="I1423" s="914"/>
    </row>
    <row r="1424" spans="1:9" s="324" customFormat="1" ht="12.75" x14ac:dyDescent="0.2">
      <c r="A1424" s="376"/>
      <c r="B1424" s="38"/>
      <c r="C1424" s="312"/>
      <c r="D1424" s="377"/>
      <c r="E1424" s="378"/>
      <c r="F1424" s="379"/>
      <c r="G1424" s="315"/>
      <c r="H1424" s="380"/>
      <c r="I1424" s="914"/>
    </row>
    <row r="1425" spans="1:9" s="324" customFormat="1" ht="12.75" x14ac:dyDescent="0.2">
      <c r="A1425" s="376"/>
      <c r="B1425" s="38"/>
      <c r="C1425" s="312"/>
      <c r="D1425" s="377"/>
      <c r="E1425" s="378"/>
      <c r="F1425" s="379"/>
      <c r="G1425" s="315"/>
      <c r="H1425" s="380"/>
      <c r="I1425" s="914"/>
    </row>
    <row r="1426" spans="1:9" s="324" customFormat="1" ht="12.75" x14ac:dyDescent="0.2">
      <c r="A1426" s="376"/>
      <c r="B1426" s="38"/>
      <c r="C1426" s="312"/>
      <c r="D1426" s="377"/>
      <c r="E1426" s="378"/>
      <c r="F1426" s="379"/>
      <c r="G1426" s="315"/>
      <c r="H1426" s="380"/>
      <c r="I1426" s="914"/>
    </row>
    <row r="1427" spans="1:9" s="324" customFormat="1" ht="12.75" x14ac:dyDescent="0.2">
      <c r="A1427" s="376"/>
      <c r="B1427" s="38"/>
      <c r="C1427" s="312"/>
      <c r="D1427" s="377"/>
      <c r="E1427" s="378"/>
      <c r="F1427" s="379"/>
      <c r="G1427" s="315"/>
      <c r="H1427" s="380"/>
      <c r="I1427" s="914"/>
    </row>
    <row r="1428" spans="1:9" s="324" customFormat="1" ht="12.75" x14ac:dyDescent="0.2">
      <c r="A1428" s="376"/>
      <c r="B1428" s="38"/>
      <c r="C1428" s="312"/>
      <c r="D1428" s="377"/>
      <c r="E1428" s="378"/>
      <c r="F1428" s="379"/>
      <c r="G1428" s="315"/>
      <c r="H1428" s="380"/>
      <c r="I1428" s="914"/>
    </row>
    <row r="1429" spans="1:9" s="324" customFormat="1" ht="12.75" x14ac:dyDescent="0.2">
      <c r="A1429" s="376"/>
      <c r="B1429" s="38"/>
      <c r="C1429" s="312"/>
      <c r="D1429" s="377"/>
      <c r="E1429" s="378"/>
      <c r="F1429" s="379"/>
      <c r="G1429" s="315"/>
      <c r="H1429" s="380"/>
      <c r="I1429" s="914"/>
    </row>
    <row r="1430" spans="1:9" s="324" customFormat="1" ht="12.75" x14ac:dyDescent="0.2">
      <c r="A1430" s="376"/>
      <c r="B1430" s="38"/>
      <c r="C1430" s="312"/>
      <c r="D1430" s="377"/>
      <c r="E1430" s="378"/>
      <c r="F1430" s="379"/>
      <c r="G1430" s="315"/>
      <c r="H1430" s="380"/>
      <c r="I1430" s="914"/>
    </row>
    <row r="1431" spans="1:9" s="324" customFormat="1" ht="12.75" x14ac:dyDescent="0.2">
      <c r="A1431" s="376"/>
      <c r="B1431" s="38"/>
      <c r="C1431" s="312"/>
      <c r="D1431" s="377"/>
      <c r="E1431" s="378"/>
      <c r="F1431" s="379"/>
      <c r="G1431" s="315"/>
      <c r="H1431" s="380"/>
      <c r="I1431" s="914"/>
    </row>
    <row r="1432" spans="1:9" s="324" customFormat="1" ht="12.75" x14ac:dyDescent="0.2">
      <c r="A1432" s="376"/>
      <c r="B1432" s="38"/>
      <c r="C1432" s="312"/>
      <c r="D1432" s="377"/>
      <c r="E1432" s="378"/>
      <c r="F1432" s="379"/>
      <c r="G1432" s="315"/>
      <c r="H1432" s="380"/>
      <c r="I1432" s="914"/>
    </row>
    <row r="1433" spans="1:9" s="324" customFormat="1" ht="12.75" x14ac:dyDescent="0.2">
      <c r="A1433" s="376"/>
      <c r="B1433" s="38"/>
      <c r="C1433" s="312"/>
      <c r="D1433" s="377"/>
      <c r="E1433" s="378"/>
      <c r="F1433" s="379"/>
      <c r="G1433" s="315"/>
      <c r="H1433" s="380"/>
      <c r="I1433" s="914"/>
    </row>
    <row r="1434" spans="1:9" s="324" customFormat="1" ht="12.75" x14ac:dyDescent="0.2">
      <c r="A1434" s="376"/>
      <c r="B1434" s="38"/>
      <c r="C1434" s="312"/>
      <c r="D1434" s="377"/>
      <c r="E1434" s="378"/>
      <c r="F1434" s="379"/>
      <c r="G1434" s="315"/>
      <c r="H1434" s="380"/>
      <c r="I1434" s="914"/>
    </row>
    <row r="1435" spans="1:9" s="324" customFormat="1" ht="12.75" x14ac:dyDescent="0.2">
      <c r="A1435" s="376"/>
      <c r="B1435" s="38"/>
      <c r="C1435" s="312"/>
      <c r="D1435" s="377"/>
      <c r="E1435" s="378"/>
      <c r="F1435" s="379"/>
      <c r="G1435" s="315"/>
      <c r="H1435" s="380"/>
      <c r="I1435" s="914"/>
    </row>
    <row r="1436" spans="1:9" s="324" customFormat="1" ht="12.75" x14ac:dyDescent="0.2">
      <c r="A1436" s="376"/>
      <c r="B1436" s="38"/>
      <c r="C1436" s="312"/>
      <c r="D1436" s="377"/>
      <c r="E1436" s="378"/>
      <c r="F1436" s="379"/>
      <c r="G1436" s="315"/>
      <c r="H1436" s="380"/>
      <c r="I1436" s="914"/>
    </row>
    <row r="1437" spans="1:9" s="324" customFormat="1" ht="12.75" x14ac:dyDescent="0.2">
      <c r="A1437" s="376"/>
      <c r="B1437" s="38"/>
      <c r="C1437" s="312"/>
      <c r="D1437" s="377"/>
      <c r="E1437" s="378"/>
      <c r="F1437" s="379"/>
      <c r="G1437" s="315"/>
      <c r="H1437" s="380"/>
      <c r="I1437" s="914"/>
    </row>
    <row r="1438" spans="1:9" s="324" customFormat="1" ht="12.75" x14ac:dyDescent="0.2">
      <c r="A1438" s="376"/>
      <c r="B1438" s="38"/>
      <c r="C1438" s="312"/>
      <c r="D1438" s="377"/>
      <c r="E1438" s="378"/>
      <c r="F1438" s="379"/>
      <c r="G1438" s="315"/>
      <c r="H1438" s="380"/>
      <c r="I1438" s="914"/>
    </row>
    <row r="1439" spans="1:9" s="324" customFormat="1" ht="12.75" x14ac:dyDescent="0.2">
      <c r="A1439" s="376"/>
      <c r="B1439" s="38"/>
      <c r="C1439" s="312"/>
      <c r="D1439" s="377"/>
      <c r="E1439" s="378"/>
      <c r="F1439" s="379"/>
      <c r="G1439" s="315"/>
      <c r="H1439" s="380"/>
      <c r="I1439" s="914"/>
    </row>
    <row r="1440" spans="1:9" s="324" customFormat="1" ht="12.75" x14ac:dyDescent="0.2">
      <c r="A1440" s="376"/>
      <c r="B1440" s="38"/>
      <c r="C1440" s="312"/>
      <c r="D1440" s="377"/>
      <c r="E1440" s="378"/>
      <c r="F1440" s="379"/>
      <c r="G1440" s="315"/>
      <c r="H1440" s="380"/>
      <c r="I1440" s="914"/>
    </row>
    <row r="1441" spans="1:9" s="324" customFormat="1" ht="12.75" x14ac:dyDescent="0.2">
      <c r="A1441" s="376"/>
      <c r="B1441" s="38"/>
      <c r="C1441" s="312"/>
      <c r="D1441" s="377"/>
      <c r="E1441" s="378"/>
      <c r="F1441" s="379"/>
      <c r="G1441" s="315"/>
      <c r="H1441" s="380"/>
      <c r="I1441" s="914"/>
    </row>
    <row r="1442" spans="1:9" s="324" customFormat="1" ht="12.75" x14ac:dyDescent="0.2">
      <c r="A1442" s="376"/>
      <c r="B1442" s="38"/>
      <c r="C1442" s="312"/>
      <c r="D1442" s="377"/>
      <c r="E1442" s="378"/>
      <c r="F1442" s="379"/>
      <c r="G1442" s="315"/>
      <c r="H1442" s="380"/>
      <c r="I1442" s="914"/>
    </row>
    <row r="1443" spans="1:9" s="324" customFormat="1" ht="12.75" x14ac:dyDescent="0.2">
      <c r="A1443" s="376"/>
      <c r="B1443" s="38"/>
      <c r="C1443" s="312"/>
      <c r="D1443" s="377"/>
      <c r="E1443" s="378"/>
      <c r="F1443" s="379"/>
      <c r="G1443" s="315"/>
      <c r="H1443" s="380"/>
      <c r="I1443" s="914"/>
    </row>
    <row r="1444" spans="1:9" s="324" customFormat="1" ht="12.75" x14ac:dyDescent="0.2">
      <c r="A1444" s="376"/>
      <c r="B1444" s="38"/>
      <c r="C1444" s="312"/>
      <c r="D1444" s="377"/>
      <c r="E1444" s="378"/>
      <c r="F1444" s="379"/>
      <c r="G1444" s="315"/>
      <c r="H1444" s="380"/>
      <c r="I1444" s="914"/>
    </row>
    <row r="1445" spans="1:9" s="324" customFormat="1" ht="12.75" x14ac:dyDescent="0.2">
      <c r="A1445" s="376"/>
      <c r="B1445" s="38"/>
      <c r="C1445" s="312"/>
      <c r="D1445" s="377"/>
      <c r="E1445" s="378"/>
      <c r="F1445" s="379"/>
      <c r="G1445" s="315"/>
      <c r="H1445" s="380"/>
      <c r="I1445" s="914"/>
    </row>
    <row r="1446" spans="1:9" s="324" customFormat="1" ht="12.75" x14ac:dyDescent="0.2">
      <c r="A1446" s="376"/>
      <c r="B1446" s="38"/>
      <c r="C1446" s="312"/>
      <c r="D1446" s="377"/>
      <c r="E1446" s="378"/>
      <c r="F1446" s="379"/>
      <c r="G1446" s="315"/>
      <c r="H1446" s="380"/>
      <c r="I1446" s="914"/>
    </row>
    <row r="1447" spans="1:9" s="324" customFormat="1" ht="12.75" x14ac:dyDescent="0.2">
      <c r="A1447" s="376"/>
      <c r="B1447" s="38"/>
      <c r="C1447" s="312"/>
      <c r="D1447" s="377"/>
      <c r="E1447" s="378"/>
      <c r="F1447" s="379"/>
      <c r="G1447" s="315"/>
      <c r="H1447" s="380"/>
      <c r="I1447" s="914"/>
    </row>
    <row r="1448" spans="1:9" s="324" customFormat="1" ht="12.75" x14ac:dyDescent="0.2">
      <c r="A1448" s="376"/>
      <c r="B1448" s="38"/>
      <c r="C1448" s="312"/>
      <c r="D1448" s="377"/>
      <c r="E1448" s="378"/>
      <c r="F1448" s="379"/>
      <c r="G1448" s="315"/>
      <c r="H1448" s="380"/>
      <c r="I1448" s="914"/>
    </row>
    <row r="1449" spans="1:9" s="324" customFormat="1" ht="12.75" x14ac:dyDescent="0.2">
      <c r="A1449" s="376"/>
      <c r="B1449" s="38"/>
      <c r="C1449" s="312"/>
      <c r="D1449" s="377"/>
      <c r="E1449" s="378"/>
      <c r="F1449" s="379"/>
      <c r="G1449" s="315"/>
      <c r="H1449" s="380"/>
      <c r="I1449" s="914"/>
    </row>
    <row r="1450" spans="1:9" s="324" customFormat="1" ht="12.75" x14ac:dyDescent="0.2">
      <c r="A1450" s="376"/>
      <c r="B1450" s="38"/>
      <c r="C1450" s="312"/>
      <c r="D1450" s="377"/>
      <c r="E1450" s="378"/>
      <c r="F1450" s="379"/>
      <c r="G1450" s="315"/>
      <c r="H1450" s="380"/>
      <c r="I1450" s="914"/>
    </row>
    <row r="1451" spans="1:9" s="324" customFormat="1" ht="12.75" x14ac:dyDescent="0.2">
      <c r="A1451" s="376"/>
      <c r="B1451" s="38"/>
      <c r="C1451" s="312"/>
      <c r="D1451" s="377"/>
      <c r="E1451" s="378"/>
      <c r="F1451" s="379"/>
      <c r="G1451" s="315"/>
      <c r="H1451" s="380"/>
      <c r="I1451" s="914"/>
    </row>
    <row r="1452" spans="1:9" s="324" customFormat="1" ht="12.75" x14ac:dyDescent="0.2">
      <c r="A1452" s="376"/>
      <c r="B1452" s="38"/>
      <c r="C1452" s="312"/>
      <c r="D1452" s="377"/>
      <c r="E1452" s="378"/>
      <c r="F1452" s="379"/>
      <c r="G1452" s="315"/>
      <c r="H1452" s="380"/>
      <c r="I1452" s="914"/>
    </row>
    <row r="1453" spans="1:9" s="324" customFormat="1" ht="12.75" x14ac:dyDescent="0.2">
      <c r="A1453" s="376"/>
      <c r="B1453" s="38"/>
      <c r="C1453" s="312"/>
      <c r="D1453" s="377"/>
      <c r="E1453" s="378"/>
      <c r="F1453" s="379"/>
      <c r="G1453" s="315"/>
      <c r="H1453" s="380"/>
      <c r="I1453" s="914"/>
    </row>
    <row r="1454" spans="1:9" s="324" customFormat="1" ht="12.75" x14ac:dyDescent="0.2">
      <c r="A1454" s="376"/>
      <c r="B1454" s="38"/>
      <c r="C1454" s="312"/>
      <c r="D1454" s="377"/>
      <c r="E1454" s="378"/>
      <c r="F1454" s="379"/>
      <c r="G1454" s="315"/>
      <c r="H1454" s="380"/>
      <c r="I1454" s="914"/>
    </row>
    <row r="1455" spans="1:9" s="324" customFormat="1" ht="12.75" x14ac:dyDescent="0.2">
      <c r="A1455" s="376"/>
      <c r="B1455" s="38"/>
      <c r="C1455" s="312"/>
      <c r="D1455" s="377"/>
      <c r="E1455" s="378"/>
      <c r="F1455" s="379"/>
      <c r="G1455" s="315"/>
      <c r="H1455" s="380"/>
      <c r="I1455" s="914"/>
    </row>
    <row r="1456" spans="1:9" s="324" customFormat="1" ht="12.75" x14ac:dyDescent="0.2">
      <c r="A1456" s="376"/>
      <c r="B1456" s="38"/>
      <c r="C1456" s="312"/>
      <c r="D1456" s="377"/>
      <c r="E1456" s="378"/>
      <c r="F1456" s="379"/>
      <c r="G1456" s="315"/>
      <c r="H1456" s="380"/>
      <c r="I1456" s="914"/>
    </row>
    <row r="1457" spans="1:9" s="324" customFormat="1" ht="12.75" x14ac:dyDescent="0.2">
      <c r="A1457" s="376"/>
      <c r="B1457" s="38"/>
      <c r="C1457" s="312"/>
      <c r="D1457" s="377"/>
      <c r="E1457" s="378"/>
      <c r="F1457" s="379"/>
      <c r="G1457" s="315"/>
      <c r="H1457" s="380"/>
      <c r="I1457" s="914"/>
    </row>
    <row r="1458" spans="1:9" s="324" customFormat="1" ht="12.75" x14ac:dyDescent="0.2">
      <c r="A1458" s="376"/>
      <c r="B1458" s="38"/>
      <c r="C1458" s="312"/>
      <c r="D1458" s="377"/>
      <c r="E1458" s="378"/>
      <c r="F1458" s="379"/>
      <c r="G1458" s="315"/>
      <c r="H1458" s="380"/>
      <c r="I1458" s="914"/>
    </row>
    <row r="1459" spans="1:9" s="324" customFormat="1" ht="12.75" x14ac:dyDescent="0.2">
      <c r="A1459" s="376"/>
      <c r="B1459" s="38"/>
      <c r="C1459" s="312"/>
      <c r="D1459" s="377"/>
      <c r="E1459" s="378"/>
      <c r="F1459" s="379"/>
      <c r="G1459" s="315"/>
      <c r="H1459" s="380"/>
      <c r="I1459" s="914"/>
    </row>
    <row r="1460" spans="1:9" s="324" customFormat="1" ht="12.75" x14ac:dyDescent="0.2">
      <c r="A1460" s="376"/>
      <c r="B1460" s="38"/>
      <c r="C1460" s="312"/>
      <c r="D1460" s="377"/>
      <c r="E1460" s="378"/>
      <c r="F1460" s="379"/>
      <c r="G1460" s="315"/>
      <c r="H1460" s="380"/>
      <c r="I1460" s="914"/>
    </row>
    <row r="1461" spans="1:9" s="324" customFormat="1" ht="12.75" x14ac:dyDescent="0.2">
      <c r="A1461" s="376"/>
      <c r="B1461" s="38"/>
      <c r="C1461" s="312"/>
      <c r="D1461" s="377"/>
      <c r="E1461" s="378"/>
      <c r="F1461" s="379"/>
      <c r="G1461" s="315"/>
      <c r="H1461" s="380"/>
      <c r="I1461" s="914"/>
    </row>
    <row r="1462" spans="1:9" s="324" customFormat="1" ht="12.75" x14ac:dyDescent="0.2">
      <c r="A1462" s="376"/>
      <c r="B1462" s="38"/>
      <c r="C1462" s="312"/>
      <c r="D1462" s="377"/>
      <c r="E1462" s="378"/>
      <c r="F1462" s="379"/>
      <c r="G1462" s="315"/>
      <c r="H1462" s="380"/>
      <c r="I1462" s="914"/>
    </row>
    <row r="1463" spans="1:9" s="324" customFormat="1" ht="12.75" x14ac:dyDescent="0.2">
      <c r="A1463" s="376"/>
      <c r="B1463" s="38"/>
      <c r="C1463" s="312"/>
      <c r="D1463" s="377"/>
      <c r="E1463" s="378"/>
      <c r="F1463" s="379"/>
      <c r="G1463" s="315"/>
      <c r="H1463" s="380"/>
      <c r="I1463" s="914"/>
    </row>
    <row r="1464" spans="1:9" s="324" customFormat="1" ht="12.75" x14ac:dyDescent="0.2">
      <c r="A1464" s="376"/>
      <c r="B1464" s="38"/>
      <c r="C1464" s="312"/>
      <c r="D1464" s="377"/>
      <c r="E1464" s="378"/>
      <c r="F1464" s="379"/>
      <c r="G1464" s="315"/>
      <c r="H1464" s="380"/>
      <c r="I1464" s="914"/>
    </row>
    <row r="1465" spans="1:9" s="324" customFormat="1" ht="12.75" x14ac:dyDescent="0.2">
      <c r="A1465" s="376"/>
      <c r="B1465" s="38"/>
      <c r="C1465" s="312"/>
      <c r="D1465" s="377"/>
      <c r="E1465" s="378"/>
      <c r="F1465" s="379"/>
      <c r="G1465" s="315"/>
      <c r="H1465" s="380"/>
      <c r="I1465" s="914"/>
    </row>
    <row r="1466" spans="1:9" s="324" customFormat="1" ht="12.75" x14ac:dyDescent="0.2">
      <c r="A1466" s="376"/>
      <c r="B1466" s="38"/>
      <c r="C1466" s="312"/>
      <c r="D1466" s="377"/>
      <c r="E1466" s="378"/>
      <c r="F1466" s="379"/>
      <c r="G1466" s="315"/>
      <c r="H1466" s="380"/>
      <c r="I1466" s="914"/>
    </row>
    <row r="1467" spans="1:9" s="324" customFormat="1" ht="12.75" x14ac:dyDescent="0.2">
      <c r="A1467" s="376"/>
      <c r="B1467" s="38"/>
      <c r="C1467" s="312"/>
      <c r="D1467" s="377"/>
      <c r="E1467" s="378"/>
      <c r="F1467" s="379"/>
      <c r="G1467" s="315"/>
      <c r="H1467" s="380"/>
      <c r="I1467" s="914"/>
    </row>
    <row r="1468" spans="1:9" s="324" customFormat="1" ht="12.75" x14ac:dyDescent="0.2">
      <c r="A1468" s="376"/>
      <c r="B1468" s="38"/>
      <c r="C1468" s="312"/>
      <c r="D1468" s="377"/>
      <c r="E1468" s="378"/>
      <c r="F1468" s="379"/>
      <c r="G1468" s="315"/>
      <c r="H1468" s="380"/>
      <c r="I1468" s="914"/>
    </row>
    <row r="1469" spans="1:9" s="324" customFormat="1" ht="12.75" x14ac:dyDescent="0.2">
      <c r="A1469" s="376"/>
      <c r="B1469" s="38"/>
      <c r="C1469" s="312"/>
      <c r="D1469" s="377"/>
      <c r="E1469" s="378"/>
      <c r="F1469" s="379"/>
      <c r="G1469" s="315"/>
      <c r="H1469" s="380"/>
      <c r="I1469" s="914"/>
    </row>
    <row r="1470" spans="1:9" s="324" customFormat="1" ht="12.75" x14ac:dyDescent="0.2">
      <c r="A1470" s="376"/>
      <c r="B1470" s="38"/>
      <c r="C1470" s="312"/>
      <c r="D1470" s="377"/>
      <c r="E1470" s="378"/>
      <c r="F1470" s="379"/>
      <c r="G1470" s="315"/>
      <c r="H1470" s="380"/>
      <c r="I1470" s="914"/>
    </row>
    <row r="1471" spans="1:9" s="324" customFormat="1" ht="12.75" x14ac:dyDescent="0.2">
      <c r="A1471" s="376"/>
      <c r="B1471" s="38"/>
      <c r="C1471" s="312"/>
      <c r="D1471" s="377"/>
      <c r="E1471" s="378"/>
      <c r="F1471" s="379"/>
      <c r="G1471" s="315"/>
      <c r="H1471" s="380"/>
      <c r="I1471" s="914"/>
    </row>
    <row r="1472" spans="1:9" s="324" customFormat="1" ht="12.75" x14ac:dyDescent="0.2">
      <c r="A1472" s="376"/>
      <c r="B1472" s="38"/>
      <c r="C1472" s="312"/>
      <c r="D1472" s="377"/>
      <c r="E1472" s="378"/>
      <c r="F1472" s="379"/>
      <c r="G1472" s="315"/>
      <c r="H1472" s="380"/>
      <c r="I1472" s="914"/>
    </row>
    <row r="1473" spans="1:9" s="324" customFormat="1" ht="12.75" x14ac:dyDescent="0.2">
      <c r="A1473" s="376"/>
      <c r="B1473" s="38"/>
      <c r="C1473" s="312"/>
      <c r="D1473" s="377"/>
      <c r="E1473" s="378"/>
      <c r="F1473" s="379"/>
      <c r="G1473" s="315"/>
      <c r="H1473" s="380"/>
      <c r="I1473" s="914"/>
    </row>
    <row r="1474" spans="1:9" s="324" customFormat="1" ht="12.75" x14ac:dyDescent="0.2">
      <c r="A1474" s="376"/>
      <c r="B1474" s="38"/>
      <c r="C1474" s="312"/>
      <c r="D1474" s="377"/>
      <c r="E1474" s="378"/>
      <c r="F1474" s="379"/>
      <c r="G1474" s="315"/>
      <c r="H1474" s="380"/>
      <c r="I1474" s="914"/>
    </row>
    <row r="1475" spans="1:9" s="324" customFormat="1" ht="12.75" x14ac:dyDescent="0.2">
      <c r="A1475" s="376"/>
      <c r="B1475" s="38"/>
      <c r="C1475" s="312"/>
      <c r="D1475" s="377"/>
      <c r="E1475" s="378"/>
      <c r="F1475" s="379"/>
      <c r="G1475" s="315"/>
      <c r="H1475" s="380"/>
      <c r="I1475" s="914"/>
    </row>
    <row r="1476" spans="1:9" s="324" customFormat="1" ht="12.75" x14ac:dyDescent="0.2">
      <c r="A1476" s="376"/>
      <c r="B1476" s="38"/>
      <c r="C1476" s="312"/>
      <c r="D1476" s="377"/>
      <c r="E1476" s="378"/>
      <c r="F1476" s="379"/>
      <c r="G1476" s="315"/>
      <c r="H1476" s="380"/>
      <c r="I1476" s="914"/>
    </row>
    <row r="1477" spans="1:9" s="324" customFormat="1" ht="12.75" x14ac:dyDescent="0.2">
      <c r="A1477" s="376"/>
      <c r="B1477" s="38"/>
      <c r="C1477" s="312"/>
      <c r="D1477" s="377"/>
      <c r="E1477" s="378"/>
      <c r="F1477" s="379"/>
      <c r="G1477" s="315"/>
      <c r="H1477" s="380"/>
      <c r="I1477" s="914"/>
    </row>
    <row r="1478" spans="1:9" s="324" customFormat="1" ht="12.75" x14ac:dyDescent="0.2">
      <c r="A1478" s="376"/>
      <c r="B1478" s="38"/>
      <c r="C1478" s="312"/>
      <c r="D1478" s="377"/>
      <c r="E1478" s="378"/>
      <c r="F1478" s="379"/>
      <c r="G1478" s="315"/>
      <c r="H1478" s="380"/>
      <c r="I1478" s="914"/>
    </row>
    <row r="1479" spans="1:9" s="324" customFormat="1" ht="12.75" x14ac:dyDescent="0.2">
      <c r="A1479" s="376"/>
      <c r="B1479" s="38"/>
      <c r="C1479" s="312"/>
      <c r="D1479" s="377"/>
      <c r="E1479" s="378"/>
      <c r="F1479" s="379"/>
      <c r="G1479" s="315"/>
      <c r="H1479" s="380"/>
      <c r="I1479" s="914"/>
    </row>
    <row r="1480" spans="1:9" s="324" customFormat="1" ht="12.75" x14ac:dyDescent="0.2">
      <c r="A1480" s="376"/>
      <c r="B1480" s="38"/>
      <c r="C1480" s="312"/>
      <c r="D1480" s="377"/>
      <c r="E1480" s="378"/>
      <c r="F1480" s="379"/>
      <c r="G1480" s="315"/>
      <c r="H1480" s="380"/>
      <c r="I1480" s="914"/>
    </row>
    <row r="1481" spans="1:9" s="324" customFormat="1" ht="12.75" x14ac:dyDescent="0.2">
      <c r="A1481" s="376"/>
      <c r="B1481" s="38"/>
      <c r="C1481" s="312"/>
      <c r="D1481" s="377"/>
      <c r="E1481" s="378"/>
      <c r="F1481" s="379"/>
      <c r="G1481" s="315"/>
      <c r="H1481" s="380"/>
      <c r="I1481" s="914"/>
    </row>
    <row r="1482" spans="1:9" s="324" customFormat="1" ht="12.75" x14ac:dyDescent="0.2">
      <c r="A1482" s="376"/>
      <c r="B1482" s="38"/>
      <c r="C1482" s="312"/>
      <c r="D1482" s="377"/>
      <c r="E1482" s="378"/>
      <c r="F1482" s="379"/>
      <c r="G1482" s="315"/>
      <c r="H1482" s="380"/>
      <c r="I1482" s="914"/>
    </row>
    <row r="1483" spans="1:9" s="324" customFormat="1" ht="12.75" x14ac:dyDescent="0.2">
      <c r="A1483" s="376"/>
      <c r="B1483" s="38"/>
      <c r="C1483" s="312"/>
      <c r="D1483" s="377"/>
      <c r="E1483" s="378"/>
      <c r="F1483" s="379"/>
      <c r="G1483" s="315"/>
      <c r="H1483" s="380"/>
      <c r="I1483" s="914"/>
    </row>
    <row r="1484" spans="1:9" s="324" customFormat="1" ht="12.75" x14ac:dyDescent="0.2">
      <c r="A1484" s="376"/>
      <c r="B1484" s="38"/>
      <c r="C1484" s="312"/>
      <c r="D1484" s="377"/>
      <c r="E1484" s="378"/>
      <c r="F1484" s="379"/>
      <c r="G1484" s="315"/>
      <c r="H1484" s="380"/>
      <c r="I1484" s="914"/>
    </row>
    <row r="1485" spans="1:9" s="324" customFormat="1" ht="12.75" x14ac:dyDescent="0.2">
      <c r="A1485" s="376"/>
      <c r="B1485" s="38"/>
      <c r="C1485" s="312"/>
      <c r="D1485" s="377"/>
      <c r="E1485" s="378"/>
      <c r="F1485" s="379"/>
      <c r="G1485" s="315"/>
      <c r="H1485" s="380"/>
      <c r="I1485" s="914"/>
    </row>
    <row r="1486" spans="1:9" s="324" customFormat="1" ht="12.75" x14ac:dyDescent="0.2">
      <c r="A1486" s="376"/>
      <c r="B1486" s="38"/>
      <c r="C1486" s="312"/>
      <c r="D1486" s="377"/>
      <c r="E1486" s="378"/>
      <c r="F1486" s="379"/>
      <c r="G1486" s="315"/>
      <c r="H1486" s="380"/>
      <c r="I1486" s="914"/>
    </row>
    <row r="1487" spans="1:9" s="324" customFormat="1" ht="12.75" x14ac:dyDescent="0.2">
      <c r="A1487" s="376"/>
      <c r="B1487" s="38"/>
      <c r="C1487" s="312"/>
      <c r="D1487" s="377"/>
      <c r="E1487" s="378"/>
      <c r="F1487" s="379"/>
      <c r="G1487" s="315"/>
      <c r="H1487" s="380"/>
      <c r="I1487" s="914"/>
    </row>
    <row r="1488" spans="1:9" s="324" customFormat="1" ht="12.75" x14ac:dyDescent="0.2">
      <c r="A1488" s="376"/>
      <c r="B1488" s="38"/>
      <c r="C1488" s="312"/>
      <c r="D1488" s="377"/>
      <c r="E1488" s="378"/>
      <c r="F1488" s="379"/>
      <c r="G1488" s="315"/>
      <c r="H1488" s="380"/>
      <c r="I1488" s="914"/>
    </row>
    <row r="1489" spans="1:9" s="324" customFormat="1" ht="12.75" x14ac:dyDescent="0.2">
      <c r="A1489" s="376"/>
      <c r="B1489" s="38"/>
      <c r="C1489" s="312"/>
      <c r="D1489" s="377"/>
      <c r="E1489" s="378"/>
      <c r="F1489" s="379"/>
      <c r="G1489" s="315"/>
      <c r="H1489" s="380"/>
      <c r="I1489" s="914"/>
    </row>
    <row r="1490" spans="1:9" s="324" customFormat="1" ht="12.75" x14ac:dyDescent="0.2">
      <c r="A1490" s="376"/>
      <c r="B1490" s="38"/>
      <c r="C1490" s="312"/>
      <c r="D1490" s="377"/>
      <c r="E1490" s="378"/>
      <c r="F1490" s="379"/>
      <c r="G1490" s="315"/>
      <c r="H1490" s="380"/>
      <c r="I1490" s="914"/>
    </row>
    <row r="1491" spans="1:9" s="324" customFormat="1" ht="12.75" x14ac:dyDescent="0.2">
      <c r="A1491" s="376"/>
      <c r="B1491" s="38"/>
      <c r="C1491" s="312"/>
      <c r="D1491" s="377"/>
      <c r="E1491" s="378"/>
      <c r="F1491" s="379"/>
      <c r="G1491" s="315"/>
      <c r="H1491" s="380"/>
      <c r="I1491" s="914"/>
    </row>
    <row r="1492" spans="1:9" s="324" customFormat="1" ht="12.75" x14ac:dyDescent="0.2">
      <c r="A1492" s="376"/>
      <c r="B1492" s="38"/>
      <c r="C1492" s="312"/>
      <c r="D1492" s="377"/>
      <c r="E1492" s="378"/>
      <c r="F1492" s="379"/>
      <c r="G1492" s="315"/>
      <c r="H1492" s="380"/>
      <c r="I1492" s="914"/>
    </row>
    <row r="1493" spans="1:9" s="324" customFormat="1" ht="12.75" x14ac:dyDescent="0.2">
      <c r="A1493" s="376"/>
      <c r="B1493" s="38"/>
      <c r="C1493" s="312"/>
      <c r="D1493" s="377"/>
      <c r="E1493" s="378"/>
      <c r="F1493" s="379"/>
      <c r="G1493" s="315"/>
      <c r="H1493" s="380"/>
      <c r="I1493" s="914"/>
    </row>
    <row r="1494" spans="1:9" s="324" customFormat="1" ht="12.75" x14ac:dyDescent="0.2">
      <c r="A1494" s="376"/>
      <c r="B1494" s="38"/>
      <c r="C1494" s="312"/>
      <c r="D1494" s="377"/>
      <c r="E1494" s="378"/>
      <c r="F1494" s="379"/>
      <c r="G1494" s="315"/>
      <c r="H1494" s="380"/>
      <c r="I1494" s="914"/>
    </row>
    <row r="1495" spans="1:9" s="324" customFormat="1" ht="12.75" x14ac:dyDescent="0.2">
      <c r="A1495" s="376"/>
      <c r="B1495" s="38"/>
      <c r="C1495" s="312"/>
      <c r="D1495" s="377"/>
      <c r="E1495" s="378"/>
      <c r="F1495" s="379"/>
      <c r="G1495" s="315"/>
      <c r="H1495" s="380"/>
      <c r="I1495" s="914"/>
    </row>
    <row r="1496" spans="1:9" s="324" customFormat="1" ht="12.75" x14ac:dyDescent="0.2">
      <c r="A1496" s="376"/>
      <c r="B1496" s="38"/>
      <c r="C1496" s="312"/>
      <c r="D1496" s="377"/>
      <c r="E1496" s="378"/>
      <c r="F1496" s="379"/>
      <c r="G1496" s="315"/>
      <c r="H1496" s="380"/>
      <c r="I1496" s="914"/>
    </row>
    <row r="1497" spans="1:9" s="324" customFormat="1" ht="12.75" x14ac:dyDescent="0.2">
      <c r="A1497" s="376"/>
      <c r="B1497" s="38"/>
      <c r="C1497" s="312"/>
      <c r="D1497" s="377"/>
      <c r="E1497" s="378"/>
      <c r="F1497" s="379"/>
      <c r="G1497" s="315"/>
      <c r="H1497" s="380"/>
      <c r="I1497" s="914"/>
    </row>
    <row r="1498" spans="1:9" s="324" customFormat="1" ht="12.75" x14ac:dyDescent="0.2">
      <c r="A1498" s="376"/>
      <c r="B1498" s="38"/>
      <c r="C1498" s="312"/>
      <c r="D1498" s="377"/>
      <c r="E1498" s="378"/>
      <c r="F1498" s="379"/>
      <c r="G1498" s="315"/>
      <c r="H1498" s="380"/>
      <c r="I1498" s="914"/>
    </row>
    <row r="1499" spans="1:9" s="324" customFormat="1" ht="12.75" x14ac:dyDescent="0.2">
      <c r="A1499" s="376"/>
      <c r="B1499" s="38"/>
      <c r="C1499" s="312"/>
      <c r="D1499" s="377"/>
      <c r="E1499" s="378"/>
      <c r="F1499" s="379"/>
      <c r="G1499" s="315"/>
      <c r="H1499" s="380"/>
      <c r="I1499" s="914"/>
    </row>
    <row r="1500" spans="1:9" s="324" customFormat="1" ht="12.75" x14ac:dyDescent="0.2">
      <c r="A1500" s="376"/>
      <c r="B1500" s="38"/>
      <c r="C1500" s="312"/>
      <c r="D1500" s="377"/>
      <c r="E1500" s="378"/>
      <c r="F1500" s="379"/>
      <c r="G1500" s="315"/>
      <c r="H1500" s="380"/>
      <c r="I1500" s="914"/>
    </row>
    <row r="1501" spans="1:9" s="324" customFormat="1" ht="12.75" x14ac:dyDescent="0.2">
      <c r="A1501" s="376"/>
      <c r="B1501" s="38"/>
      <c r="C1501" s="312"/>
      <c r="D1501" s="377"/>
      <c r="E1501" s="378"/>
      <c r="F1501" s="379"/>
      <c r="G1501" s="315"/>
      <c r="H1501" s="380"/>
      <c r="I1501" s="914"/>
    </row>
    <row r="1502" spans="1:9" s="324" customFormat="1" ht="12.75" x14ac:dyDescent="0.2">
      <c r="A1502" s="376"/>
      <c r="B1502" s="38"/>
      <c r="C1502" s="312"/>
      <c r="D1502" s="377"/>
      <c r="E1502" s="378"/>
      <c r="F1502" s="379"/>
      <c r="G1502" s="315"/>
      <c r="H1502" s="380"/>
      <c r="I1502" s="914"/>
    </row>
    <row r="1503" spans="1:9" s="324" customFormat="1" ht="12.75" x14ac:dyDescent="0.2">
      <c r="A1503" s="376"/>
      <c r="B1503" s="38"/>
      <c r="C1503" s="312"/>
      <c r="D1503" s="377"/>
      <c r="E1503" s="378"/>
      <c r="F1503" s="379"/>
      <c r="G1503" s="315"/>
      <c r="H1503" s="380"/>
      <c r="I1503" s="914"/>
    </row>
    <row r="1504" spans="1:9" s="324" customFormat="1" ht="12.75" x14ac:dyDescent="0.2">
      <c r="A1504" s="376"/>
      <c r="B1504" s="38"/>
      <c r="C1504" s="312"/>
      <c r="D1504" s="377"/>
      <c r="E1504" s="378"/>
      <c r="F1504" s="379"/>
      <c r="G1504" s="315"/>
      <c r="H1504" s="380"/>
      <c r="I1504" s="914"/>
    </row>
    <row r="1505" spans="1:9" s="324" customFormat="1" ht="12.75" x14ac:dyDescent="0.2">
      <c r="A1505" s="376"/>
      <c r="B1505" s="38"/>
      <c r="C1505" s="312"/>
      <c r="D1505" s="377"/>
      <c r="E1505" s="378"/>
      <c r="F1505" s="379"/>
      <c r="G1505" s="315"/>
      <c r="H1505" s="380"/>
      <c r="I1505" s="914"/>
    </row>
    <row r="1506" spans="1:9" s="324" customFormat="1" ht="12.75" x14ac:dyDescent="0.2">
      <c r="A1506" s="376"/>
      <c r="B1506" s="38"/>
      <c r="C1506" s="312"/>
      <c r="D1506" s="377"/>
      <c r="E1506" s="378"/>
      <c r="F1506" s="379"/>
      <c r="G1506" s="315"/>
      <c r="H1506" s="380"/>
      <c r="I1506" s="914"/>
    </row>
    <row r="1507" spans="1:9" s="324" customFormat="1" ht="12.75" x14ac:dyDescent="0.2">
      <c r="A1507" s="376"/>
      <c r="B1507" s="38"/>
      <c r="C1507" s="312"/>
      <c r="D1507" s="377"/>
      <c r="E1507" s="378"/>
      <c r="F1507" s="379"/>
      <c r="G1507" s="315"/>
      <c r="H1507" s="380"/>
      <c r="I1507" s="914"/>
    </row>
    <row r="1508" spans="1:9" s="324" customFormat="1" ht="12.75" x14ac:dyDescent="0.2">
      <c r="A1508" s="376"/>
      <c r="B1508" s="38"/>
      <c r="C1508" s="312"/>
      <c r="D1508" s="377"/>
      <c r="E1508" s="378"/>
      <c r="F1508" s="379"/>
      <c r="G1508" s="315"/>
      <c r="H1508" s="380"/>
      <c r="I1508" s="914"/>
    </row>
    <row r="1509" spans="1:9" s="324" customFormat="1" ht="12.75" x14ac:dyDescent="0.2">
      <c r="A1509" s="376"/>
      <c r="B1509" s="38"/>
      <c r="C1509" s="312"/>
      <c r="D1509" s="377"/>
      <c r="E1509" s="378"/>
      <c r="F1509" s="379"/>
      <c r="G1509" s="315"/>
      <c r="H1509" s="380"/>
      <c r="I1509" s="914"/>
    </row>
    <row r="1510" spans="1:9" s="324" customFormat="1" ht="12.75" x14ac:dyDescent="0.2">
      <c r="A1510" s="376"/>
      <c r="B1510" s="38"/>
      <c r="C1510" s="312"/>
      <c r="D1510" s="377"/>
      <c r="E1510" s="378"/>
      <c r="F1510" s="379"/>
      <c r="G1510" s="315"/>
      <c r="H1510" s="380"/>
      <c r="I1510" s="914"/>
    </row>
    <row r="1511" spans="1:9" s="324" customFormat="1" ht="12.75" x14ac:dyDescent="0.2">
      <c r="A1511" s="376"/>
      <c r="B1511" s="38"/>
      <c r="C1511" s="312"/>
      <c r="D1511" s="377"/>
      <c r="E1511" s="378"/>
      <c r="F1511" s="379"/>
      <c r="G1511" s="315"/>
      <c r="H1511" s="380"/>
      <c r="I1511" s="914"/>
    </row>
    <row r="1512" spans="1:9" s="324" customFormat="1" ht="12.75" x14ac:dyDescent="0.2">
      <c r="A1512" s="376"/>
      <c r="B1512" s="38"/>
      <c r="C1512" s="312"/>
      <c r="D1512" s="377"/>
      <c r="E1512" s="378"/>
      <c r="F1512" s="379"/>
      <c r="G1512" s="315"/>
      <c r="H1512" s="380"/>
      <c r="I1512" s="914"/>
    </row>
    <row r="1513" spans="1:9" s="324" customFormat="1" ht="12.75" x14ac:dyDescent="0.2">
      <c r="A1513" s="376"/>
      <c r="B1513" s="38"/>
      <c r="C1513" s="312"/>
      <c r="D1513" s="377"/>
      <c r="E1513" s="378"/>
      <c r="F1513" s="379"/>
      <c r="G1513" s="315"/>
      <c r="H1513" s="380"/>
      <c r="I1513" s="914"/>
    </row>
    <row r="1514" spans="1:9" s="324" customFormat="1" ht="12.75" x14ac:dyDescent="0.2">
      <c r="A1514" s="376"/>
      <c r="B1514" s="38"/>
      <c r="C1514" s="312"/>
      <c r="D1514" s="377"/>
      <c r="E1514" s="378"/>
      <c r="F1514" s="379"/>
      <c r="G1514" s="315"/>
      <c r="H1514" s="380"/>
      <c r="I1514" s="914"/>
    </row>
    <row r="1515" spans="1:9" s="324" customFormat="1" ht="12.75" x14ac:dyDescent="0.2">
      <c r="A1515" s="376"/>
      <c r="B1515" s="38"/>
      <c r="C1515" s="312"/>
      <c r="D1515" s="377"/>
      <c r="E1515" s="378"/>
      <c r="F1515" s="379"/>
      <c r="G1515" s="315"/>
      <c r="H1515" s="380"/>
      <c r="I1515" s="914"/>
    </row>
    <row r="1516" spans="1:9" s="324" customFormat="1" ht="12.75" x14ac:dyDescent="0.2">
      <c r="A1516" s="376"/>
      <c r="B1516" s="38"/>
      <c r="C1516" s="312"/>
      <c r="D1516" s="377"/>
      <c r="E1516" s="378"/>
      <c r="F1516" s="379"/>
      <c r="G1516" s="315"/>
      <c r="H1516" s="380"/>
      <c r="I1516" s="914"/>
    </row>
    <row r="1517" spans="1:9" s="324" customFormat="1" ht="12.75" x14ac:dyDescent="0.2">
      <c r="A1517" s="376"/>
      <c r="B1517" s="38"/>
      <c r="C1517" s="312"/>
      <c r="D1517" s="377"/>
      <c r="E1517" s="378"/>
      <c r="F1517" s="379"/>
      <c r="G1517" s="315"/>
      <c r="H1517" s="380"/>
      <c r="I1517" s="914"/>
    </row>
    <row r="1518" spans="1:9" s="324" customFormat="1" ht="12.75" x14ac:dyDescent="0.2">
      <c r="A1518" s="376"/>
      <c r="B1518" s="38"/>
      <c r="C1518" s="312"/>
      <c r="D1518" s="377"/>
      <c r="E1518" s="378"/>
      <c r="F1518" s="379"/>
      <c r="G1518" s="315"/>
      <c r="H1518" s="380"/>
      <c r="I1518" s="914"/>
    </row>
    <row r="1519" spans="1:9" s="324" customFormat="1" ht="12.75" x14ac:dyDescent="0.2">
      <c r="A1519" s="376"/>
      <c r="B1519" s="38"/>
      <c r="C1519" s="312"/>
      <c r="D1519" s="377"/>
      <c r="E1519" s="378"/>
      <c r="F1519" s="379"/>
      <c r="G1519" s="315"/>
      <c r="H1519" s="380"/>
      <c r="I1519" s="914"/>
    </row>
    <row r="1520" spans="1:9" s="324" customFormat="1" ht="12.75" x14ac:dyDescent="0.2">
      <c r="A1520" s="376"/>
      <c r="B1520" s="38"/>
      <c r="C1520" s="312"/>
      <c r="D1520" s="377"/>
      <c r="E1520" s="378"/>
      <c r="F1520" s="379"/>
      <c r="G1520" s="315"/>
      <c r="H1520" s="380"/>
      <c r="I1520" s="914"/>
    </row>
    <row r="1521" spans="1:9" s="324" customFormat="1" ht="12.75" x14ac:dyDescent="0.2">
      <c r="A1521" s="376"/>
      <c r="B1521" s="38"/>
      <c r="C1521" s="312"/>
      <c r="D1521" s="377"/>
      <c r="E1521" s="378"/>
      <c r="F1521" s="379"/>
      <c r="G1521" s="315"/>
      <c r="H1521" s="380"/>
      <c r="I1521" s="914"/>
    </row>
    <row r="1522" spans="1:9" s="324" customFormat="1" ht="12.75" x14ac:dyDescent="0.2">
      <c r="A1522" s="376"/>
      <c r="B1522" s="38"/>
      <c r="C1522" s="312"/>
      <c r="D1522" s="377"/>
      <c r="E1522" s="378"/>
      <c r="F1522" s="379"/>
      <c r="G1522" s="315"/>
      <c r="H1522" s="380"/>
      <c r="I1522" s="914"/>
    </row>
    <row r="1523" spans="1:9" s="324" customFormat="1" ht="12.75" x14ac:dyDescent="0.2">
      <c r="A1523" s="376"/>
      <c r="B1523" s="38"/>
      <c r="C1523" s="312"/>
      <c r="D1523" s="377"/>
      <c r="E1523" s="378"/>
      <c r="F1523" s="379"/>
      <c r="G1523" s="315"/>
      <c r="H1523" s="380"/>
      <c r="I1523" s="914"/>
    </row>
    <row r="1524" spans="1:9" s="324" customFormat="1" ht="12.75" x14ac:dyDescent="0.2">
      <c r="A1524" s="376"/>
      <c r="B1524" s="38"/>
      <c r="C1524" s="312"/>
      <c r="D1524" s="377"/>
      <c r="E1524" s="378"/>
      <c r="F1524" s="379"/>
      <c r="G1524" s="315"/>
      <c r="H1524" s="380"/>
      <c r="I1524" s="914"/>
    </row>
    <row r="1525" spans="1:9" s="324" customFormat="1" ht="12.75" x14ac:dyDescent="0.2">
      <c r="A1525" s="376"/>
      <c r="B1525" s="38"/>
      <c r="C1525" s="312"/>
      <c r="D1525" s="377"/>
      <c r="E1525" s="378"/>
      <c r="F1525" s="379"/>
      <c r="G1525" s="315"/>
      <c r="H1525" s="380"/>
      <c r="I1525" s="914"/>
    </row>
    <row r="1526" spans="1:9" s="324" customFormat="1" ht="12.75" x14ac:dyDescent="0.2">
      <c r="A1526" s="376"/>
      <c r="B1526" s="38"/>
      <c r="C1526" s="312"/>
      <c r="D1526" s="377"/>
      <c r="E1526" s="378"/>
      <c r="F1526" s="379"/>
      <c r="G1526" s="315"/>
      <c r="H1526" s="380"/>
      <c r="I1526" s="914"/>
    </row>
    <row r="1527" spans="1:9" s="324" customFormat="1" ht="12.75" x14ac:dyDescent="0.2">
      <c r="A1527" s="376"/>
      <c r="B1527" s="38"/>
      <c r="C1527" s="312"/>
      <c r="D1527" s="377"/>
      <c r="E1527" s="378"/>
      <c r="F1527" s="379"/>
      <c r="G1527" s="315"/>
      <c r="H1527" s="380"/>
      <c r="I1527" s="914"/>
    </row>
    <row r="1528" spans="1:9" s="324" customFormat="1" ht="12.75" x14ac:dyDescent="0.2">
      <c r="A1528" s="376"/>
      <c r="B1528" s="38"/>
      <c r="C1528" s="312"/>
      <c r="D1528" s="377"/>
      <c r="E1528" s="378"/>
      <c r="F1528" s="379"/>
      <c r="G1528" s="315"/>
      <c r="H1528" s="380"/>
      <c r="I1528" s="914"/>
    </row>
    <row r="1529" spans="1:9" s="324" customFormat="1" ht="12.75" x14ac:dyDescent="0.2">
      <c r="A1529" s="376"/>
      <c r="B1529" s="38"/>
      <c r="C1529" s="312"/>
      <c r="D1529" s="377"/>
      <c r="E1529" s="378"/>
      <c r="F1529" s="379"/>
      <c r="G1529" s="315"/>
      <c r="H1529" s="380"/>
      <c r="I1529" s="914"/>
    </row>
    <row r="1530" spans="1:9" s="324" customFormat="1" ht="12.75" x14ac:dyDescent="0.2">
      <c r="A1530" s="376"/>
      <c r="B1530" s="38"/>
      <c r="C1530" s="312"/>
      <c r="D1530" s="377"/>
      <c r="E1530" s="378"/>
      <c r="F1530" s="379"/>
      <c r="G1530" s="315"/>
      <c r="H1530" s="380"/>
      <c r="I1530" s="914"/>
    </row>
    <row r="1531" spans="1:9" s="324" customFormat="1" ht="12.75" x14ac:dyDescent="0.2">
      <c r="A1531" s="376"/>
      <c r="B1531" s="38"/>
      <c r="C1531" s="312"/>
      <c r="D1531" s="377"/>
      <c r="E1531" s="378"/>
      <c r="F1531" s="379"/>
      <c r="G1531" s="315"/>
      <c r="H1531" s="380"/>
      <c r="I1531" s="914"/>
    </row>
    <row r="1532" spans="1:9" s="324" customFormat="1" ht="12.75" x14ac:dyDescent="0.2">
      <c r="A1532" s="376"/>
      <c r="B1532" s="38"/>
      <c r="C1532" s="312"/>
      <c r="D1532" s="377"/>
      <c r="E1532" s="378"/>
      <c r="F1532" s="379"/>
      <c r="G1532" s="315"/>
      <c r="H1532" s="380"/>
      <c r="I1532" s="914"/>
    </row>
    <row r="1533" spans="1:9" s="324" customFormat="1" ht="12.75" x14ac:dyDescent="0.2">
      <c r="A1533" s="376"/>
      <c r="B1533" s="38"/>
      <c r="C1533" s="312"/>
      <c r="D1533" s="377"/>
      <c r="E1533" s="378"/>
      <c r="F1533" s="379"/>
      <c r="G1533" s="315"/>
      <c r="H1533" s="380"/>
      <c r="I1533" s="914"/>
    </row>
    <row r="1534" spans="1:9" s="324" customFormat="1" ht="12.75" x14ac:dyDescent="0.2">
      <c r="A1534" s="376"/>
      <c r="B1534" s="38"/>
      <c r="C1534" s="312"/>
      <c r="D1534" s="377"/>
      <c r="E1534" s="378"/>
      <c r="F1534" s="379"/>
      <c r="G1534" s="315"/>
      <c r="H1534" s="380"/>
      <c r="I1534" s="914"/>
    </row>
    <row r="1535" spans="1:9" s="324" customFormat="1" ht="12.75" x14ac:dyDescent="0.2">
      <c r="A1535" s="376"/>
      <c r="B1535" s="38"/>
      <c r="C1535" s="312"/>
      <c r="D1535" s="377"/>
      <c r="E1535" s="378"/>
      <c r="F1535" s="379"/>
      <c r="G1535" s="315"/>
      <c r="H1535" s="380"/>
      <c r="I1535" s="914"/>
    </row>
    <row r="1536" spans="1:9" s="324" customFormat="1" ht="12.75" x14ac:dyDescent="0.2">
      <c r="A1536" s="376"/>
      <c r="B1536" s="38"/>
      <c r="C1536" s="312"/>
      <c r="D1536" s="377"/>
      <c r="E1536" s="378"/>
      <c r="F1536" s="379"/>
      <c r="G1536" s="315"/>
      <c r="H1536" s="380"/>
      <c r="I1536" s="914"/>
    </row>
    <row r="1537" spans="1:9" s="324" customFormat="1" ht="12.75" x14ac:dyDescent="0.2">
      <c r="A1537" s="376"/>
      <c r="B1537" s="38"/>
      <c r="C1537" s="312"/>
      <c r="D1537" s="377"/>
      <c r="E1537" s="378"/>
      <c r="F1537" s="379"/>
      <c r="G1537" s="315"/>
      <c r="H1537" s="380"/>
      <c r="I1537" s="914"/>
    </row>
    <row r="1538" spans="1:9" s="324" customFormat="1" ht="12.75" x14ac:dyDescent="0.2">
      <c r="A1538" s="376"/>
      <c r="B1538" s="38"/>
      <c r="C1538" s="312"/>
      <c r="D1538" s="377"/>
      <c r="E1538" s="378"/>
      <c r="F1538" s="379"/>
      <c r="G1538" s="315"/>
      <c r="H1538" s="380"/>
      <c r="I1538" s="914"/>
    </row>
    <row r="1539" spans="1:9" s="324" customFormat="1" ht="12.75" x14ac:dyDescent="0.2">
      <c r="A1539" s="376"/>
      <c r="B1539" s="38"/>
      <c r="C1539" s="312"/>
      <c r="D1539" s="377"/>
      <c r="E1539" s="378"/>
      <c r="F1539" s="379"/>
      <c r="G1539" s="315"/>
      <c r="H1539" s="380"/>
      <c r="I1539" s="914"/>
    </row>
    <row r="1540" spans="1:9" s="324" customFormat="1" ht="12.75" x14ac:dyDescent="0.2">
      <c r="A1540" s="376"/>
      <c r="B1540" s="38"/>
      <c r="C1540" s="312"/>
      <c r="D1540" s="377"/>
      <c r="E1540" s="378"/>
      <c r="F1540" s="379"/>
      <c r="G1540" s="315"/>
      <c r="H1540" s="380"/>
      <c r="I1540" s="914"/>
    </row>
    <row r="1541" spans="1:9" s="324" customFormat="1" ht="12.75" x14ac:dyDescent="0.2">
      <c r="A1541" s="376"/>
      <c r="B1541" s="38"/>
      <c r="C1541" s="312"/>
      <c r="D1541" s="377"/>
      <c r="E1541" s="378"/>
      <c r="F1541" s="379"/>
      <c r="G1541" s="315"/>
      <c r="H1541" s="380"/>
      <c r="I1541" s="914"/>
    </row>
    <row r="1542" spans="1:9" s="324" customFormat="1" ht="12.75" x14ac:dyDescent="0.2">
      <c r="A1542" s="376"/>
      <c r="B1542" s="38"/>
      <c r="C1542" s="312"/>
      <c r="D1542" s="377"/>
      <c r="E1542" s="378"/>
      <c r="F1542" s="379"/>
      <c r="G1542" s="315"/>
      <c r="H1542" s="380"/>
      <c r="I1542" s="914"/>
    </row>
    <row r="1543" spans="1:9" s="324" customFormat="1" ht="12.75" x14ac:dyDescent="0.2">
      <c r="A1543" s="376"/>
      <c r="B1543" s="38"/>
      <c r="C1543" s="312"/>
      <c r="D1543" s="377"/>
      <c r="E1543" s="378"/>
      <c r="F1543" s="379"/>
      <c r="G1543" s="315"/>
      <c r="H1543" s="380"/>
      <c r="I1543" s="914"/>
    </row>
    <row r="1544" spans="1:9" s="324" customFormat="1" ht="12.75" x14ac:dyDescent="0.2">
      <c r="A1544" s="376"/>
      <c r="B1544" s="38"/>
      <c r="C1544" s="312"/>
      <c r="D1544" s="377"/>
      <c r="E1544" s="378"/>
      <c r="F1544" s="379"/>
      <c r="G1544" s="315"/>
      <c r="H1544" s="380"/>
      <c r="I1544" s="914"/>
    </row>
    <row r="1545" spans="1:9" s="324" customFormat="1" ht="12.75" x14ac:dyDescent="0.2">
      <c r="A1545" s="376"/>
      <c r="B1545" s="38"/>
      <c r="C1545" s="312"/>
      <c r="D1545" s="377"/>
      <c r="E1545" s="378"/>
      <c r="F1545" s="379"/>
      <c r="G1545" s="315"/>
      <c r="H1545" s="380"/>
      <c r="I1545" s="914"/>
    </row>
    <row r="1546" spans="1:9" s="324" customFormat="1" ht="12.75" x14ac:dyDescent="0.2">
      <c r="A1546" s="376"/>
      <c r="B1546" s="38"/>
      <c r="C1546" s="312"/>
      <c r="D1546" s="377"/>
      <c r="E1546" s="378"/>
      <c r="F1546" s="379"/>
      <c r="G1546" s="315"/>
      <c r="H1546" s="380"/>
      <c r="I1546" s="914"/>
    </row>
    <row r="1547" spans="1:9" s="324" customFormat="1" ht="12.75" x14ac:dyDescent="0.2">
      <c r="A1547" s="376"/>
      <c r="B1547" s="38"/>
      <c r="C1547" s="312"/>
      <c r="D1547" s="377"/>
      <c r="E1547" s="378"/>
      <c r="F1547" s="379"/>
      <c r="G1547" s="315"/>
      <c r="H1547" s="380"/>
      <c r="I1547" s="914"/>
    </row>
    <row r="1548" spans="1:9" s="324" customFormat="1" ht="12.75" x14ac:dyDescent="0.2">
      <c r="A1548" s="376"/>
      <c r="B1548" s="38"/>
      <c r="C1548" s="312"/>
      <c r="D1548" s="377"/>
      <c r="E1548" s="378"/>
      <c r="F1548" s="379"/>
      <c r="G1548" s="315"/>
      <c r="H1548" s="380"/>
      <c r="I1548" s="914"/>
    </row>
    <row r="1549" spans="1:9" s="324" customFormat="1" ht="12.75" x14ac:dyDescent="0.2">
      <c r="A1549" s="376"/>
      <c r="B1549" s="38"/>
      <c r="C1549" s="312"/>
      <c r="D1549" s="377"/>
      <c r="E1549" s="378"/>
      <c r="F1549" s="379"/>
      <c r="G1549" s="315"/>
      <c r="H1549" s="380"/>
      <c r="I1549" s="914"/>
    </row>
    <row r="1550" spans="1:9" s="324" customFormat="1" ht="12.75" x14ac:dyDescent="0.2">
      <c r="A1550" s="376"/>
      <c r="B1550" s="38"/>
      <c r="C1550" s="312"/>
      <c r="D1550" s="377"/>
      <c r="E1550" s="378"/>
      <c r="F1550" s="379"/>
      <c r="G1550" s="315"/>
      <c r="H1550" s="380"/>
      <c r="I1550" s="914"/>
    </row>
    <row r="1551" spans="1:9" s="324" customFormat="1" ht="12.75" x14ac:dyDescent="0.2">
      <c r="A1551" s="376"/>
      <c r="B1551" s="38"/>
      <c r="C1551" s="312"/>
      <c r="D1551" s="377"/>
      <c r="E1551" s="378"/>
      <c r="F1551" s="379"/>
      <c r="G1551" s="315"/>
      <c r="H1551" s="380"/>
      <c r="I1551" s="914"/>
    </row>
    <row r="1552" spans="1:9" s="324" customFormat="1" ht="12.75" x14ac:dyDescent="0.2">
      <c r="A1552" s="376"/>
      <c r="B1552" s="38"/>
      <c r="C1552" s="312"/>
      <c r="D1552" s="377"/>
      <c r="E1552" s="378"/>
      <c r="F1552" s="379"/>
      <c r="G1552" s="315"/>
      <c r="H1552" s="380"/>
      <c r="I1552" s="914"/>
    </row>
    <row r="1553" spans="1:9" s="324" customFormat="1" ht="12.75" x14ac:dyDescent="0.2">
      <c r="A1553" s="376"/>
      <c r="B1553" s="38"/>
      <c r="C1553" s="312"/>
      <c r="D1553" s="377"/>
      <c r="E1553" s="378"/>
      <c r="F1553" s="379"/>
      <c r="G1553" s="315"/>
      <c r="H1553" s="380"/>
      <c r="I1553" s="914"/>
    </row>
    <row r="1554" spans="1:9" s="324" customFormat="1" ht="12.75" x14ac:dyDescent="0.2">
      <c r="A1554" s="376"/>
      <c r="B1554" s="38"/>
      <c r="C1554" s="312"/>
      <c r="D1554" s="377"/>
      <c r="E1554" s="378"/>
      <c r="F1554" s="379"/>
      <c r="G1554" s="315"/>
      <c r="H1554" s="380"/>
      <c r="I1554" s="914"/>
    </row>
    <row r="1555" spans="1:9" s="324" customFormat="1" ht="12.75" x14ac:dyDescent="0.2">
      <c r="A1555" s="376"/>
      <c r="B1555" s="38"/>
      <c r="C1555" s="312"/>
      <c r="D1555" s="377"/>
      <c r="E1555" s="378"/>
      <c r="F1555" s="379"/>
      <c r="G1555" s="315"/>
      <c r="H1555" s="380"/>
      <c r="I1555" s="914"/>
    </row>
    <row r="1556" spans="1:9" s="324" customFormat="1" ht="12.75" x14ac:dyDescent="0.2">
      <c r="A1556" s="376"/>
      <c r="B1556" s="38"/>
      <c r="C1556" s="312"/>
      <c r="D1556" s="377"/>
      <c r="E1556" s="378"/>
      <c r="F1556" s="379"/>
      <c r="G1556" s="315"/>
      <c r="H1556" s="380"/>
      <c r="I1556" s="914"/>
    </row>
    <row r="1557" spans="1:9" s="324" customFormat="1" ht="12.75" x14ac:dyDescent="0.2">
      <c r="A1557" s="376"/>
      <c r="B1557" s="38"/>
      <c r="C1557" s="312"/>
      <c r="D1557" s="377"/>
      <c r="E1557" s="378"/>
      <c r="F1557" s="379"/>
      <c r="G1557" s="315"/>
      <c r="H1557" s="380"/>
      <c r="I1557" s="914"/>
    </row>
    <row r="1558" spans="1:9" s="324" customFormat="1" ht="12.75" x14ac:dyDescent="0.2">
      <c r="A1558" s="376"/>
      <c r="B1558" s="38"/>
      <c r="C1558" s="312"/>
      <c r="D1558" s="377"/>
      <c r="E1558" s="378"/>
      <c r="F1558" s="379"/>
      <c r="G1558" s="315"/>
      <c r="H1558" s="380"/>
      <c r="I1558" s="914"/>
    </row>
    <row r="1559" spans="1:9" s="324" customFormat="1" ht="12.75" x14ac:dyDescent="0.2">
      <c r="A1559" s="376"/>
      <c r="B1559" s="38"/>
      <c r="C1559" s="312"/>
      <c r="D1559" s="377"/>
      <c r="E1559" s="378"/>
      <c r="F1559" s="379"/>
      <c r="G1559" s="315"/>
      <c r="H1559" s="380"/>
      <c r="I1559" s="914"/>
    </row>
    <row r="1560" spans="1:9" s="324" customFormat="1" ht="12.75" x14ac:dyDescent="0.2">
      <c r="A1560" s="376"/>
      <c r="B1560" s="38"/>
      <c r="C1560" s="312"/>
      <c r="D1560" s="377"/>
      <c r="E1560" s="378"/>
      <c r="F1560" s="379"/>
      <c r="G1560" s="315"/>
      <c r="H1560" s="380"/>
      <c r="I1560" s="914"/>
    </row>
    <row r="1561" spans="1:9" s="324" customFormat="1" ht="12.75" x14ac:dyDescent="0.2">
      <c r="A1561" s="376"/>
      <c r="B1561" s="38"/>
      <c r="C1561" s="312"/>
      <c r="D1561" s="377"/>
      <c r="E1561" s="378"/>
      <c r="F1561" s="379"/>
      <c r="G1561" s="315"/>
      <c r="H1561" s="380"/>
      <c r="I1561" s="914"/>
    </row>
    <row r="1562" spans="1:9" s="324" customFormat="1" ht="12.75" x14ac:dyDescent="0.2">
      <c r="A1562" s="376"/>
      <c r="B1562" s="38"/>
      <c r="C1562" s="312"/>
      <c r="D1562" s="377"/>
      <c r="E1562" s="378"/>
      <c r="F1562" s="379"/>
      <c r="G1562" s="315"/>
      <c r="H1562" s="380"/>
      <c r="I1562" s="914"/>
    </row>
    <row r="1563" spans="1:9" s="324" customFormat="1" ht="12.75" x14ac:dyDescent="0.2">
      <c r="A1563" s="376"/>
      <c r="B1563" s="38"/>
      <c r="C1563" s="312"/>
      <c r="D1563" s="377"/>
      <c r="E1563" s="378"/>
      <c r="F1563" s="379"/>
      <c r="G1563" s="315"/>
      <c r="H1563" s="380"/>
      <c r="I1563" s="914"/>
    </row>
    <row r="1564" spans="1:9" s="324" customFormat="1" ht="12.75" x14ac:dyDescent="0.2">
      <c r="A1564" s="376"/>
      <c r="B1564" s="38"/>
      <c r="C1564" s="312"/>
      <c r="D1564" s="377"/>
      <c r="E1564" s="378"/>
      <c r="F1564" s="379"/>
      <c r="G1564" s="315"/>
      <c r="H1564" s="380"/>
      <c r="I1564" s="914"/>
    </row>
    <row r="1565" spans="1:9" s="324" customFormat="1" ht="12.75" x14ac:dyDescent="0.2">
      <c r="A1565" s="376"/>
      <c r="B1565" s="38"/>
      <c r="C1565" s="312"/>
      <c r="D1565" s="377"/>
      <c r="E1565" s="378"/>
      <c r="F1565" s="379"/>
      <c r="G1565" s="315"/>
      <c r="H1565" s="380"/>
      <c r="I1565" s="914"/>
    </row>
    <row r="1566" spans="1:9" s="324" customFormat="1" ht="12.75" x14ac:dyDescent="0.2">
      <c r="A1566" s="376"/>
      <c r="B1566" s="38"/>
      <c r="C1566" s="312"/>
      <c r="D1566" s="377"/>
      <c r="E1566" s="378"/>
      <c r="F1566" s="379"/>
      <c r="G1566" s="315"/>
      <c r="H1566" s="380"/>
      <c r="I1566" s="914"/>
    </row>
    <row r="1567" spans="1:9" s="324" customFormat="1" ht="12.75" x14ac:dyDescent="0.2">
      <c r="A1567" s="376"/>
      <c r="B1567" s="38"/>
      <c r="C1567" s="312"/>
      <c r="D1567" s="377"/>
      <c r="E1567" s="378"/>
      <c r="F1567" s="379"/>
      <c r="G1567" s="315"/>
      <c r="H1567" s="380"/>
      <c r="I1567" s="914"/>
    </row>
    <row r="1568" spans="1:9" s="324" customFormat="1" ht="12.75" x14ac:dyDescent="0.2">
      <c r="A1568" s="376"/>
      <c r="B1568" s="38"/>
      <c r="C1568" s="312"/>
      <c r="D1568" s="377"/>
      <c r="E1568" s="378"/>
      <c r="F1568" s="379"/>
      <c r="G1568" s="315"/>
      <c r="H1568" s="380"/>
      <c r="I1568" s="914"/>
    </row>
    <row r="1569" spans="1:9" s="324" customFormat="1" ht="12.75" x14ac:dyDescent="0.2">
      <c r="A1569" s="376"/>
      <c r="B1569" s="38"/>
      <c r="C1569" s="312"/>
      <c r="D1569" s="377"/>
      <c r="E1569" s="378"/>
      <c r="F1569" s="379"/>
      <c r="G1569" s="315"/>
      <c r="H1569" s="380"/>
      <c r="I1569" s="914"/>
    </row>
    <row r="1570" spans="1:9" s="324" customFormat="1" ht="12.75" x14ac:dyDescent="0.2">
      <c r="A1570" s="376"/>
      <c r="B1570" s="38"/>
      <c r="C1570" s="312"/>
      <c r="D1570" s="377"/>
      <c r="E1570" s="378"/>
      <c r="F1570" s="379"/>
      <c r="G1570" s="315"/>
      <c r="H1570" s="380"/>
      <c r="I1570" s="914"/>
    </row>
    <row r="1571" spans="1:9" s="324" customFormat="1" ht="12.75" x14ac:dyDescent="0.2">
      <c r="A1571" s="376"/>
      <c r="B1571" s="38"/>
      <c r="C1571" s="312"/>
      <c r="D1571" s="377"/>
      <c r="E1571" s="378"/>
      <c r="F1571" s="379"/>
      <c r="G1571" s="315"/>
      <c r="H1571" s="380"/>
      <c r="I1571" s="914"/>
    </row>
    <row r="1572" spans="1:9" s="324" customFormat="1" ht="12.75" x14ac:dyDescent="0.2">
      <c r="A1572" s="376"/>
      <c r="B1572" s="38"/>
      <c r="C1572" s="312"/>
      <c r="D1572" s="377"/>
      <c r="E1572" s="378"/>
      <c r="F1572" s="379"/>
      <c r="G1572" s="315"/>
      <c r="H1572" s="380"/>
      <c r="I1572" s="914"/>
    </row>
    <row r="1573" spans="1:9" s="324" customFormat="1" ht="12.75" x14ac:dyDescent="0.2">
      <c r="A1573" s="376"/>
      <c r="B1573" s="38"/>
      <c r="C1573" s="312"/>
      <c r="D1573" s="377"/>
      <c r="E1573" s="378"/>
      <c r="F1573" s="379"/>
      <c r="G1573" s="315"/>
      <c r="H1573" s="380"/>
      <c r="I1573" s="914"/>
    </row>
    <row r="1574" spans="1:9" s="324" customFormat="1" ht="12.75" x14ac:dyDescent="0.2">
      <c r="A1574" s="376"/>
      <c r="B1574" s="38"/>
      <c r="C1574" s="312"/>
      <c r="D1574" s="377"/>
      <c r="E1574" s="378"/>
      <c r="F1574" s="379"/>
      <c r="G1574" s="315"/>
      <c r="H1574" s="380"/>
      <c r="I1574" s="914"/>
    </row>
    <row r="1575" spans="1:9" s="324" customFormat="1" ht="12.75" x14ac:dyDescent="0.2">
      <c r="A1575" s="376"/>
      <c r="B1575" s="38"/>
      <c r="C1575" s="312"/>
      <c r="D1575" s="377"/>
      <c r="E1575" s="378"/>
      <c r="F1575" s="379"/>
      <c r="G1575" s="315"/>
      <c r="H1575" s="380"/>
      <c r="I1575" s="914"/>
    </row>
    <row r="1576" spans="1:9" s="324" customFormat="1" ht="12.75" x14ac:dyDescent="0.2">
      <c r="A1576" s="376"/>
      <c r="B1576" s="38"/>
      <c r="C1576" s="312"/>
      <c r="D1576" s="377"/>
      <c r="E1576" s="378"/>
      <c r="F1576" s="379"/>
      <c r="G1576" s="315"/>
      <c r="H1576" s="380"/>
      <c r="I1576" s="914"/>
    </row>
    <row r="1577" spans="1:9" s="324" customFormat="1" ht="12.75" x14ac:dyDescent="0.2">
      <c r="A1577" s="376"/>
      <c r="B1577" s="38"/>
      <c r="C1577" s="312"/>
      <c r="D1577" s="377"/>
      <c r="E1577" s="378"/>
      <c r="F1577" s="379"/>
      <c r="G1577" s="315"/>
      <c r="H1577" s="380"/>
      <c r="I1577" s="914"/>
    </row>
    <row r="1578" spans="1:9" s="324" customFormat="1" ht="12.75" x14ac:dyDescent="0.2">
      <c r="A1578" s="376"/>
      <c r="B1578" s="38"/>
      <c r="C1578" s="312"/>
      <c r="D1578" s="377"/>
      <c r="E1578" s="378"/>
      <c r="F1578" s="379"/>
      <c r="G1578" s="315"/>
      <c r="H1578" s="380"/>
      <c r="I1578" s="914"/>
    </row>
    <row r="1579" spans="1:9" s="324" customFormat="1" ht="12.75" x14ac:dyDescent="0.2">
      <c r="A1579" s="376"/>
      <c r="B1579" s="38"/>
      <c r="C1579" s="312"/>
      <c r="D1579" s="377"/>
      <c r="E1579" s="378"/>
      <c r="F1579" s="379"/>
      <c r="G1579" s="315"/>
      <c r="H1579" s="380"/>
      <c r="I1579" s="914"/>
    </row>
    <row r="1580" spans="1:9" s="324" customFormat="1" ht="12.75" x14ac:dyDescent="0.2">
      <c r="A1580" s="376"/>
      <c r="B1580" s="38"/>
      <c r="C1580" s="312"/>
      <c r="D1580" s="377"/>
      <c r="E1580" s="378"/>
      <c r="F1580" s="379"/>
      <c r="G1580" s="315"/>
      <c r="H1580" s="380"/>
      <c r="I1580" s="914"/>
    </row>
    <row r="1581" spans="1:9" s="324" customFormat="1" ht="12.75" x14ac:dyDescent="0.2">
      <c r="A1581" s="376"/>
      <c r="B1581" s="38"/>
      <c r="C1581" s="312"/>
      <c r="D1581" s="377"/>
      <c r="E1581" s="378"/>
      <c r="F1581" s="379"/>
      <c r="G1581" s="315"/>
      <c r="H1581" s="380"/>
      <c r="I1581" s="914"/>
    </row>
    <row r="1582" spans="1:9" s="324" customFormat="1" ht="12.75" x14ac:dyDescent="0.2">
      <c r="A1582" s="376"/>
      <c r="B1582" s="38"/>
      <c r="C1582" s="312"/>
      <c r="D1582" s="377"/>
      <c r="E1582" s="378"/>
      <c r="F1582" s="379"/>
      <c r="G1582" s="315"/>
      <c r="H1582" s="380"/>
      <c r="I1582" s="914"/>
    </row>
    <row r="1583" spans="1:9" s="324" customFormat="1" ht="12.75" x14ac:dyDescent="0.2">
      <c r="A1583" s="376"/>
      <c r="B1583" s="38"/>
      <c r="C1583" s="312"/>
      <c r="D1583" s="377"/>
      <c r="E1583" s="378"/>
      <c r="F1583" s="379"/>
      <c r="G1583" s="315"/>
      <c r="H1583" s="380"/>
      <c r="I1583" s="914"/>
    </row>
    <row r="1584" spans="1:9" s="324" customFormat="1" ht="12.75" x14ac:dyDescent="0.2">
      <c r="A1584" s="376"/>
      <c r="B1584" s="38"/>
      <c r="C1584" s="312"/>
      <c r="D1584" s="377"/>
      <c r="E1584" s="378"/>
      <c r="F1584" s="379"/>
      <c r="G1584" s="315"/>
      <c r="H1584" s="380"/>
      <c r="I1584" s="914"/>
    </row>
    <row r="1585" spans="1:9" s="324" customFormat="1" ht="12.75" x14ac:dyDescent="0.2">
      <c r="A1585" s="376"/>
      <c r="B1585" s="38"/>
      <c r="C1585" s="312"/>
      <c r="D1585" s="377"/>
      <c r="E1585" s="378"/>
      <c r="F1585" s="379"/>
      <c r="G1585" s="315"/>
      <c r="H1585" s="380"/>
      <c r="I1585" s="914"/>
    </row>
    <row r="1586" spans="1:9" s="324" customFormat="1" ht="12.75" x14ac:dyDescent="0.2">
      <c r="A1586" s="376"/>
      <c r="B1586" s="38"/>
      <c r="C1586" s="312"/>
      <c r="D1586" s="377"/>
      <c r="E1586" s="378"/>
      <c r="F1586" s="379"/>
      <c r="G1586" s="315"/>
      <c r="H1586" s="380"/>
      <c r="I1586" s="914"/>
    </row>
    <row r="1587" spans="1:9" s="324" customFormat="1" ht="12.75" x14ac:dyDescent="0.2">
      <c r="A1587" s="376"/>
      <c r="B1587" s="38"/>
      <c r="C1587" s="312"/>
      <c r="D1587" s="377"/>
      <c r="E1587" s="378"/>
      <c r="F1587" s="379"/>
      <c r="G1587" s="315"/>
      <c r="H1587" s="380"/>
      <c r="I1587" s="914"/>
    </row>
    <row r="1588" spans="1:9" s="324" customFormat="1" ht="12.75" x14ac:dyDescent="0.2">
      <c r="A1588" s="376"/>
      <c r="B1588" s="38"/>
      <c r="C1588" s="312"/>
      <c r="D1588" s="377"/>
      <c r="E1588" s="378"/>
      <c r="F1588" s="379"/>
      <c r="G1588" s="315"/>
      <c r="H1588" s="380"/>
      <c r="I1588" s="914"/>
    </row>
    <row r="1589" spans="1:9" s="324" customFormat="1" ht="12.75" x14ac:dyDescent="0.2">
      <c r="A1589" s="376"/>
      <c r="B1589" s="38"/>
      <c r="C1589" s="312"/>
      <c r="D1589" s="377"/>
      <c r="E1589" s="378"/>
      <c r="F1589" s="379"/>
      <c r="G1589" s="315"/>
      <c r="H1589" s="380"/>
      <c r="I1589" s="914"/>
    </row>
    <row r="1590" spans="1:9" s="324" customFormat="1" ht="12.75" x14ac:dyDescent="0.2">
      <c r="A1590" s="376"/>
      <c r="B1590" s="38"/>
      <c r="C1590" s="312"/>
      <c r="D1590" s="377"/>
      <c r="E1590" s="378"/>
      <c r="F1590" s="379"/>
      <c r="G1590" s="315"/>
      <c r="H1590" s="380"/>
      <c r="I1590" s="914"/>
    </row>
    <row r="1591" spans="1:9" s="324" customFormat="1" ht="12.75" x14ac:dyDescent="0.2">
      <c r="A1591" s="376"/>
      <c r="B1591" s="38"/>
      <c r="C1591" s="312"/>
      <c r="D1591" s="377"/>
      <c r="E1591" s="378"/>
      <c r="F1591" s="379"/>
      <c r="G1591" s="315"/>
      <c r="H1591" s="380"/>
      <c r="I1591" s="914"/>
    </row>
    <row r="1592" spans="1:9" s="324" customFormat="1" ht="12.75" x14ac:dyDescent="0.2">
      <c r="A1592" s="376"/>
      <c r="B1592" s="38"/>
      <c r="C1592" s="312"/>
      <c r="D1592" s="377"/>
      <c r="E1592" s="378"/>
      <c r="F1592" s="379"/>
      <c r="G1592" s="315"/>
      <c r="H1592" s="380"/>
      <c r="I1592" s="914"/>
    </row>
    <row r="1593" spans="1:9" s="324" customFormat="1" ht="12.75" x14ac:dyDescent="0.2">
      <c r="A1593" s="376"/>
      <c r="B1593" s="38"/>
      <c r="C1593" s="312"/>
      <c r="D1593" s="377"/>
      <c r="E1593" s="378"/>
      <c r="F1593" s="379"/>
      <c r="G1593" s="315"/>
      <c r="H1593" s="380"/>
      <c r="I1593" s="914"/>
    </row>
    <row r="1594" spans="1:9" s="324" customFormat="1" ht="12.75" x14ac:dyDescent="0.2">
      <c r="A1594" s="376"/>
      <c r="B1594" s="38"/>
      <c r="C1594" s="312"/>
      <c r="D1594" s="377"/>
      <c r="E1594" s="378"/>
      <c r="F1594" s="379"/>
      <c r="G1594" s="315"/>
      <c r="H1594" s="380"/>
      <c r="I1594" s="914"/>
    </row>
  </sheetData>
  <mergeCells count="225">
    <mergeCell ref="A12:A15"/>
    <mergeCell ref="A735:A738"/>
    <mergeCell ref="A747:A753"/>
    <mergeCell ref="A267:A270"/>
    <mergeCell ref="A434:A439"/>
    <mergeCell ref="A598:A599"/>
    <mergeCell ref="A582:A586"/>
    <mergeCell ref="A587:A588"/>
    <mergeCell ref="A550:A554"/>
    <mergeCell ref="A578:A579"/>
    <mergeCell ref="A589:A590"/>
    <mergeCell ref="A261:H261"/>
    <mergeCell ref="A407:A412"/>
    <mergeCell ref="A318:A321"/>
    <mergeCell ref="A508:A513"/>
    <mergeCell ref="A258:A259"/>
    <mergeCell ref="A374:A377"/>
    <mergeCell ref="A181:A182"/>
    <mergeCell ref="A497:A498"/>
    <mergeCell ref="A502:A504"/>
    <mergeCell ref="A490:A495"/>
    <mergeCell ref="A367:A368"/>
    <mergeCell ref="A207:A211"/>
    <mergeCell ref="A232:A236"/>
    <mergeCell ref="A1138:A1139"/>
    <mergeCell ref="A682:A683"/>
    <mergeCell ref="A932:A933"/>
    <mergeCell ref="A884:A888"/>
    <mergeCell ref="A1090:A1091"/>
    <mergeCell ref="A1071:A1072"/>
    <mergeCell ref="A1101:A1103"/>
    <mergeCell ref="A966:A967"/>
    <mergeCell ref="A1121:A1124"/>
    <mergeCell ref="A1125:A1126"/>
    <mergeCell ref="A1107:A1108"/>
    <mergeCell ref="A1027:A1028"/>
    <mergeCell ref="A1133:A1134"/>
    <mergeCell ref="A1110:A1111"/>
    <mergeCell ref="A1048:A1049"/>
    <mergeCell ref="A919:A923"/>
    <mergeCell ref="A1095:A1097"/>
    <mergeCell ref="A1034:A1035"/>
    <mergeCell ref="A1015:A1017"/>
    <mergeCell ref="A1041:A1042"/>
    <mergeCell ref="A969:A974"/>
    <mergeCell ref="A1087:H1087"/>
    <mergeCell ref="A1074:A1078"/>
    <mergeCell ref="A1062:A1063"/>
    <mergeCell ref="A1:H1"/>
    <mergeCell ref="A2:H2"/>
    <mergeCell ref="A3:H3"/>
    <mergeCell ref="A4:H4"/>
    <mergeCell ref="A21:A22"/>
    <mergeCell ref="A458:A460"/>
    <mergeCell ref="A462:A467"/>
    <mergeCell ref="A469:A471"/>
    <mergeCell ref="A472:A474"/>
    <mergeCell ref="A402:A405"/>
    <mergeCell ref="A441:A443"/>
    <mergeCell ref="A414:A415"/>
    <mergeCell ref="A164:A166"/>
    <mergeCell ref="A169:A171"/>
    <mergeCell ref="A48:A50"/>
    <mergeCell ref="A184:A188"/>
    <mergeCell ref="A220:A221"/>
    <mergeCell ref="A223:A227"/>
    <mergeCell ref="A82:A83"/>
    <mergeCell ref="A153:A155"/>
    <mergeCell ref="A7:H7"/>
    <mergeCell ref="A213:A219"/>
    <mergeCell ref="A243:A244"/>
    <mergeCell ref="A248:A249"/>
    <mergeCell ref="A6:H6"/>
    <mergeCell ref="A229:A230"/>
    <mergeCell ref="A1037:A1038"/>
    <mergeCell ref="A131:A133"/>
    <mergeCell ref="A159:A161"/>
    <mergeCell ref="A126:H126"/>
    <mergeCell ref="A56:A57"/>
    <mergeCell ref="A88:A89"/>
    <mergeCell ref="A106:A107"/>
    <mergeCell ref="A109:A110"/>
    <mergeCell ref="A119:A120"/>
    <mergeCell ref="A264:A265"/>
    <mergeCell ref="A272:A273"/>
    <mergeCell ref="A299:A302"/>
    <mergeCell ref="A174:A178"/>
    <mergeCell ref="A199:A205"/>
    <mergeCell ref="A288:A289"/>
    <mergeCell ref="A139:A141"/>
    <mergeCell ref="A925:A926"/>
    <mergeCell ref="A942:A943"/>
    <mergeCell ref="A776:A777"/>
    <mergeCell ref="A910:A914"/>
    <mergeCell ref="A669:A671"/>
    <mergeCell ref="A1030:A1031"/>
    <mergeCell ref="A1012:H1012"/>
    <mergeCell ref="A948:A949"/>
    <mergeCell ref="A956:A961"/>
    <mergeCell ref="C1011:H1011"/>
    <mergeCell ref="A656:A657"/>
    <mergeCell ref="A455:A457"/>
    <mergeCell ref="A547:A548"/>
    <mergeCell ref="A976:A978"/>
    <mergeCell ref="A847:A853"/>
    <mergeCell ref="A612:A617"/>
    <mergeCell ref="A620:A622"/>
    <mergeCell ref="A526:A527"/>
    <mergeCell ref="A534:A537"/>
    <mergeCell ref="A528:A530"/>
    <mergeCell ref="A542:A545"/>
    <mergeCell ref="A1003:A1004"/>
    <mergeCell ref="A991:A992"/>
    <mergeCell ref="A678:A680"/>
    <mergeCell ref="A896:A899"/>
    <mergeCell ref="A893:A894"/>
    <mergeCell ref="A790:A796"/>
    <mergeCell ref="A862:A867"/>
    <mergeCell ref="A742:A746"/>
    <mergeCell ref="A514:A517"/>
    <mergeCell ref="A386:A387"/>
    <mergeCell ref="A430:A432"/>
    <mergeCell ref="A362:A363"/>
    <mergeCell ref="A275:A278"/>
    <mergeCell ref="A190:A192"/>
    <mergeCell ref="A193:A194"/>
    <mergeCell ref="A195:A197"/>
    <mergeCell ref="A291:A294"/>
    <mergeCell ref="A448:A453"/>
    <mergeCell ref="A24:A38"/>
    <mergeCell ref="A61:A62"/>
    <mergeCell ref="A66:A67"/>
    <mergeCell ref="A350:A352"/>
    <mergeCell ref="A379:A384"/>
    <mergeCell ref="A393:A398"/>
    <mergeCell ref="A388:A391"/>
    <mergeCell ref="A400:A401"/>
    <mergeCell ref="A427:A429"/>
    <mergeCell ref="A325:A328"/>
    <mergeCell ref="A420:A425"/>
    <mergeCell ref="A369:H369"/>
    <mergeCell ref="A44:A45"/>
    <mergeCell ref="A100:A101"/>
    <mergeCell ref="A53:A54"/>
    <mergeCell ref="A76:A77"/>
    <mergeCell ref="A92:A93"/>
    <mergeCell ref="A283:A286"/>
    <mergeCell ref="A74:A75"/>
    <mergeCell ref="A135:A136"/>
    <mergeCell ref="A143:A144"/>
    <mergeCell ref="A238:A242"/>
    <mergeCell ref="A251:A253"/>
    <mergeCell ref="A280:A281"/>
    <mergeCell ref="A84:A86"/>
    <mergeCell ref="A111:A112"/>
    <mergeCell ref="A115:A117"/>
    <mergeCell ref="A104:A105"/>
    <mergeCell ref="A372:A373"/>
    <mergeCell ref="A306:A307"/>
    <mergeCell ref="A70:A71"/>
    <mergeCell ref="A96:A97"/>
    <mergeCell ref="A1142:H1142"/>
    <mergeCell ref="A662:A664"/>
    <mergeCell ref="A994:A1000"/>
    <mergeCell ref="A296:A297"/>
    <mergeCell ref="A1020:A1021"/>
    <mergeCell ref="A1023:A1024"/>
    <mergeCell ref="A314:A315"/>
    <mergeCell ref="A483:A485"/>
    <mergeCell ref="A416:A418"/>
    <mergeCell ref="A345:A346"/>
    <mergeCell ref="A476:A481"/>
    <mergeCell ref="A444:A446"/>
    <mergeCell ref="A311:H311"/>
    <mergeCell ref="A332:A335"/>
    <mergeCell ref="A339:A340"/>
    <mergeCell ref="A356:A358"/>
    <mergeCell ref="A1113:A1116"/>
    <mergeCell ref="A870:A874"/>
    <mergeCell ref="A568:A570"/>
    <mergeCell ref="A593:A597"/>
    <mergeCell ref="A692:A695"/>
    <mergeCell ref="A710:A714"/>
    <mergeCell ref="A825:A831"/>
    <mergeCell ref="A559:A563"/>
    <mergeCell ref="A730:A734"/>
    <mergeCell ref="A787:A788"/>
    <mergeCell ref="A799:A800"/>
    <mergeCell ref="A811:A812"/>
    <mergeCell ref="A757:A762"/>
    <mergeCell ref="A802:A808"/>
    <mergeCell ref="A644:A645"/>
    <mergeCell ref="A658:A659"/>
    <mergeCell ref="A665:A666"/>
    <mergeCell ref="A724:A726"/>
    <mergeCell ref="A780:A784"/>
    <mergeCell ref="A719:A723"/>
    <mergeCell ref="A685:A686"/>
    <mergeCell ref="A700:A704"/>
    <mergeCell ref="A625:A630"/>
    <mergeCell ref="A633:A635"/>
    <mergeCell ref="A1085:A1086"/>
    <mergeCell ref="A963:A965"/>
    <mergeCell ref="A486:A488"/>
    <mergeCell ref="A768:A774"/>
    <mergeCell ref="A822:A823"/>
    <mergeCell ref="A764:A765"/>
    <mergeCell ref="A836:A842"/>
    <mergeCell ref="A876:A881"/>
    <mergeCell ref="A609:H609"/>
    <mergeCell ref="A571:A572"/>
    <mergeCell ref="A539:A540"/>
    <mergeCell ref="A600:A601"/>
    <mergeCell ref="A606:A607"/>
    <mergeCell ref="A1065:A1066"/>
    <mergeCell ref="A1068:A1069"/>
    <mergeCell ref="A1044:A1046"/>
    <mergeCell ref="A814:A819"/>
    <mergeCell ref="A648:A652"/>
    <mergeCell ref="A705:A706"/>
    <mergeCell ref="A979:A980"/>
    <mergeCell ref="A1006:A1009"/>
    <mergeCell ref="A906:A907"/>
    <mergeCell ref="A1056:A1057"/>
    <mergeCell ref="A1051:A1054"/>
  </mergeCells>
  <printOptions horizontalCentered="1" gridLines="1"/>
  <pageMargins left="0" right="0" top="0.39370078740157483" bottom="0.39370078740157483" header="0" footer="0"/>
  <pageSetup scale="85" fitToWidth="2" fitToHeight="0" orientation="portrait" r:id="rId1"/>
  <headerFooter>
    <oddHeader>&amp;L&amp;"+,Regular"&amp;16&amp;K04+035Customer&amp;"-,Regular"&amp;K01+000 Contacts</oddHeader>
    <oddFooter>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34998626667073579"/>
    <pageSetUpPr autoPageBreaks="0"/>
  </sheetPr>
  <dimension ref="B1:J717"/>
  <sheetViews>
    <sheetView showGridLines="0" zoomScale="95" zoomScaleNormal="95" zoomScalePageLayoutView="125" workbookViewId="0">
      <selection activeCell="B2" sqref="B2:D2"/>
    </sheetView>
  </sheetViews>
  <sheetFormatPr baseColWidth="10" defaultColWidth="9.140625" defaultRowHeight="19.5" customHeight="1" x14ac:dyDescent="0.2"/>
  <cols>
    <col min="1" max="1" width="2.140625" style="257" customWidth="1"/>
    <col min="2" max="2" width="76.5703125" style="257" bestFit="1" customWidth="1"/>
    <col min="3" max="3" width="25.28515625" style="257" bestFit="1" customWidth="1"/>
    <col min="4" max="4" width="23.5703125" style="257" bestFit="1" customWidth="1"/>
    <col min="5" max="5" width="21.28515625" style="257" bestFit="1" customWidth="1"/>
    <col min="6" max="6" width="12.85546875" style="257" customWidth="1"/>
    <col min="7" max="7" width="8.5703125" style="257" hidden="1" customWidth="1"/>
    <col min="8" max="16384" width="9.140625" style="257"/>
  </cols>
  <sheetData>
    <row r="1" spans="2:6" ht="12" customHeight="1" x14ac:dyDescent="0.2">
      <c r="B1" s="1066"/>
      <c r="C1" s="1067"/>
      <c r="D1" s="1067"/>
      <c r="E1" s="1067"/>
      <c r="F1" s="1067"/>
    </row>
    <row r="2" spans="2:6" ht="96.95" customHeight="1" x14ac:dyDescent="0.2">
      <c r="B2" s="1064" t="s">
        <v>328</v>
      </c>
      <c r="C2" s="1064"/>
      <c r="D2" s="1064"/>
      <c r="E2" s="1065"/>
      <c r="F2" s="1065"/>
    </row>
    <row r="3" spans="2:6" ht="12" customHeight="1" x14ac:dyDescent="0.2">
      <c r="B3" s="1068"/>
      <c r="C3" s="1069"/>
      <c r="D3" s="1069"/>
      <c r="E3" s="1069"/>
      <c r="F3" s="1069"/>
    </row>
    <row r="4" spans="2:6" ht="12" customHeight="1" x14ac:dyDescent="0.2"/>
    <row r="5" spans="2:6" ht="21" customHeight="1" x14ac:dyDescent="0.2">
      <c r="B5" s="8" t="s">
        <v>312</v>
      </c>
      <c r="C5" s="5"/>
      <c r="D5" s="5"/>
      <c r="E5" s="5"/>
    </row>
    <row r="6" spans="2:6" ht="19.5" customHeight="1" x14ac:dyDescent="0.2">
      <c r="B6" s="750" t="s">
        <v>3734</v>
      </c>
      <c r="C6" s="751">
        <v>1423500</v>
      </c>
      <c r="D6" s="601">
        <f>C6*2</f>
        <v>2847000</v>
      </c>
      <c r="E6" s="912" t="s">
        <v>4235</v>
      </c>
    </row>
    <row r="7" spans="2:6" ht="19.5" customHeight="1" x14ac:dyDescent="0.2">
      <c r="B7" s="753" t="s">
        <v>296</v>
      </c>
      <c r="C7" s="751">
        <v>200000</v>
      </c>
      <c r="D7" s="4"/>
      <c r="E7" s="752"/>
    </row>
    <row r="8" spans="2:6" ht="19.5" customHeight="1" x14ac:dyDescent="0.2">
      <c r="B8" s="753"/>
      <c r="C8" s="751"/>
      <c r="D8" s="4"/>
      <c r="E8" s="752"/>
    </row>
    <row r="9" spans="2:6" ht="19.5" customHeight="1" thickBot="1" x14ac:dyDescent="0.25">
      <c r="B9" s="754" t="s">
        <v>1922</v>
      </c>
      <c r="C9" s="752"/>
      <c r="D9" s="4"/>
      <c r="E9" s="752"/>
    </row>
    <row r="10" spans="2:6" ht="19.5" customHeight="1" thickBot="1" x14ac:dyDescent="0.25">
      <c r="B10" s="1062" t="s">
        <v>402</v>
      </c>
      <c r="C10" s="37" t="s">
        <v>297</v>
      </c>
      <c r="D10" s="37" t="s">
        <v>310</v>
      </c>
      <c r="E10" s="37" t="s">
        <v>297</v>
      </c>
    </row>
    <row r="11" spans="2:6" ht="42" customHeight="1" x14ac:dyDescent="0.2">
      <c r="B11" s="1063"/>
      <c r="C11" s="36" t="s">
        <v>298</v>
      </c>
      <c r="D11" s="36" t="s">
        <v>298</v>
      </c>
      <c r="E11" s="36" t="s">
        <v>1921</v>
      </c>
    </row>
    <row r="12" spans="2:6" ht="19.5" customHeight="1" x14ac:dyDescent="0.2">
      <c r="B12" s="747" t="s">
        <v>299</v>
      </c>
      <c r="C12" s="755"/>
      <c r="D12" s="755"/>
      <c r="E12" s="755"/>
      <c r="F12" s="756"/>
    </row>
    <row r="13" spans="2:6" ht="19.5" customHeight="1" x14ac:dyDescent="0.2">
      <c r="B13" s="748" t="s">
        <v>300</v>
      </c>
      <c r="C13" s="757">
        <v>8.3299999999999999E-2</v>
      </c>
      <c r="D13" s="757">
        <v>8.3299999999999999E-2</v>
      </c>
      <c r="E13" s="757">
        <v>8.3299999999999999E-2</v>
      </c>
    </row>
    <row r="14" spans="2:6" ht="19.5" customHeight="1" x14ac:dyDescent="0.2">
      <c r="B14" s="749" t="s">
        <v>301</v>
      </c>
      <c r="C14" s="757">
        <v>0.01</v>
      </c>
      <c r="D14" s="757">
        <v>0.01</v>
      </c>
      <c r="E14" s="757">
        <v>0.01</v>
      </c>
      <c r="F14" s="756"/>
    </row>
    <row r="15" spans="2:6" ht="19.5" customHeight="1" x14ac:dyDescent="0.2">
      <c r="B15" s="749" t="s">
        <v>302</v>
      </c>
      <c r="C15" s="757">
        <v>4.7199999999999999E-2</v>
      </c>
      <c r="D15" s="757">
        <v>4.7199999999999999E-2</v>
      </c>
      <c r="E15" s="757">
        <v>4.7199999999999999E-2</v>
      </c>
    </row>
    <row r="16" spans="2:6" ht="19.5" customHeight="1" x14ac:dyDescent="0.2">
      <c r="B16" s="749" t="s">
        <v>303</v>
      </c>
      <c r="C16" s="757">
        <v>8.3299999999999999E-2</v>
      </c>
      <c r="D16" s="757">
        <v>8.3299999999999999E-2</v>
      </c>
      <c r="E16" s="757">
        <v>8.3299999999999999E-2</v>
      </c>
    </row>
    <row r="17" spans="2:9" ht="19.5" customHeight="1" x14ac:dyDescent="0.2">
      <c r="B17" s="749" t="s">
        <v>309</v>
      </c>
      <c r="C17" s="757">
        <v>0.08</v>
      </c>
      <c r="D17" s="758"/>
      <c r="E17" s="757">
        <v>0.08</v>
      </c>
    </row>
    <row r="18" spans="2:9" ht="19.5" customHeight="1" x14ac:dyDescent="0.2">
      <c r="B18" s="747" t="s">
        <v>304</v>
      </c>
      <c r="C18" s="757"/>
      <c r="D18" s="757"/>
      <c r="E18" s="757"/>
    </row>
    <row r="19" spans="2:9" ht="19.5" customHeight="1" x14ac:dyDescent="0.2">
      <c r="B19" s="748" t="s">
        <v>1932</v>
      </c>
      <c r="C19" s="757">
        <v>0.12</v>
      </c>
      <c r="D19" s="757">
        <v>0.12</v>
      </c>
      <c r="E19" s="757">
        <v>0.12</v>
      </c>
    </row>
    <row r="20" spans="2:9" ht="19.5" customHeight="1" x14ac:dyDescent="0.2">
      <c r="B20" s="748" t="s">
        <v>1931</v>
      </c>
      <c r="C20" s="757">
        <v>6.9599999999999995E-2</v>
      </c>
      <c r="D20" s="757">
        <v>6.9599999999999995E-2</v>
      </c>
      <c r="E20" s="757">
        <v>0.01</v>
      </c>
    </row>
    <row r="21" spans="2:9" ht="19.5" customHeight="1" x14ac:dyDescent="0.2">
      <c r="B21" s="749" t="s">
        <v>308</v>
      </c>
      <c r="C21" s="757">
        <v>8.5000000000000006E-2</v>
      </c>
      <c r="D21" s="757">
        <v>8.5000000000000006E-2</v>
      </c>
      <c r="E21" s="757">
        <v>8.5000000000000006E-2</v>
      </c>
    </row>
    <row r="22" spans="2:9" ht="19.5" customHeight="1" x14ac:dyDescent="0.2">
      <c r="B22" s="747" t="s">
        <v>305</v>
      </c>
      <c r="C22" s="757"/>
      <c r="D22" s="757"/>
      <c r="E22" s="757"/>
    </row>
    <row r="23" spans="2:9" ht="19.5" customHeight="1" x14ac:dyDescent="0.2">
      <c r="B23" s="748" t="s">
        <v>679</v>
      </c>
      <c r="C23" s="757">
        <v>2.5000000000000001E-2</v>
      </c>
      <c r="D23" s="757">
        <v>2.5000000000000001E-2</v>
      </c>
      <c r="E23" s="757">
        <v>2.5000000000000001E-2</v>
      </c>
    </row>
    <row r="24" spans="2:9" ht="19.5" customHeight="1" x14ac:dyDescent="0.2">
      <c r="B24" s="748" t="s">
        <v>3922</v>
      </c>
      <c r="C24" s="757">
        <v>0.04</v>
      </c>
      <c r="D24" s="757">
        <v>0.04</v>
      </c>
      <c r="E24" s="757">
        <v>0.04</v>
      </c>
    </row>
    <row r="25" spans="2:9" ht="19.5" customHeight="1" x14ac:dyDescent="0.2">
      <c r="B25" s="749" t="s">
        <v>306</v>
      </c>
      <c r="C25" s="757">
        <v>0.03</v>
      </c>
      <c r="D25" s="757">
        <v>0.03</v>
      </c>
      <c r="E25" s="757">
        <v>0.03</v>
      </c>
    </row>
    <row r="26" spans="2:9" ht="19.5" customHeight="1" x14ac:dyDescent="0.2">
      <c r="B26" s="749" t="s">
        <v>307</v>
      </c>
      <c r="C26" s="757">
        <v>0.04</v>
      </c>
      <c r="D26" s="757">
        <v>0.04</v>
      </c>
      <c r="E26" s="757">
        <v>0.04</v>
      </c>
    </row>
    <row r="27" spans="2:9" ht="19.5" customHeight="1" x14ac:dyDescent="0.2">
      <c r="B27" s="749" t="s">
        <v>314</v>
      </c>
      <c r="C27" s="757">
        <f>C7/C6</f>
        <v>0.14049877063575694</v>
      </c>
      <c r="D27" s="757"/>
      <c r="E27" s="757">
        <f>C7/C6</f>
        <v>0.14049877063575694</v>
      </c>
    </row>
    <row r="28" spans="2:9" ht="33.75" customHeight="1" x14ac:dyDescent="0.2">
      <c r="B28" s="748" t="s">
        <v>3923</v>
      </c>
      <c r="C28" s="757">
        <v>1.4999999999999999E-2</v>
      </c>
      <c r="D28" s="757">
        <v>1.4999999999999999E-2</v>
      </c>
      <c r="E28" s="757">
        <v>1.4999999999999999E-2</v>
      </c>
    </row>
    <row r="29" spans="2:9" ht="19.5" customHeight="1" x14ac:dyDescent="0.2">
      <c r="B29" s="753"/>
      <c r="C29" s="759">
        <f>SUM(C12:C28)</f>
        <v>0.86889877063575705</v>
      </c>
      <c r="D29" s="759">
        <f>SUM(D12:D28)</f>
        <v>0.64840000000000009</v>
      </c>
      <c r="E29" s="759">
        <f>SUM(E12:E28)</f>
        <v>0.80929877063575717</v>
      </c>
    </row>
    <row r="30" spans="2:9" ht="19.5" customHeight="1" x14ac:dyDescent="0.2">
      <c r="B30" s="760"/>
      <c r="C30" s="752"/>
      <c r="D30" s="4"/>
      <c r="E30" s="752"/>
    </row>
    <row r="31" spans="2:9" ht="33" customHeight="1" x14ac:dyDescent="0.2">
      <c r="B31" s="6" t="s">
        <v>311</v>
      </c>
      <c r="C31" s="6" t="s">
        <v>313</v>
      </c>
      <c r="D31" s="7" t="s">
        <v>14</v>
      </c>
      <c r="E31" s="7" t="s">
        <v>315</v>
      </c>
      <c r="F31" s="7" t="s">
        <v>1933</v>
      </c>
    </row>
    <row r="32" spans="2:9" ht="19.5" customHeight="1" x14ac:dyDescent="0.2">
      <c r="B32" s="761" t="s">
        <v>316</v>
      </c>
      <c r="C32" s="762">
        <f>C6</f>
        <v>1423500</v>
      </c>
      <c r="D32" s="171">
        <f>ROUND((C32*$C$29),0)</f>
        <v>1236877</v>
      </c>
      <c r="E32" s="763">
        <f>C32+D32</f>
        <v>2660377</v>
      </c>
      <c r="F32" s="764">
        <f>ROUND((E32/30),0)</f>
        <v>88679</v>
      </c>
      <c r="I32" s="765"/>
    </row>
    <row r="33" spans="2:10" ht="19.5" customHeight="1" x14ac:dyDescent="0.2">
      <c r="B33" s="766" t="s">
        <v>317</v>
      </c>
      <c r="C33" s="762">
        <f>C32*1.4</f>
        <v>1992899.9999999998</v>
      </c>
      <c r="D33" s="172">
        <f>ROUND((C33*$C$29),0)</f>
        <v>1731628</v>
      </c>
      <c r="E33" s="762">
        <f t="shared" ref="E33:E47" si="0">C33+D33</f>
        <v>3724528</v>
      </c>
      <c r="F33" s="767">
        <f t="shared" ref="F33:F47" si="1">ROUND((E33/30),0)</f>
        <v>124151</v>
      </c>
      <c r="G33" s="258" t="s">
        <v>2562</v>
      </c>
      <c r="H33" s="258"/>
      <c r="I33" s="765"/>
      <c r="J33" s="258"/>
    </row>
    <row r="34" spans="2:10" ht="19.5" customHeight="1" x14ac:dyDescent="0.2">
      <c r="B34" s="766" t="s">
        <v>325</v>
      </c>
      <c r="C34" s="762">
        <f>C32*1.8</f>
        <v>2562300</v>
      </c>
      <c r="D34" s="172">
        <f>ROUND((C34*$C$29),0)</f>
        <v>2226379</v>
      </c>
      <c r="E34" s="762">
        <f t="shared" si="0"/>
        <v>4788679</v>
      </c>
      <c r="F34" s="767">
        <f t="shared" si="1"/>
        <v>159623</v>
      </c>
      <c r="G34" s="258" t="s">
        <v>2563</v>
      </c>
      <c r="H34" s="258"/>
      <c r="I34" s="258"/>
      <c r="J34" s="258"/>
    </row>
    <row r="35" spans="2:10" ht="19.5" customHeight="1" x14ac:dyDescent="0.2">
      <c r="B35" s="766" t="s">
        <v>326</v>
      </c>
      <c r="C35" s="762">
        <v>1800000</v>
      </c>
      <c r="D35" s="172">
        <f t="shared" ref="D35:D44" si="2">ROUND((C35*$C$29),0)</f>
        <v>1564018</v>
      </c>
      <c r="E35" s="762">
        <f t="shared" si="0"/>
        <v>3364018</v>
      </c>
      <c r="F35" s="767">
        <f t="shared" si="1"/>
        <v>112134</v>
      </c>
      <c r="G35" s="258"/>
      <c r="H35" s="258"/>
      <c r="I35" s="258"/>
      <c r="J35" s="258"/>
    </row>
    <row r="36" spans="2:10" ht="19.5" customHeight="1" x14ac:dyDescent="0.2">
      <c r="B36" s="766" t="s">
        <v>327</v>
      </c>
      <c r="C36" s="762">
        <f>C32</f>
        <v>1423500</v>
      </c>
      <c r="D36" s="172">
        <f t="shared" si="2"/>
        <v>1236877</v>
      </c>
      <c r="E36" s="762">
        <f t="shared" si="0"/>
        <v>2660377</v>
      </c>
      <c r="F36" s="767">
        <f t="shared" si="1"/>
        <v>88679</v>
      </c>
      <c r="G36" s="258"/>
      <c r="H36" s="258"/>
      <c r="I36" s="258"/>
      <c r="J36" s="258"/>
    </row>
    <row r="37" spans="2:10" ht="19.5" customHeight="1" x14ac:dyDescent="0.2">
      <c r="B37" s="766" t="s">
        <v>2197</v>
      </c>
      <c r="C37" s="762">
        <f>C32*2.8</f>
        <v>3985799.9999999995</v>
      </c>
      <c r="D37" s="172">
        <f>ROUND((C37*D29),0)</f>
        <v>2584393</v>
      </c>
      <c r="E37" s="762">
        <f t="shared" si="0"/>
        <v>6570193</v>
      </c>
      <c r="F37" s="767">
        <f t="shared" si="1"/>
        <v>219006</v>
      </c>
      <c r="G37" s="258"/>
      <c r="H37" s="258"/>
      <c r="I37" s="258"/>
      <c r="J37" s="258"/>
    </row>
    <row r="38" spans="2:10" ht="19.5" customHeight="1" x14ac:dyDescent="0.2">
      <c r="B38" s="766" t="s">
        <v>2198</v>
      </c>
      <c r="C38" s="762">
        <f>C32*1.8</f>
        <v>2562300</v>
      </c>
      <c r="D38" s="172">
        <f t="shared" si="2"/>
        <v>2226379</v>
      </c>
      <c r="E38" s="762">
        <f t="shared" si="0"/>
        <v>4788679</v>
      </c>
      <c r="F38" s="767">
        <f t="shared" si="1"/>
        <v>159623</v>
      </c>
      <c r="G38" s="258"/>
      <c r="H38" s="258"/>
      <c r="I38" s="258"/>
      <c r="J38" s="258"/>
    </row>
    <row r="39" spans="2:10" ht="19.5" customHeight="1" x14ac:dyDescent="0.2">
      <c r="B39" s="766" t="s">
        <v>318</v>
      </c>
      <c r="C39" s="762">
        <f>C32*2.6</f>
        <v>3701100</v>
      </c>
      <c r="D39" s="172">
        <f>ROUND((C39*$D$29),0)</f>
        <v>2399793</v>
      </c>
      <c r="E39" s="762">
        <f t="shared" si="0"/>
        <v>6100893</v>
      </c>
      <c r="F39" s="767">
        <f t="shared" si="1"/>
        <v>203363</v>
      </c>
      <c r="G39" s="258"/>
      <c r="H39" s="258"/>
      <c r="I39" s="258"/>
      <c r="J39" s="258"/>
    </row>
    <row r="40" spans="2:10" ht="19.5" customHeight="1" x14ac:dyDescent="0.2">
      <c r="B40" s="766" t="s">
        <v>319</v>
      </c>
      <c r="C40" s="762">
        <f>C32*2.5</f>
        <v>3558750</v>
      </c>
      <c r="D40" s="172">
        <f>ROUND((C40*$D$29),0)</f>
        <v>2307494</v>
      </c>
      <c r="E40" s="762">
        <f t="shared" si="0"/>
        <v>5866244</v>
      </c>
      <c r="F40" s="767">
        <f t="shared" si="1"/>
        <v>195541</v>
      </c>
      <c r="G40" s="258"/>
      <c r="H40" s="258"/>
      <c r="I40" s="258"/>
      <c r="J40" s="258"/>
    </row>
    <row r="41" spans="2:10" ht="19.5" customHeight="1" x14ac:dyDescent="0.2">
      <c r="B41" s="766" t="s">
        <v>320</v>
      </c>
      <c r="C41" s="762">
        <f>C32*2</f>
        <v>2847000</v>
      </c>
      <c r="D41" s="172">
        <f>ROUND((C41*$C$29),0)</f>
        <v>2473755</v>
      </c>
      <c r="E41" s="762">
        <f t="shared" si="0"/>
        <v>5320755</v>
      </c>
      <c r="F41" s="767">
        <f t="shared" si="1"/>
        <v>177359</v>
      </c>
      <c r="G41" s="258"/>
      <c r="H41" s="258"/>
      <c r="I41" s="258"/>
      <c r="J41" s="258"/>
    </row>
    <row r="42" spans="2:10" ht="19.5" customHeight="1" x14ac:dyDescent="0.2">
      <c r="B42" s="766" t="s">
        <v>321</v>
      </c>
      <c r="C42" s="762">
        <f>C32*1.6</f>
        <v>2277600</v>
      </c>
      <c r="D42" s="172">
        <f t="shared" si="2"/>
        <v>1979004</v>
      </c>
      <c r="E42" s="762">
        <f t="shared" si="0"/>
        <v>4256604</v>
      </c>
      <c r="F42" s="767">
        <f t="shared" si="1"/>
        <v>141887</v>
      </c>
      <c r="G42" s="258"/>
      <c r="H42" s="258"/>
      <c r="I42" s="258"/>
      <c r="J42" s="258"/>
    </row>
    <row r="43" spans="2:10" ht="19.5" customHeight="1" x14ac:dyDescent="0.2">
      <c r="B43" s="766" t="s">
        <v>322</v>
      </c>
      <c r="C43" s="762">
        <f>C32*1.8</f>
        <v>2562300</v>
      </c>
      <c r="D43" s="172">
        <f>ROUND((C43*$C$29),0)</f>
        <v>2226379</v>
      </c>
      <c r="E43" s="762">
        <f t="shared" si="0"/>
        <v>4788679</v>
      </c>
      <c r="F43" s="767">
        <f t="shared" si="1"/>
        <v>159623</v>
      </c>
      <c r="G43" s="258"/>
      <c r="H43" s="258"/>
      <c r="I43" s="258"/>
      <c r="J43" s="258"/>
    </row>
    <row r="44" spans="2:10" ht="19.5" customHeight="1" x14ac:dyDescent="0.2">
      <c r="B44" s="766" t="s">
        <v>323</v>
      </c>
      <c r="C44" s="762">
        <f>C32*1.8</f>
        <v>2562300</v>
      </c>
      <c r="D44" s="172">
        <f t="shared" si="2"/>
        <v>2226379</v>
      </c>
      <c r="E44" s="762">
        <f t="shared" si="0"/>
        <v>4788679</v>
      </c>
      <c r="F44" s="767">
        <f t="shared" si="1"/>
        <v>159623</v>
      </c>
      <c r="G44" s="258"/>
      <c r="H44" s="258"/>
      <c r="I44" s="258"/>
      <c r="J44" s="258"/>
    </row>
    <row r="45" spans="2:10" ht="19.5" customHeight="1" x14ac:dyDescent="0.2">
      <c r="B45" s="766" t="s">
        <v>324</v>
      </c>
      <c r="C45" s="762">
        <v>2800000</v>
      </c>
      <c r="D45" s="172">
        <f>ROUND((C45*$C$29),0)</f>
        <v>2432917</v>
      </c>
      <c r="E45" s="762">
        <f t="shared" si="0"/>
        <v>5232917</v>
      </c>
      <c r="F45" s="767">
        <f t="shared" si="1"/>
        <v>174431</v>
      </c>
      <c r="G45" s="258"/>
      <c r="H45" s="258"/>
      <c r="I45" s="258"/>
      <c r="J45" s="258"/>
    </row>
    <row r="46" spans="2:10" ht="19.5" customHeight="1" x14ac:dyDescent="0.2">
      <c r="B46" s="766" t="s">
        <v>167</v>
      </c>
      <c r="C46" s="762">
        <f>C32*2.8</f>
        <v>3985799.9999999995</v>
      </c>
      <c r="D46" s="172">
        <f>ROUND((C46*$D$29),0)</f>
        <v>2584393</v>
      </c>
      <c r="E46" s="762">
        <f t="shared" si="0"/>
        <v>6570193</v>
      </c>
      <c r="F46" s="767">
        <f t="shared" si="1"/>
        <v>219006</v>
      </c>
      <c r="G46" s="258"/>
      <c r="H46" s="258"/>
      <c r="I46" s="258"/>
      <c r="J46" s="258"/>
    </row>
    <row r="47" spans="2:10" ht="19.5" customHeight="1" x14ac:dyDescent="0.2">
      <c r="B47" s="766" t="s">
        <v>394</v>
      </c>
      <c r="C47" s="762">
        <f>C32*1.6</f>
        <v>2277600</v>
      </c>
      <c r="D47" s="172">
        <f>ROUND((C47*$C$29),0)</f>
        <v>1979004</v>
      </c>
      <c r="E47" s="762">
        <f t="shared" si="0"/>
        <v>4256604</v>
      </c>
      <c r="F47" s="767">
        <f t="shared" si="1"/>
        <v>141887</v>
      </c>
      <c r="G47" s="258"/>
      <c r="H47" s="258"/>
      <c r="I47" s="258"/>
      <c r="J47" s="258"/>
    </row>
    <row r="48" spans="2:10" ht="19.5" customHeight="1" x14ac:dyDescent="0.2">
      <c r="B48" s="768" t="s">
        <v>645</v>
      </c>
      <c r="C48" s="769"/>
      <c r="D48" s="173"/>
      <c r="E48" s="769"/>
      <c r="F48" s="767">
        <f>F34+F32</f>
        <v>248302</v>
      </c>
      <c r="G48" s="258"/>
      <c r="H48" s="258"/>
      <c r="I48" s="258"/>
      <c r="J48" s="258"/>
    </row>
    <row r="49" spans="2:10" ht="19.5" customHeight="1" x14ac:dyDescent="0.2">
      <c r="B49" s="768" t="s">
        <v>2600</v>
      </c>
      <c r="C49" s="769"/>
      <c r="D49" s="173"/>
      <c r="E49" s="769"/>
      <c r="F49" s="767">
        <f>F41+F47</f>
        <v>319246</v>
      </c>
      <c r="G49" s="258"/>
      <c r="H49" s="258"/>
      <c r="I49" s="258"/>
      <c r="J49" s="258"/>
    </row>
    <row r="50" spans="2:10" ht="19.5" customHeight="1" x14ac:dyDescent="0.2">
      <c r="B50" s="768" t="s">
        <v>608</v>
      </c>
      <c r="C50" s="769"/>
      <c r="D50" s="173"/>
      <c r="E50" s="769"/>
      <c r="F50" s="767">
        <f>F34+(2*F32)</f>
        <v>336981</v>
      </c>
      <c r="G50" s="258"/>
      <c r="H50" s="258"/>
      <c r="I50" s="258"/>
      <c r="J50" s="258"/>
    </row>
    <row r="51" spans="2:10" ht="19.5" customHeight="1" x14ac:dyDescent="0.2">
      <c r="B51" s="768" t="s">
        <v>2602</v>
      </c>
      <c r="C51" s="769"/>
      <c r="D51" s="173"/>
      <c r="E51" s="769"/>
      <c r="F51" s="767">
        <f>F41+(2*F47)</f>
        <v>461133</v>
      </c>
      <c r="G51" s="258"/>
      <c r="H51" s="258"/>
      <c r="I51" s="258"/>
      <c r="J51" s="258"/>
    </row>
    <row r="52" spans="2:10" ht="19.5" customHeight="1" x14ac:dyDescent="0.2">
      <c r="B52" s="768" t="s">
        <v>588</v>
      </c>
      <c r="C52" s="769"/>
      <c r="D52" s="173"/>
      <c r="E52" s="769"/>
      <c r="F52" s="767">
        <f>F34+(4*F32)</f>
        <v>514339</v>
      </c>
      <c r="G52" s="258"/>
      <c r="H52" s="258"/>
      <c r="I52" s="258"/>
      <c r="J52" s="258"/>
    </row>
    <row r="53" spans="2:10" ht="19.5" customHeight="1" x14ac:dyDescent="0.2">
      <c r="B53" s="768" t="s">
        <v>2603</v>
      </c>
      <c r="C53" s="769"/>
      <c r="D53" s="173"/>
      <c r="E53" s="769"/>
      <c r="F53" s="767">
        <f>F41+4*F47</f>
        <v>744907</v>
      </c>
      <c r="G53" s="258"/>
      <c r="H53" s="258"/>
      <c r="I53" s="258"/>
      <c r="J53" s="258"/>
    </row>
    <row r="54" spans="2:10" ht="19.5" customHeight="1" x14ac:dyDescent="0.2">
      <c r="B54" s="768" t="s">
        <v>612</v>
      </c>
      <c r="C54" s="769"/>
      <c r="D54" s="173"/>
      <c r="E54" s="769"/>
      <c r="F54" s="767">
        <f>F40+(2*F32)</f>
        <v>372899</v>
      </c>
      <c r="G54" s="258"/>
      <c r="H54" s="258"/>
      <c r="I54" s="258"/>
      <c r="J54" s="258"/>
    </row>
    <row r="55" spans="2:10" ht="19.5" customHeight="1" x14ac:dyDescent="0.2">
      <c r="B55" s="768" t="s">
        <v>3790</v>
      </c>
      <c r="C55" s="769"/>
      <c r="D55" s="173"/>
      <c r="E55" s="769"/>
      <c r="F55" s="767">
        <f>F40+F32</f>
        <v>284220</v>
      </c>
      <c r="G55" s="258"/>
      <c r="H55" s="258"/>
      <c r="I55" s="258"/>
      <c r="J55" s="258"/>
    </row>
    <row r="56" spans="2:10" ht="19.5" customHeight="1" x14ac:dyDescent="0.2">
      <c r="B56" s="768" t="s">
        <v>4022</v>
      </c>
      <c r="C56" s="769"/>
      <c r="D56" s="173"/>
      <c r="E56" s="769"/>
      <c r="F56" s="767">
        <f>F45+F35+F36</f>
        <v>375244</v>
      </c>
      <c r="G56" s="258"/>
      <c r="H56" s="258"/>
      <c r="I56" s="258"/>
      <c r="J56" s="258"/>
    </row>
    <row r="57" spans="2:10" ht="19.5" customHeight="1" x14ac:dyDescent="0.2">
      <c r="B57" s="768" t="s">
        <v>619</v>
      </c>
      <c r="C57" s="769"/>
      <c r="D57" s="173"/>
      <c r="E57" s="769"/>
      <c r="F57" s="767">
        <f>$F$34+(7*$F$32)</f>
        <v>780376</v>
      </c>
      <c r="G57" s="770"/>
      <c r="H57" s="770"/>
      <c r="I57" s="258"/>
      <c r="J57" s="258"/>
    </row>
    <row r="58" spans="2:10" ht="19.5" customHeight="1" x14ac:dyDescent="0.2">
      <c r="B58" s="768" t="s">
        <v>2598</v>
      </c>
      <c r="C58" s="769"/>
      <c r="D58" s="173"/>
      <c r="E58" s="769"/>
      <c r="F58" s="767">
        <f>$F$41+(7*$F$47)</f>
        <v>1170568</v>
      </c>
      <c r="G58" s="770"/>
      <c r="H58" s="770"/>
      <c r="I58" s="258"/>
      <c r="J58" s="258"/>
    </row>
    <row r="59" spans="2:10" ht="19.5" customHeight="1" x14ac:dyDescent="0.2">
      <c r="B59" s="768" t="s">
        <v>606</v>
      </c>
      <c r="C59" s="769"/>
      <c r="D59" s="173"/>
      <c r="E59" s="769"/>
      <c r="F59" s="767">
        <f>(2*F34)+(4*F32)</f>
        <v>673962</v>
      </c>
      <c r="G59" s="258"/>
      <c r="H59" s="258"/>
      <c r="I59" s="258"/>
      <c r="J59" s="258"/>
    </row>
    <row r="60" spans="2:10" ht="19.5" customHeight="1" x14ac:dyDescent="0.2">
      <c r="B60" s="768" t="s">
        <v>272</v>
      </c>
      <c r="C60" s="769"/>
      <c r="D60" s="173"/>
      <c r="E60" s="769"/>
      <c r="F60" s="767">
        <f>(6*F34)+(4*F32)</f>
        <v>1312454</v>
      </c>
      <c r="G60" s="258"/>
      <c r="H60" s="258"/>
      <c r="I60" s="258"/>
      <c r="J60" s="258"/>
    </row>
    <row r="61" spans="2:10" ht="19.5" customHeight="1" x14ac:dyDescent="0.2">
      <c r="B61" s="768" t="s">
        <v>597</v>
      </c>
      <c r="C61" s="769"/>
      <c r="D61" s="173"/>
      <c r="E61" s="769"/>
      <c r="F61" s="767">
        <f>4*F32</f>
        <v>354716</v>
      </c>
      <c r="G61" s="258"/>
      <c r="H61" s="258"/>
      <c r="I61" s="258"/>
      <c r="J61" s="258"/>
    </row>
    <row r="62" spans="2:10" ht="19.5" customHeight="1" x14ac:dyDescent="0.2">
      <c r="B62" s="768" t="s">
        <v>1939</v>
      </c>
      <c r="C62" s="769"/>
      <c r="D62" s="173"/>
      <c r="E62" s="769"/>
      <c r="F62" s="767">
        <f>F41+F47</f>
        <v>319246</v>
      </c>
      <c r="G62" s="258"/>
      <c r="H62" s="258"/>
      <c r="I62" s="258"/>
      <c r="J62" s="258"/>
    </row>
    <row r="63" spans="2:10" ht="19.5" customHeight="1" x14ac:dyDescent="0.2">
      <c r="B63" s="768" t="s">
        <v>1938</v>
      </c>
      <c r="C63" s="769"/>
      <c r="D63" s="173"/>
      <c r="E63" s="769"/>
      <c r="F63" s="767">
        <f>F41+(2*F47)</f>
        <v>461133</v>
      </c>
      <c r="G63" s="258"/>
      <c r="H63" s="258"/>
      <c r="I63" s="258"/>
      <c r="J63" s="258"/>
    </row>
    <row r="64" spans="2:10" ht="19.5" customHeight="1" x14ac:dyDescent="0.2">
      <c r="B64" s="768" t="s">
        <v>2009</v>
      </c>
      <c r="C64" s="769"/>
      <c r="D64" s="173"/>
      <c r="E64" s="769"/>
      <c r="F64" s="767">
        <f>F44+F33</f>
        <v>283774</v>
      </c>
      <c r="G64" s="258"/>
      <c r="H64" s="258"/>
      <c r="I64" s="258"/>
      <c r="J64" s="258"/>
    </row>
    <row r="65" spans="2:10" ht="19.5" customHeight="1" x14ac:dyDescent="0.2">
      <c r="B65" s="768" t="s">
        <v>688</v>
      </c>
      <c r="C65" s="769"/>
      <c r="D65" s="173"/>
      <c r="E65" s="769"/>
      <c r="F65" s="767">
        <f>F34*2+F32*8</f>
        <v>1028678</v>
      </c>
      <c r="G65" s="258"/>
      <c r="H65" s="258"/>
      <c r="I65" s="258"/>
      <c r="J65" s="258"/>
    </row>
    <row r="66" spans="2:10" ht="19.5" customHeight="1" x14ac:dyDescent="0.2">
      <c r="B66" s="768" t="s">
        <v>692</v>
      </c>
      <c r="C66" s="769"/>
      <c r="D66" s="173"/>
      <c r="E66" s="769"/>
      <c r="F66" s="767">
        <f>F34+(3*F32)</f>
        <v>425660</v>
      </c>
      <c r="G66" s="258"/>
      <c r="H66" s="258"/>
      <c r="I66" s="258"/>
      <c r="J66" s="258"/>
    </row>
    <row r="67" spans="2:10" ht="19.5" customHeight="1" x14ac:dyDescent="0.2">
      <c r="B67" s="771"/>
      <c r="C67" s="771"/>
      <c r="D67" s="57"/>
      <c r="E67" s="771"/>
      <c r="F67" s="258"/>
      <c r="G67" s="258"/>
      <c r="H67" s="258"/>
      <c r="I67" s="258"/>
      <c r="J67" s="258"/>
    </row>
    <row r="68" spans="2:10" ht="19.5" customHeight="1" x14ac:dyDescent="0.2">
      <c r="B68" s="752"/>
      <c r="C68" s="752"/>
      <c r="D68" s="4"/>
      <c r="E68" s="752"/>
    </row>
    <row r="69" spans="2:10" ht="19.5" customHeight="1" x14ac:dyDescent="0.2">
      <c r="B69" s="752"/>
      <c r="C69" s="752"/>
      <c r="D69" s="4"/>
      <c r="E69" s="752"/>
    </row>
    <row r="70" spans="2:10" ht="19.5" customHeight="1" x14ac:dyDescent="0.2">
      <c r="B70" s="752"/>
      <c r="C70" s="752"/>
      <c r="D70" s="4"/>
      <c r="E70" s="752"/>
    </row>
    <row r="71" spans="2:10" ht="19.5" customHeight="1" x14ac:dyDescent="0.2">
      <c r="B71" s="752"/>
      <c r="C71" s="752"/>
      <c r="D71" s="4"/>
      <c r="E71" s="752"/>
    </row>
    <row r="72" spans="2:10" ht="19.5" customHeight="1" x14ac:dyDescent="0.2">
      <c r="B72" s="752"/>
      <c r="C72" s="752"/>
      <c r="D72" s="4"/>
      <c r="E72" s="752"/>
    </row>
    <row r="73" spans="2:10" ht="19.5" customHeight="1" x14ac:dyDescent="0.2">
      <c r="B73" s="752"/>
      <c r="C73" s="752"/>
      <c r="D73" s="4"/>
      <c r="E73" s="752"/>
    </row>
    <row r="74" spans="2:10" ht="19.5" customHeight="1" x14ac:dyDescent="0.2">
      <c r="B74" s="752"/>
      <c r="C74" s="752"/>
      <c r="D74" s="4"/>
      <c r="E74" s="752"/>
    </row>
    <row r="75" spans="2:10" ht="19.5" customHeight="1" x14ac:dyDescent="0.2">
      <c r="B75" s="752"/>
      <c r="C75" s="752"/>
      <c r="D75" s="4"/>
      <c r="E75" s="752"/>
    </row>
    <row r="76" spans="2:10" ht="19.5" customHeight="1" x14ac:dyDescent="0.2">
      <c r="B76" s="752"/>
      <c r="C76" s="752"/>
      <c r="D76" s="4"/>
      <c r="E76" s="752"/>
    </row>
    <row r="77" spans="2:10" ht="19.5" customHeight="1" x14ac:dyDescent="0.2">
      <c r="B77" s="752"/>
      <c r="C77" s="752"/>
      <c r="D77" s="4"/>
      <c r="E77" s="752"/>
    </row>
    <row r="78" spans="2:10" ht="19.5" customHeight="1" x14ac:dyDescent="0.2">
      <c r="B78" s="752"/>
      <c r="C78" s="752"/>
      <c r="D78" s="4"/>
      <c r="E78" s="752"/>
    </row>
    <row r="79" spans="2:10" ht="19.5" customHeight="1" x14ac:dyDescent="0.2">
      <c r="B79" s="752"/>
      <c r="C79" s="752"/>
      <c r="D79" s="4"/>
      <c r="E79" s="752"/>
    </row>
    <row r="80" spans="2:10" ht="19.5" customHeight="1" x14ac:dyDescent="0.2">
      <c r="B80" s="752"/>
      <c r="C80" s="752"/>
      <c r="D80" s="4"/>
      <c r="E80" s="752"/>
    </row>
    <row r="81" spans="2:5" ht="19.5" customHeight="1" x14ac:dyDescent="0.2">
      <c r="B81" s="752"/>
      <c r="C81" s="752"/>
      <c r="D81" s="4"/>
      <c r="E81" s="752"/>
    </row>
    <row r="82" spans="2:5" ht="19.5" customHeight="1" x14ac:dyDescent="0.2">
      <c r="B82" s="752"/>
      <c r="C82" s="752"/>
      <c r="D82" s="4"/>
      <c r="E82" s="752"/>
    </row>
    <row r="83" spans="2:5" ht="19.5" customHeight="1" x14ac:dyDescent="0.2">
      <c r="B83" s="752"/>
      <c r="C83" s="752"/>
      <c r="D83" s="4"/>
      <c r="E83" s="752"/>
    </row>
    <row r="84" spans="2:5" ht="19.5" customHeight="1" x14ac:dyDescent="0.2">
      <c r="B84" s="752"/>
      <c r="C84" s="752"/>
      <c r="D84" s="4"/>
      <c r="E84" s="752"/>
    </row>
    <row r="85" spans="2:5" ht="19.5" customHeight="1" x14ac:dyDescent="0.2">
      <c r="B85" s="752"/>
      <c r="C85" s="752"/>
      <c r="D85" s="4"/>
      <c r="E85" s="752"/>
    </row>
    <row r="86" spans="2:5" ht="19.5" customHeight="1" x14ac:dyDescent="0.2">
      <c r="B86" s="752"/>
      <c r="C86" s="752"/>
      <c r="D86" s="4"/>
      <c r="E86" s="752"/>
    </row>
    <row r="87" spans="2:5" ht="19.5" customHeight="1" x14ac:dyDescent="0.2">
      <c r="B87" s="752"/>
      <c r="C87" s="752"/>
      <c r="D87" s="4"/>
      <c r="E87" s="752"/>
    </row>
    <row r="88" spans="2:5" ht="19.5" customHeight="1" x14ac:dyDescent="0.2">
      <c r="B88" s="752"/>
      <c r="C88" s="752"/>
      <c r="D88" s="4"/>
      <c r="E88" s="752"/>
    </row>
    <row r="89" spans="2:5" ht="19.5" customHeight="1" x14ac:dyDescent="0.2">
      <c r="B89" s="752"/>
      <c r="C89" s="752"/>
      <c r="D89" s="4"/>
      <c r="E89" s="752"/>
    </row>
    <row r="90" spans="2:5" ht="19.5" customHeight="1" x14ac:dyDescent="0.2">
      <c r="B90" s="752"/>
      <c r="C90" s="752"/>
      <c r="D90" s="4"/>
      <c r="E90" s="752"/>
    </row>
    <row r="91" spans="2:5" ht="19.5" customHeight="1" x14ac:dyDescent="0.2">
      <c r="B91" s="752"/>
      <c r="C91" s="752"/>
      <c r="D91" s="4"/>
      <c r="E91" s="752"/>
    </row>
    <row r="92" spans="2:5" ht="19.5" customHeight="1" x14ac:dyDescent="0.2">
      <c r="B92" s="752"/>
      <c r="C92" s="752"/>
      <c r="D92" s="4"/>
      <c r="E92" s="752"/>
    </row>
    <row r="93" spans="2:5" ht="19.5" customHeight="1" x14ac:dyDescent="0.2">
      <c r="B93" s="752"/>
      <c r="C93" s="752"/>
      <c r="D93" s="4"/>
      <c r="E93" s="752"/>
    </row>
    <row r="94" spans="2:5" ht="19.5" customHeight="1" x14ac:dyDescent="0.2">
      <c r="B94" s="752"/>
      <c r="C94" s="752"/>
      <c r="D94" s="4"/>
      <c r="E94" s="752"/>
    </row>
    <row r="95" spans="2:5" ht="19.5" customHeight="1" x14ac:dyDescent="0.2">
      <c r="B95" s="752"/>
      <c r="C95" s="752"/>
      <c r="D95" s="4"/>
      <c r="E95" s="752"/>
    </row>
    <row r="96" spans="2:5" ht="19.5" customHeight="1" x14ac:dyDescent="0.2">
      <c r="B96" s="752"/>
      <c r="C96" s="752"/>
      <c r="D96" s="4"/>
      <c r="E96" s="752"/>
    </row>
    <row r="97" spans="2:5" ht="19.5" customHeight="1" x14ac:dyDescent="0.2">
      <c r="B97" s="752"/>
      <c r="C97" s="752"/>
      <c r="D97" s="4"/>
      <c r="E97" s="752"/>
    </row>
    <row r="98" spans="2:5" ht="19.5" customHeight="1" x14ac:dyDescent="0.2">
      <c r="B98" s="752"/>
      <c r="C98" s="752"/>
      <c r="D98" s="4"/>
      <c r="E98" s="752"/>
    </row>
    <row r="99" spans="2:5" ht="19.5" customHeight="1" x14ac:dyDescent="0.2">
      <c r="B99" s="752"/>
      <c r="C99" s="752"/>
      <c r="D99" s="4"/>
      <c r="E99" s="752"/>
    </row>
    <row r="100" spans="2:5" ht="19.5" customHeight="1" x14ac:dyDescent="0.2">
      <c r="B100" s="752"/>
      <c r="C100" s="752"/>
      <c r="D100" s="4"/>
      <c r="E100" s="752"/>
    </row>
    <row r="101" spans="2:5" ht="19.5" customHeight="1" x14ac:dyDescent="0.2">
      <c r="B101" s="752"/>
      <c r="C101" s="752"/>
      <c r="D101" s="4"/>
      <c r="E101" s="752"/>
    </row>
    <row r="102" spans="2:5" ht="19.5" customHeight="1" x14ac:dyDescent="0.2">
      <c r="B102" s="752"/>
      <c r="C102" s="752"/>
      <c r="D102" s="4"/>
      <c r="E102" s="752"/>
    </row>
    <row r="103" spans="2:5" ht="19.5" customHeight="1" x14ac:dyDescent="0.2">
      <c r="B103" s="752"/>
      <c r="C103" s="752"/>
      <c r="D103" s="4"/>
      <c r="E103" s="752"/>
    </row>
    <row r="104" spans="2:5" ht="19.5" customHeight="1" x14ac:dyDescent="0.2">
      <c r="B104" s="752"/>
      <c r="C104" s="752"/>
      <c r="D104" s="4"/>
      <c r="E104" s="752"/>
    </row>
    <row r="105" spans="2:5" ht="19.5" customHeight="1" x14ac:dyDescent="0.2">
      <c r="B105" s="752"/>
      <c r="C105" s="752"/>
      <c r="D105" s="4"/>
      <c r="E105" s="752"/>
    </row>
    <row r="106" spans="2:5" ht="19.5" customHeight="1" x14ac:dyDescent="0.2">
      <c r="B106" s="752"/>
      <c r="C106" s="752"/>
      <c r="D106" s="4"/>
      <c r="E106" s="752"/>
    </row>
    <row r="107" spans="2:5" ht="19.5" customHeight="1" x14ac:dyDescent="0.2">
      <c r="B107" s="752"/>
      <c r="C107" s="752"/>
      <c r="D107" s="4"/>
      <c r="E107" s="752"/>
    </row>
    <row r="108" spans="2:5" ht="19.5" customHeight="1" x14ac:dyDescent="0.2">
      <c r="B108" s="752"/>
      <c r="C108" s="752"/>
      <c r="D108" s="4"/>
      <c r="E108" s="752"/>
    </row>
    <row r="109" spans="2:5" ht="19.5" customHeight="1" x14ac:dyDescent="0.2">
      <c r="B109" s="752"/>
      <c r="C109" s="752"/>
      <c r="D109" s="4"/>
      <c r="E109" s="752"/>
    </row>
    <row r="110" spans="2:5" ht="19.5" customHeight="1" x14ac:dyDescent="0.2">
      <c r="B110" s="752"/>
      <c r="C110" s="752"/>
      <c r="D110" s="4"/>
      <c r="E110" s="752"/>
    </row>
    <row r="111" spans="2:5" ht="19.5" customHeight="1" x14ac:dyDescent="0.2">
      <c r="B111" s="752"/>
      <c r="C111" s="752"/>
      <c r="D111" s="4"/>
      <c r="E111" s="752"/>
    </row>
    <row r="112" spans="2:5" ht="19.5" customHeight="1" x14ac:dyDescent="0.2">
      <c r="B112" s="752"/>
      <c r="C112" s="752"/>
      <c r="D112" s="4"/>
      <c r="E112" s="752"/>
    </row>
    <row r="113" spans="2:5" ht="19.5" customHeight="1" x14ac:dyDescent="0.2">
      <c r="B113" s="752"/>
      <c r="C113" s="752"/>
      <c r="D113" s="4"/>
      <c r="E113" s="752"/>
    </row>
    <row r="114" spans="2:5" ht="19.5" customHeight="1" x14ac:dyDescent="0.2">
      <c r="B114" s="752"/>
      <c r="C114" s="752"/>
      <c r="D114" s="4"/>
      <c r="E114" s="752"/>
    </row>
    <row r="115" spans="2:5" ht="19.5" customHeight="1" x14ac:dyDescent="0.2">
      <c r="B115" s="752"/>
      <c r="C115" s="752"/>
      <c r="D115" s="4"/>
      <c r="E115" s="752"/>
    </row>
    <row r="116" spans="2:5" ht="19.5" customHeight="1" x14ac:dyDescent="0.2">
      <c r="B116" s="752"/>
      <c r="C116" s="752"/>
      <c r="D116" s="4"/>
      <c r="E116" s="752"/>
    </row>
    <row r="117" spans="2:5" ht="19.5" customHeight="1" x14ac:dyDescent="0.2">
      <c r="B117" s="752"/>
      <c r="C117" s="752"/>
      <c r="D117" s="4"/>
      <c r="E117" s="752"/>
    </row>
    <row r="118" spans="2:5" ht="19.5" customHeight="1" x14ac:dyDescent="0.2">
      <c r="B118" s="752"/>
      <c r="C118" s="752"/>
      <c r="D118" s="4"/>
      <c r="E118" s="752"/>
    </row>
    <row r="119" spans="2:5" ht="19.5" customHeight="1" x14ac:dyDescent="0.2">
      <c r="B119" s="752"/>
      <c r="C119" s="752"/>
      <c r="D119" s="4"/>
      <c r="E119" s="752"/>
    </row>
    <row r="120" spans="2:5" ht="19.5" customHeight="1" x14ac:dyDescent="0.2">
      <c r="B120" s="752"/>
      <c r="C120" s="752"/>
      <c r="D120" s="4"/>
      <c r="E120" s="752"/>
    </row>
    <row r="121" spans="2:5" ht="19.5" customHeight="1" x14ac:dyDescent="0.2">
      <c r="B121" s="752"/>
      <c r="C121" s="752"/>
      <c r="D121" s="4"/>
      <c r="E121" s="752"/>
    </row>
    <row r="122" spans="2:5" ht="19.5" customHeight="1" x14ac:dyDescent="0.2">
      <c r="B122" s="752"/>
      <c r="C122" s="752"/>
      <c r="D122" s="4"/>
      <c r="E122" s="752"/>
    </row>
    <row r="123" spans="2:5" ht="19.5" customHeight="1" x14ac:dyDescent="0.2">
      <c r="B123" s="752"/>
      <c r="C123" s="752"/>
      <c r="D123" s="4"/>
      <c r="E123" s="752"/>
    </row>
    <row r="124" spans="2:5" ht="19.5" customHeight="1" x14ac:dyDescent="0.2">
      <c r="B124" s="752"/>
      <c r="C124" s="752"/>
      <c r="D124" s="4"/>
      <c r="E124" s="752"/>
    </row>
    <row r="125" spans="2:5" ht="19.5" customHeight="1" x14ac:dyDescent="0.2">
      <c r="B125" s="752"/>
      <c r="C125" s="752"/>
      <c r="D125" s="4"/>
      <c r="E125" s="752"/>
    </row>
    <row r="126" spans="2:5" ht="19.5" customHeight="1" x14ac:dyDescent="0.2">
      <c r="B126" s="752"/>
      <c r="C126" s="752"/>
      <c r="D126" s="4"/>
      <c r="E126" s="752"/>
    </row>
    <row r="127" spans="2:5" ht="19.5" customHeight="1" x14ac:dyDescent="0.2">
      <c r="B127" s="752"/>
      <c r="C127" s="752"/>
      <c r="D127" s="4"/>
      <c r="E127" s="752"/>
    </row>
    <row r="128" spans="2:5" ht="19.5" customHeight="1" x14ac:dyDescent="0.2">
      <c r="B128" s="752"/>
      <c r="C128" s="752"/>
      <c r="D128" s="4"/>
      <c r="E128" s="752"/>
    </row>
    <row r="129" spans="2:5" ht="19.5" customHeight="1" x14ac:dyDescent="0.2">
      <c r="B129" s="752"/>
      <c r="C129" s="752"/>
      <c r="D129" s="4"/>
      <c r="E129" s="752"/>
    </row>
    <row r="130" spans="2:5" ht="19.5" customHeight="1" x14ac:dyDescent="0.2">
      <c r="B130" s="752"/>
      <c r="C130" s="752"/>
      <c r="D130" s="4"/>
      <c r="E130" s="752"/>
    </row>
    <row r="131" spans="2:5" ht="19.5" customHeight="1" x14ac:dyDescent="0.2">
      <c r="B131" s="752"/>
      <c r="C131" s="752"/>
      <c r="D131" s="4"/>
      <c r="E131" s="752"/>
    </row>
    <row r="132" spans="2:5" ht="19.5" customHeight="1" x14ac:dyDescent="0.2">
      <c r="B132" s="752"/>
      <c r="C132" s="752"/>
      <c r="D132" s="4"/>
      <c r="E132" s="752"/>
    </row>
    <row r="133" spans="2:5" ht="19.5" customHeight="1" x14ac:dyDescent="0.2">
      <c r="B133" s="752"/>
      <c r="C133" s="752"/>
      <c r="D133" s="4"/>
      <c r="E133" s="752"/>
    </row>
    <row r="134" spans="2:5" ht="19.5" customHeight="1" x14ac:dyDescent="0.2">
      <c r="B134" s="752"/>
      <c r="C134" s="752"/>
      <c r="D134" s="4"/>
      <c r="E134" s="752"/>
    </row>
    <row r="135" spans="2:5" ht="19.5" customHeight="1" x14ac:dyDescent="0.2">
      <c r="B135" s="752"/>
      <c r="C135" s="752"/>
      <c r="D135" s="4"/>
      <c r="E135" s="752"/>
    </row>
    <row r="136" spans="2:5" ht="19.5" customHeight="1" x14ac:dyDescent="0.2">
      <c r="B136" s="752"/>
      <c r="C136" s="752"/>
      <c r="D136" s="4"/>
      <c r="E136" s="752"/>
    </row>
    <row r="137" spans="2:5" ht="19.5" customHeight="1" x14ac:dyDescent="0.2">
      <c r="B137" s="752"/>
      <c r="C137" s="752"/>
      <c r="D137" s="4"/>
      <c r="E137" s="752"/>
    </row>
    <row r="138" spans="2:5" ht="19.5" customHeight="1" x14ac:dyDescent="0.2">
      <c r="B138" s="752"/>
      <c r="C138" s="752"/>
      <c r="D138" s="4"/>
      <c r="E138" s="752"/>
    </row>
    <row r="139" spans="2:5" ht="19.5" customHeight="1" x14ac:dyDescent="0.2">
      <c r="B139" s="752"/>
      <c r="C139" s="752"/>
      <c r="D139" s="4"/>
      <c r="E139" s="752"/>
    </row>
    <row r="140" spans="2:5" ht="19.5" customHeight="1" x14ac:dyDescent="0.2">
      <c r="B140" s="752"/>
      <c r="C140" s="752"/>
      <c r="D140" s="4"/>
      <c r="E140" s="752"/>
    </row>
    <row r="141" spans="2:5" ht="19.5" customHeight="1" x14ac:dyDescent="0.2">
      <c r="B141" s="752"/>
      <c r="C141" s="752"/>
      <c r="D141" s="4"/>
      <c r="E141" s="752"/>
    </row>
    <row r="142" spans="2:5" ht="19.5" customHeight="1" x14ac:dyDescent="0.2">
      <c r="B142" s="752"/>
      <c r="C142" s="752"/>
      <c r="D142" s="4"/>
      <c r="E142" s="752"/>
    </row>
    <row r="143" spans="2:5" ht="19.5" customHeight="1" x14ac:dyDescent="0.2">
      <c r="B143" s="752"/>
      <c r="C143" s="752"/>
      <c r="D143" s="4"/>
      <c r="E143" s="752"/>
    </row>
    <row r="144" spans="2:5" ht="19.5" customHeight="1" x14ac:dyDescent="0.2">
      <c r="B144" s="752"/>
      <c r="C144" s="752"/>
      <c r="D144" s="4"/>
      <c r="E144" s="752"/>
    </row>
    <row r="145" spans="2:5" ht="19.5" customHeight="1" x14ac:dyDescent="0.2">
      <c r="B145" s="752"/>
      <c r="C145" s="752"/>
      <c r="D145" s="4"/>
      <c r="E145" s="752"/>
    </row>
    <row r="146" spans="2:5" ht="19.5" customHeight="1" x14ac:dyDescent="0.2">
      <c r="B146" s="752"/>
      <c r="C146" s="752"/>
      <c r="D146" s="4"/>
      <c r="E146" s="752"/>
    </row>
    <row r="147" spans="2:5" ht="19.5" customHeight="1" x14ac:dyDescent="0.2">
      <c r="B147" s="752"/>
      <c r="C147" s="752"/>
      <c r="D147" s="4"/>
      <c r="E147" s="752"/>
    </row>
    <row r="148" spans="2:5" ht="19.5" customHeight="1" x14ac:dyDescent="0.2">
      <c r="B148" s="752"/>
      <c r="C148" s="752"/>
      <c r="D148" s="4"/>
      <c r="E148" s="752"/>
    </row>
    <row r="149" spans="2:5" ht="19.5" customHeight="1" x14ac:dyDescent="0.2">
      <c r="B149" s="752"/>
      <c r="C149" s="752"/>
      <c r="D149" s="4"/>
      <c r="E149" s="752"/>
    </row>
    <row r="150" spans="2:5" ht="19.5" customHeight="1" x14ac:dyDescent="0.2">
      <c r="B150" s="752"/>
      <c r="C150" s="752"/>
      <c r="D150" s="4"/>
      <c r="E150" s="752"/>
    </row>
    <row r="151" spans="2:5" ht="19.5" customHeight="1" x14ac:dyDescent="0.2">
      <c r="B151" s="752"/>
      <c r="C151" s="752"/>
      <c r="D151" s="4"/>
      <c r="E151" s="752"/>
    </row>
    <row r="152" spans="2:5" ht="19.5" customHeight="1" x14ac:dyDescent="0.2">
      <c r="B152" s="752"/>
      <c r="C152" s="752"/>
      <c r="D152" s="4"/>
      <c r="E152" s="752"/>
    </row>
    <row r="153" spans="2:5" ht="19.5" customHeight="1" x14ac:dyDescent="0.2">
      <c r="B153" s="752"/>
      <c r="C153" s="752"/>
      <c r="D153" s="4"/>
      <c r="E153" s="752"/>
    </row>
    <row r="154" spans="2:5" ht="19.5" customHeight="1" x14ac:dyDescent="0.2">
      <c r="B154" s="752"/>
      <c r="C154" s="752"/>
      <c r="D154" s="4"/>
      <c r="E154" s="752"/>
    </row>
    <row r="155" spans="2:5" ht="19.5" customHeight="1" x14ac:dyDescent="0.2">
      <c r="B155" s="752"/>
      <c r="C155" s="752"/>
      <c r="D155" s="4"/>
      <c r="E155" s="752"/>
    </row>
    <row r="156" spans="2:5" ht="19.5" customHeight="1" x14ac:dyDescent="0.2">
      <c r="B156" s="752"/>
      <c r="C156" s="752"/>
      <c r="D156" s="4"/>
      <c r="E156" s="752"/>
    </row>
    <row r="157" spans="2:5" ht="19.5" customHeight="1" x14ac:dyDescent="0.2">
      <c r="B157" s="752"/>
      <c r="C157" s="752"/>
      <c r="D157" s="4"/>
      <c r="E157" s="752"/>
    </row>
    <row r="158" spans="2:5" ht="19.5" customHeight="1" x14ac:dyDescent="0.2">
      <c r="B158" s="752"/>
      <c r="C158" s="752"/>
      <c r="D158" s="4"/>
      <c r="E158" s="752"/>
    </row>
    <row r="159" spans="2:5" ht="19.5" customHeight="1" x14ac:dyDescent="0.2">
      <c r="B159" s="752"/>
      <c r="C159" s="752"/>
      <c r="D159" s="4"/>
      <c r="E159" s="752"/>
    </row>
    <row r="160" spans="2:5" ht="19.5" customHeight="1" x14ac:dyDescent="0.2">
      <c r="B160" s="752"/>
      <c r="C160" s="752"/>
      <c r="D160" s="4"/>
      <c r="E160" s="752"/>
    </row>
    <row r="161" spans="2:5" ht="19.5" customHeight="1" x14ac:dyDescent="0.2">
      <c r="B161" s="752"/>
      <c r="C161" s="752"/>
      <c r="D161" s="4"/>
      <c r="E161" s="752"/>
    </row>
    <row r="162" spans="2:5" ht="19.5" customHeight="1" x14ac:dyDescent="0.2">
      <c r="B162" s="752"/>
      <c r="C162" s="752"/>
      <c r="D162" s="4"/>
      <c r="E162" s="752"/>
    </row>
    <row r="163" spans="2:5" ht="19.5" customHeight="1" x14ac:dyDescent="0.2">
      <c r="B163" s="752"/>
      <c r="C163" s="752"/>
      <c r="D163" s="4"/>
      <c r="E163" s="752"/>
    </row>
    <row r="164" spans="2:5" ht="19.5" customHeight="1" x14ac:dyDescent="0.2">
      <c r="B164" s="752"/>
      <c r="C164" s="752"/>
      <c r="D164" s="4"/>
      <c r="E164" s="752"/>
    </row>
    <row r="165" spans="2:5" ht="19.5" customHeight="1" x14ac:dyDescent="0.2">
      <c r="B165" s="752"/>
      <c r="C165" s="752"/>
      <c r="D165" s="4"/>
      <c r="E165" s="752"/>
    </row>
    <row r="166" spans="2:5" ht="19.5" customHeight="1" x14ac:dyDescent="0.2">
      <c r="B166" s="752"/>
      <c r="C166" s="752"/>
      <c r="D166" s="4"/>
      <c r="E166" s="752"/>
    </row>
    <row r="167" spans="2:5" ht="19.5" customHeight="1" x14ac:dyDescent="0.2">
      <c r="B167" s="752"/>
      <c r="C167" s="752"/>
      <c r="D167" s="4"/>
      <c r="E167" s="752"/>
    </row>
    <row r="168" spans="2:5" ht="19.5" customHeight="1" x14ac:dyDescent="0.2">
      <c r="B168" s="752"/>
      <c r="C168" s="752"/>
      <c r="D168" s="4"/>
      <c r="E168" s="752"/>
    </row>
    <row r="169" spans="2:5" ht="19.5" customHeight="1" x14ac:dyDescent="0.2">
      <c r="B169" s="752"/>
      <c r="C169" s="752"/>
      <c r="D169" s="4"/>
      <c r="E169" s="752"/>
    </row>
    <row r="170" spans="2:5" ht="19.5" customHeight="1" x14ac:dyDescent="0.2">
      <c r="B170" s="752"/>
      <c r="C170" s="752"/>
      <c r="D170" s="4"/>
      <c r="E170" s="752"/>
    </row>
    <row r="171" spans="2:5" ht="19.5" customHeight="1" x14ac:dyDescent="0.2">
      <c r="B171" s="752"/>
      <c r="C171" s="752"/>
      <c r="D171" s="4"/>
      <c r="E171" s="752"/>
    </row>
    <row r="172" spans="2:5" ht="19.5" customHeight="1" x14ac:dyDescent="0.2">
      <c r="B172" s="752"/>
      <c r="C172" s="752"/>
      <c r="D172" s="4"/>
      <c r="E172" s="752"/>
    </row>
    <row r="173" spans="2:5" ht="19.5" customHeight="1" x14ac:dyDescent="0.2">
      <c r="B173" s="752"/>
      <c r="C173" s="752"/>
      <c r="D173" s="4"/>
      <c r="E173" s="752"/>
    </row>
    <row r="174" spans="2:5" ht="19.5" customHeight="1" x14ac:dyDescent="0.2">
      <c r="B174" s="752"/>
      <c r="C174" s="752"/>
      <c r="D174" s="4"/>
      <c r="E174" s="752"/>
    </row>
    <row r="175" spans="2:5" ht="19.5" customHeight="1" x14ac:dyDescent="0.2">
      <c r="B175" s="752"/>
      <c r="C175" s="752"/>
      <c r="D175" s="4"/>
      <c r="E175" s="752"/>
    </row>
    <row r="176" spans="2:5" ht="19.5" customHeight="1" x14ac:dyDescent="0.2">
      <c r="B176" s="752"/>
      <c r="C176" s="752"/>
      <c r="D176" s="4"/>
      <c r="E176" s="752"/>
    </row>
    <row r="177" spans="2:5" ht="19.5" customHeight="1" x14ac:dyDescent="0.2">
      <c r="B177" s="752"/>
      <c r="C177" s="752"/>
      <c r="D177" s="4"/>
      <c r="E177" s="752"/>
    </row>
    <row r="178" spans="2:5" ht="19.5" customHeight="1" x14ac:dyDescent="0.2">
      <c r="B178" s="752"/>
      <c r="C178" s="752"/>
      <c r="D178" s="4"/>
      <c r="E178" s="752"/>
    </row>
    <row r="179" spans="2:5" ht="19.5" customHeight="1" x14ac:dyDescent="0.2">
      <c r="B179" s="752"/>
      <c r="C179" s="752"/>
      <c r="D179" s="4"/>
      <c r="E179" s="752"/>
    </row>
    <row r="180" spans="2:5" ht="19.5" customHeight="1" x14ac:dyDescent="0.2">
      <c r="B180" s="752"/>
      <c r="C180" s="752"/>
      <c r="D180" s="4"/>
      <c r="E180" s="752"/>
    </row>
    <row r="181" spans="2:5" ht="19.5" customHeight="1" x14ac:dyDescent="0.2">
      <c r="B181" s="752"/>
      <c r="C181" s="752"/>
      <c r="D181" s="4"/>
      <c r="E181" s="752"/>
    </row>
    <row r="182" spans="2:5" ht="19.5" customHeight="1" x14ac:dyDescent="0.2">
      <c r="B182" s="752"/>
      <c r="C182" s="752"/>
      <c r="D182" s="4"/>
      <c r="E182" s="752"/>
    </row>
    <row r="183" spans="2:5" ht="19.5" customHeight="1" x14ac:dyDescent="0.2">
      <c r="B183" s="752"/>
      <c r="C183" s="752"/>
      <c r="D183" s="4"/>
      <c r="E183" s="752"/>
    </row>
    <row r="184" spans="2:5" ht="19.5" customHeight="1" x14ac:dyDescent="0.2">
      <c r="B184" s="752"/>
      <c r="C184" s="752"/>
      <c r="D184" s="4"/>
      <c r="E184" s="752"/>
    </row>
    <row r="185" spans="2:5" ht="19.5" customHeight="1" x14ac:dyDescent="0.2">
      <c r="B185" s="752"/>
      <c r="C185" s="752"/>
      <c r="D185" s="4"/>
      <c r="E185" s="752"/>
    </row>
    <row r="186" spans="2:5" ht="19.5" customHeight="1" x14ac:dyDescent="0.2">
      <c r="B186" s="752"/>
      <c r="C186" s="752"/>
      <c r="D186" s="4"/>
      <c r="E186" s="752"/>
    </row>
    <row r="187" spans="2:5" ht="19.5" customHeight="1" x14ac:dyDescent="0.2">
      <c r="B187" s="752"/>
      <c r="C187" s="752"/>
      <c r="D187" s="4"/>
      <c r="E187" s="752"/>
    </row>
    <row r="188" spans="2:5" ht="19.5" customHeight="1" x14ac:dyDescent="0.2">
      <c r="B188" s="752"/>
      <c r="C188" s="752"/>
      <c r="D188" s="4"/>
      <c r="E188" s="752"/>
    </row>
    <row r="189" spans="2:5" ht="19.5" customHeight="1" x14ac:dyDescent="0.2">
      <c r="B189" s="752"/>
      <c r="C189" s="752"/>
      <c r="D189" s="4"/>
      <c r="E189" s="752"/>
    </row>
    <row r="190" spans="2:5" ht="19.5" customHeight="1" x14ac:dyDescent="0.2">
      <c r="B190" s="752"/>
      <c r="C190" s="752"/>
      <c r="D190" s="4"/>
      <c r="E190" s="752"/>
    </row>
    <row r="191" spans="2:5" ht="19.5" customHeight="1" x14ac:dyDescent="0.2">
      <c r="B191" s="752"/>
      <c r="C191" s="752"/>
      <c r="D191" s="4"/>
      <c r="E191" s="752"/>
    </row>
    <row r="192" spans="2:5" ht="19.5" customHeight="1" x14ac:dyDescent="0.2">
      <c r="B192" s="752"/>
      <c r="C192" s="752"/>
      <c r="D192" s="4"/>
      <c r="E192" s="752"/>
    </row>
    <row r="193" spans="2:5" ht="19.5" customHeight="1" x14ac:dyDescent="0.2">
      <c r="B193" s="752"/>
      <c r="C193" s="752"/>
      <c r="D193" s="4"/>
      <c r="E193" s="752"/>
    </row>
    <row r="194" spans="2:5" ht="19.5" customHeight="1" x14ac:dyDescent="0.2">
      <c r="B194" s="752"/>
      <c r="C194" s="752"/>
      <c r="D194" s="4"/>
      <c r="E194" s="752"/>
    </row>
    <row r="195" spans="2:5" ht="19.5" customHeight="1" x14ac:dyDescent="0.2">
      <c r="B195" s="752"/>
      <c r="C195" s="752"/>
      <c r="D195" s="4"/>
      <c r="E195" s="752"/>
    </row>
    <row r="196" spans="2:5" ht="19.5" customHeight="1" x14ac:dyDescent="0.2">
      <c r="B196" s="752"/>
      <c r="C196" s="752"/>
      <c r="D196" s="4"/>
      <c r="E196" s="752"/>
    </row>
    <row r="197" spans="2:5" ht="19.5" customHeight="1" x14ac:dyDescent="0.2">
      <c r="B197" s="752"/>
      <c r="C197" s="752"/>
      <c r="D197" s="4"/>
      <c r="E197" s="752"/>
    </row>
    <row r="198" spans="2:5" ht="19.5" customHeight="1" x14ac:dyDescent="0.2">
      <c r="B198" s="752"/>
      <c r="C198" s="752"/>
      <c r="D198" s="4"/>
      <c r="E198" s="752"/>
    </row>
    <row r="199" spans="2:5" ht="19.5" customHeight="1" x14ac:dyDescent="0.2">
      <c r="B199" s="752"/>
      <c r="C199" s="752"/>
      <c r="D199" s="4"/>
      <c r="E199" s="752"/>
    </row>
    <row r="200" spans="2:5" ht="19.5" customHeight="1" x14ac:dyDescent="0.2">
      <c r="B200" s="752"/>
      <c r="C200" s="752"/>
      <c r="D200" s="4"/>
      <c r="E200" s="752"/>
    </row>
    <row r="201" spans="2:5" ht="19.5" customHeight="1" x14ac:dyDescent="0.2">
      <c r="B201" s="752"/>
      <c r="C201" s="752"/>
      <c r="D201" s="4"/>
      <c r="E201" s="752"/>
    </row>
    <row r="202" spans="2:5" ht="19.5" customHeight="1" x14ac:dyDescent="0.2">
      <c r="B202" s="752"/>
      <c r="C202" s="752"/>
      <c r="D202" s="4"/>
      <c r="E202" s="752"/>
    </row>
    <row r="203" spans="2:5" ht="19.5" customHeight="1" x14ac:dyDescent="0.2">
      <c r="B203" s="752"/>
      <c r="C203" s="752"/>
      <c r="D203" s="4"/>
      <c r="E203" s="752"/>
    </row>
    <row r="204" spans="2:5" ht="19.5" customHeight="1" x14ac:dyDescent="0.2">
      <c r="B204" s="752"/>
      <c r="C204" s="752"/>
      <c r="D204" s="4"/>
      <c r="E204" s="752"/>
    </row>
    <row r="205" spans="2:5" ht="19.5" customHeight="1" x14ac:dyDescent="0.2">
      <c r="B205" s="752"/>
      <c r="C205" s="752"/>
      <c r="D205" s="4"/>
      <c r="E205" s="752"/>
    </row>
    <row r="206" spans="2:5" ht="19.5" customHeight="1" x14ac:dyDescent="0.2">
      <c r="B206" s="752"/>
      <c r="C206" s="752"/>
      <c r="D206" s="4"/>
      <c r="E206" s="752"/>
    </row>
    <row r="207" spans="2:5" ht="19.5" customHeight="1" x14ac:dyDescent="0.2">
      <c r="B207" s="752"/>
      <c r="C207" s="752"/>
      <c r="D207" s="4"/>
      <c r="E207" s="752"/>
    </row>
    <row r="208" spans="2:5" ht="19.5" customHeight="1" x14ac:dyDescent="0.2">
      <c r="B208" s="752"/>
      <c r="C208" s="752"/>
      <c r="D208" s="4"/>
      <c r="E208" s="752"/>
    </row>
    <row r="209" spans="2:5" ht="19.5" customHeight="1" x14ac:dyDescent="0.2">
      <c r="B209" s="752"/>
      <c r="C209" s="752"/>
      <c r="D209" s="4"/>
      <c r="E209" s="752"/>
    </row>
    <row r="210" spans="2:5" ht="19.5" customHeight="1" x14ac:dyDescent="0.2">
      <c r="B210" s="752"/>
      <c r="C210" s="752"/>
      <c r="D210" s="4"/>
      <c r="E210" s="752"/>
    </row>
    <row r="211" spans="2:5" ht="19.5" customHeight="1" x14ac:dyDescent="0.2">
      <c r="B211" s="752"/>
      <c r="C211" s="752"/>
      <c r="D211" s="4"/>
      <c r="E211" s="752"/>
    </row>
    <row r="212" spans="2:5" ht="19.5" customHeight="1" x14ac:dyDescent="0.2">
      <c r="B212" s="752"/>
      <c r="C212" s="752"/>
      <c r="D212" s="4"/>
      <c r="E212" s="752"/>
    </row>
    <row r="213" spans="2:5" ht="19.5" customHeight="1" x14ac:dyDescent="0.2">
      <c r="B213" s="752"/>
      <c r="C213" s="752"/>
      <c r="D213" s="4"/>
      <c r="E213" s="752"/>
    </row>
    <row r="214" spans="2:5" ht="19.5" customHeight="1" x14ac:dyDescent="0.2">
      <c r="B214" s="752"/>
      <c r="C214" s="752"/>
      <c r="D214" s="4"/>
      <c r="E214" s="752"/>
    </row>
    <row r="215" spans="2:5" ht="19.5" customHeight="1" x14ac:dyDescent="0.2">
      <c r="B215" s="752"/>
      <c r="C215" s="752"/>
      <c r="D215" s="4"/>
      <c r="E215" s="752"/>
    </row>
    <row r="216" spans="2:5" ht="19.5" customHeight="1" x14ac:dyDescent="0.2">
      <c r="B216" s="752"/>
      <c r="C216" s="752"/>
      <c r="D216" s="4"/>
      <c r="E216" s="752"/>
    </row>
    <row r="217" spans="2:5" ht="19.5" customHeight="1" x14ac:dyDescent="0.2">
      <c r="B217" s="752"/>
      <c r="C217" s="752"/>
      <c r="D217" s="4"/>
      <c r="E217" s="752"/>
    </row>
    <row r="218" spans="2:5" ht="19.5" customHeight="1" x14ac:dyDescent="0.2">
      <c r="B218" s="752"/>
      <c r="C218" s="752"/>
      <c r="D218" s="4"/>
      <c r="E218" s="752"/>
    </row>
    <row r="219" spans="2:5" ht="19.5" customHeight="1" x14ac:dyDescent="0.2">
      <c r="B219" s="752"/>
      <c r="C219" s="752"/>
      <c r="D219" s="4"/>
      <c r="E219" s="752"/>
    </row>
    <row r="220" spans="2:5" ht="19.5" customHeight="1" x14ac:dyDescent="0.2">
      <c r="B220" s="752"/>
      <c r="C220" s="752"/>
      <c r="D220" s="4"/>
      <c r="E220" s="752"/>
    </row>
    <row r="221" spans="2:5" ht="19.5" customHeight="1" x14ac:dyDescent="0.2">
      <c r="B221" s="752"/>
      <c r="C221" s="752"/>
      <c r="D221" s="4"/>
      <c r="E221" s="752"/>
    </row>
    <row r="222" spans="2:5" ht="19.5" customHeight="1" x14ac:dyDescent="0.2">
      <c r="B222" s="752"/>
      <c r="C222" s="752"/>
      <c r="D222" s="4"/>
      <c r="E222" s="752"/>
    </row>
    <row r="223" spans="2:5" ht="19.5" customHeight="1" x14ac:dyDescent="0.2">
      <c r="B223" s="752"/>
      <c r="C223" s="752"/>
      <c r="D223" s="4"/>
      <c r="E223" s="752"/>
    </row>
    <row r="224" spans="2:5" ht="19.5" customHeight="1" x14ac:dyDescent="0.2">
      <c r="B224" s="752"/>
      <c r="C224" s="752"/>
      <c r="D224" s="4"/>
      <c r="E224" s="752"/>
    </row>
    <row r="225" spans="2:5" ht="19.5" customHeight="1" x14ac:dyDescent="0.2">
      <c r="B225" s="752"/>
      <c r="C225" s="752"/>
      <c r="D225" s="4"/>
      <c r="E225" s="752"/>
    </row>
    <row r="226" spans="2:5" ht="19.5" customHeight="1" x14ac:dyDescent="0.2">
      <c r="B226" s="752"/>
      <c r="C226" s="752"/>
      <c r="D226" s="4"/>
      <c r="E226" s="752"/>
    </row>
    <row r="227" spans="2:5" ht="19.5" customHeight="1" x14ac:dyDescent="0.2">
      <c r="B227" s="752"/>
      <c r="C227" s="752"/>
      <c r="D227" s="4"/>
      <c r="E227" s="752"/>
    </row>
    <row r="228" spans="2:5" ht="19.5" customHeight="1" x14ac:dyDescent="0.2">
      <c r="B228" s="752"/>
      <c r="C228" s="752"/>
      <c r="D228" s="4"/>
      <c r="E228" s="752"/>
    </row>
    <row r="229" spans="2:5" ht="19.5" customHeight="1" x14ac:dyDescent="0.2">
      <c r="B229" s="752"/>
      <c r="C229" s="752"/>
      <c r="D229" s="4"/>
      <c r="E229" s="752"/>
    </row>
    <row r="230" spans="2:5" ht="19.5" customHeight="1" x14ac:dyDescent="0.2">
      <c r="B230" s="752"/>
      <c r="C230" s="752"/>
      <c r="D230" s="4"/>
      <c r="E230" s="752"/>
    </row>
    <row r="231" spans="2:5" ht="19.5" customHeight="1" x14ac:dyDescent="0.2">
      <c r="B231" s="752"/>
      <c r="C231" s="752"/>
      <c r="D231" s="4"/>
      <c r="E231" s="752"/>
    </row>
    <row r="232" spans="2:5" ht="19.5" customHeight="1" x14ac:dyDescent="0.2">
      <c r="B232" s="752"/>
      <c r="C232" s="752"/>
      <c r="D232" s="4"/>
      <c r="E232" s="752"/>
    </row>
    <row r="233" spans="2:5" ht="19.5" customHeight="1" x14ac:dyDescent="0.2">
      <c r="B233" s="752"/>
      <c r="C233" s="752"/>
      <c r="D233" s="4"/>
      <c r="E233" s="752"/>
    </row>
    <row r="234" spans="2:5" ht="19.5" customHeight="1" x14ac:dyDescent="0.2">
      <c r="B234" s="752"/>
      <c r="C234" s="752"/>
      <c r="D234" s="4"/>
      <c r="E234" s="752"/>
    </row>
    <row r="235" spans="2:5" ht="19.5" customHeight="1" x14ac:dyDescent="0.2">
      <c r="B235" s="752"/>
      <c r="C235" s="752"/>
      <c r="D235" s="4"/>
      <c r="E235" s="752"/>
    </row>
    <row r="236" spans="2:5" ht="19.5" customHeight="1" x14ac:dyDescent="0.2">
      <c r="B236" s="752"/>
      <c r="C236" s="752"/>
      <c r="D236" s="4"/>
      <c r="E236" s="752"/>
    </row>
    <row r="237" spans="2:5" ht="19.5" customHeight="1" x14ac:dyDescent="0.2">
      <c r="B237" s="752"/>
      <c r="C237" s="752"/>
      <c r="D237" s="4"/>
      <c r="E237" s="752"/>
    </row>
    <row r="238" spans="2:5" ht="19.5" customHeight="1" x14ac:dyDescent="0.2">
      <c r="B238" s="752"/>
      <c r="C238" s="752"/>
      <c r="D238" s="4"/>
      <c r="E238" s="752"/>
    </row>
    <row r="239" spans="2:5" ht="19.5" customHeight="1" x14ac:dyDescent="0.2">
      <c r="B239" s="752"/>
      <c r="C239" s="752"/>
      <c r="D239" s="4"/>
      <c r="E239" s="752"/>
    </row>
    <row r="240" spans="2:5" ht="19.5" customHeight="1" x14ac:dyDescent="0.2">
      <c r="B240" s="752"/>
      <c r="C240" s="752"/>
      <c r="D240" s="4"/>
      <c r="E240" s="752"/>
    </row>
    <row r="241" spans="2:5" ht="19.5" customHeight="1" x14ac:dyDescent="0.2">
      <c r="B241" s="752"/>
      <c r="C241" s="752"/>
      <c r="D241" s="4"/>
      <c r="E241" s="752"/>
    </row>
    <row r="242" spans="2:5" ht="19.5" customHeight="1" x14ac:dyDescent="0.2">
      <c r="B242" s="752"/>
      <c r="C242" s="752"/>
      <c r="D242" s="4"/>
      <c r="E242" s="752"/>
    </row>
    <row r="243" spans="2:5" ht="19.5" customHeight="1" x14ac:dyDescent="0.2">
      <c r="B243" s="752"/>
      <c r="C243" s="752"/>
      <c r="D243" s="4"/>
      <c r="E243" s="752"/>
    </row>
    <row r="244" spans="2:5" ht="19.5" customHeight="1" x14ac:dyDescent="0.2">
      <c r="B244" s="752"/>
      <c r="C244" s="752"/>
      <c r="D244" s="4"/>
      <c r="E244" s="752"/>
    </row>
    <row r="245" spans="2:5" ht="19.5" customHeight="1" x14ac:dyDescent="0.2">
      <c r="B245" s="752"/>
      <c r="C245" s="752"/>
      <c r="D245" s="4"/>
      <c r="E245" s="752"/>
    </row>
    <row r="246" spans="2:5" ht="19.5" customHeight="1" x14ac:dyDescent="0.2">
      <c r="B246" s="752"/>
      <c r="C246" s="752"/>
      <c r="D246" s="4"/>
      <c r="E246" s="752"/>
    </row>
    <row r="247" spans="2:5" ht="19.5" customHeight="1" x14ac:dyDescent="0.2">
      <c r="B247" s="752"/>
      <c r="C247" s="752"/>
      <c r="D247" s="4"/>
      <c r="E247" s="752"/>
    </row>
    <row r="248" spans="2:5" ht="19.5" customHeight="1" x14ac:dyDescent="0.2">
      <c r="B248" s="752"/>
      <c r="C248" s="752"/>
      <c r="D248" s="4"/>
      <c r="E248" s="752"/>
    </row>
    <row r="249" spans="2:5" ht="19.5" customHeight="1" x14ac:dyDescent="0.2">
      <c r="B249" s="752"/>
      <c r="C249" s="752"/>
      <c r="D249" s="4"/>
      <c r="E249" s="752"/>
    </row>
    <row r="250" spans="2:5" ht="19.5" customHeight="1" x14ac:dyDescent="0.2">
      <c r="B250" s="752"/>
      <c r="C250" s="752"/>
      <c r="D250" s="4"/>
      <c r="E250" s="752"/>
    </row>
    <row r="251" spans="2:5" ht="19.5" customHeight="1" x14ac:dyDescent="0.2">
      <c r="B251" s="752"/>
      <c r="C251" s="752"/>
      <c r="D251" s="4"/>
      <c r="E251" s="752"/>
    </row>
    <row r="252" spans="2:5" ht="19.5" customHeight="1" x14ac:dyDescent="0.2">
      <c r="B252" s="752"/>
      <c r="C252" s="752"/>
      <c r="D252" s="4"/>
      <c r="E252" s="752"/>
    </row>
    <row r="253" spans="2:5" ht="19.5" customHeight="1" x14ac:dyDescent="0.2">
      <c r="B253" s="752"/>
      <c r="C253" s="752"/>
      <c r="D253" s="4"/>
      <c r="E253" s="752"/>
    </row>
    <row r="254" spans="2:5" ht="19.5" customHeight="1" x14ac:dyDescent="0.2">
      <c r="B254" s="752"/>
      <c r="C254" s="752"/>
      <c r="D254" s="4"/>
      <c r="E254" s="752"/>
    </row>
    <row r="255" spans="2:5" ht="19.5" customHeight="1" x14ac:dyDescent="0.2">
      <c r="B255" s="752"/>
      <c r="C255" s="752"/>
      <c r="D255" s="4"/>
      <c r="E255" s="752"/>
    </row>
    <row r="256" spans="2:5" ht="19.5" customHeight="1" x14ac:dyDescent="0.2">
      <c r="B256" s="752"/>
      <c r="C256" s="752"/>
      <c r="D256" s="4"/>
      <c r="E256" s="752"/>
    </row>
    <row r="257" spans="2:5" ht="19.5" customHeight="1" x14ac:dyDescent="0.2">
      <c r="B257" s="752"/>
      <c r="C257" s="752"/>
      <c r="D257" s="4"/>
      <c r="E257" s="752"/>
    </row>
    <row r="258" spans="2:5" ht="19.5" customHeight="1" x14ac:dyDescent="0.2">
      <c r="B258" s="752"/>
      <c r="C258" s="752"/>
      <c r="D258" s="4"/>
      <c r="E258" s="752"/>
    </row>
    <row r="259" spans="2:5" ht="19.5" customHeight="1" x14ac:dyDescent="0.2">
      <c r="B259" s="752"/>
      <c r="C259" s="752"/>
      <c r="D259" s="4"/>
      <c r="E259" s="752"/>
    </row>
    <row r="260" spans="2:5" ht="19.5" customHeight="1" x14ac:dyDescent="0.2">
      <c r="B260" s="752"/>
      <c r="C260" s="752"/>
      <c r="D260" s="4"/>
      <c r="E260" s="752"/>
    </row>
    <row r="261" spans="2:5" ht="19.5" customHeight="1" x14ac:dyDescent="0.2">
      <c r="B261" s="752"/>
      <c r="C261" s="752"/>
      <c r="D261" s="4"/>
      <c r="E261" s="752"/>
    </row>
    <row r="262" spans="2:5" ht="19.5" customHeight="1" x14ac:dyDescent="0.2">
      <c r="B262" s="752"/>
      <c r="C262" s="752"/>
      <c r="D262" s="4"/>
      <c r="E262" s="752"/>
    </row>
    <row r="263" spans="2:5" ht="19.5" customHeight="1" x14ac:dyDescent="0.2">
      <c r="B263" s="752"/>
      <c r="C263" s="752"/>
      <c r="D263" s="4"/>
      <c r="E263" s="752"/>
    </row>
    <row r="264" spans="2:5" ht="19.5" customHeight="1" x14ac:dyDescent="0.2">
      <c r="B264" s="752"/>
      <c r="C264" s="752"/>
      <c r="D264" s="4"/>
      <c r="E264" s="752"/>
    </row>
    <row r="265" spans="2:5" ht="19.5" customHeight="1" x14ac:dyDescent="0.2">
      <c r="B265" s="752"/>
      <c r="C265" s="752"/>
      <c r="D265" s="4"/>
      <c r="E265" s="752"/>
    </row>
    <row r="266" spans="2:5" ht="19.5" customHeight="1" x14ac:dyDescent="0.2">
      <c r="B266" s="752"/>
      <c r="C266" s="752"/>
      <c r="D266" s="4"/>
      <c r="E266" s="752"/>
    </row>
    <row r="267" spans="2:5" ht="19.5" customHeight="1" x14ac:dyDescent="0.2">
      <c r="B267" s="752"/>
      <c r="C267" s="752"/>
      <c r="D267" s="4"/>
      <c r="E267" s="752"/>
    </row>
    <row r="268" spans="2:5" ht="19.5" customHeight="1" x14ac:dyDescent="0.2">
      <c r="B268" s="752"/>
      <c r="C268" s="752"/>
      <c r="D268" s="4"/>
      <c r="E268" s="752"/>
    </row>
    <row r="269" spans="2:5" ht="19.5" customHeight="1" x14ac:dyDescent="0.2">
      <c r="B269" s="752"/>
      <c r="C269" s="752"/>
      <c r="D269" s="4"/>
      <c r="E269" s="752"/>
    </row>
    <row r="270" spans="2:5" ht="19.5" customHeight="1" x14ac:dyDescent="0.2">
      <c r="B270" s="752"/>
      <c r="C270" s="752"/>
      <c r="D270" s="4"/>
      <c r="E270" s="752"/>
    </row>
    <row r="271" spans="2:5" ht="19.5" customHeight="1" x14ac:dyDescent="0.2">
      <c r="B271" s="752"/>
      <c r="C271" s="752"/>
      <c r="D271" s="4"/>
      <c r="E271" s="752"/>
    </row>
    <row r="272" spans="2:5" ht="19.5" customHeight="1" x14ac:dyDescent="0.2">
      <c r="B272" s="752"/>
      <c r="C272" s="752"/>
      <c r="D272" s="4"/>
      <c r="E272" s="752"/>
    </row>
    <row r="273" spans="2:5" ht="19.5" customHeight="1" x14ac:dyDescent="0.2">
      <c r="B273" s="752"/>
      <c r="C273" s="752"/>
      <c r="D273" s="4"/>
      <c r="E273" s="752"/>
    </row>
    <row r="274" spans="2:5" ht="19.5" customHeight="1" x14ac:dyDescent="0.2">
      <c r="B274" s="752"/>
      <c r="C274" s="752"/>
      <c r="D274" s="4"/>
      <c r="E274" s="752"/>
    </row>
    <row r="275" spans="2:5" ht="19.5" customHeight="1" x14ac:dyDescent="0.2">
      <c r="B275" s="752"/>
      <c r="C275" s="752"/>
      <c r="D275" s="4"/>
      <c r="E275" s="752"/>
    </row>
    <row r="276" spans="2:5" ht="19.5" customHeight="1" x14ac:dyDescent="0.2">
      <c r="B276" s="752"/>
      <c r="C276" s="752"/>
      <c r="D276" s="4"/>
      <c r="E276" s="752"/>
    </row>
    <row r="277" spans="2:5" ht="19.5" customHeight="1" x14ac:dyDescent="0.2">
      <c r="B277" s="752"/>
      <c r="C277" s="752"/>
      <c r="D277" s="4"/>
      <c r="E277" s="752"/>
    </row>
    <row r="278" spans="2:5" ht="19.5" customHeight="1" x14ac:dyDescent="0.2">
      <c r="B278" s="752"/>
      <c r="C278" s="752"/>
      <c r="D278" s="4"/>
      <c r="E278" s="752"/>
    </row>
    <row r="279" spans="2:5" ht="19.5" customHeight="1" x14ac:dyDescent="0.2">
      <c r="B279" s="752"/>
      <c r="C279" s="752"/>
      <c r="D279" s="4"/>
      <c r="E279" s="752"/>
    </row>
    <row r="280" spans="2:5" ht="19.5" customHeight="1" x14ac:dyDescent="0.2">
      <c r="B280" s="752"/>
      <c r="C280" s="752"/>
      <c r="D280" s="4"/>
      <c r="E280" s="752"/>
    </row>
    <row r="281" spans="2:5" ht="19.5" customHeight="1" x14ac:dyDescent="0.2">
      <c r="B281" s="752"/>
      <c r="C281" s="752"/>
      <c r="D281" s="4"/>
      <c r="E281" s="752"/>
    </row>
    <row r="282" spans="2:5" ht="19.5" customHeight="1" x14ac:dyDescent="0.2">
      <c r="B282" s="752"/>
      <c r="C282" s="752"/>
      <c r="D282" s="4"/>
      <c r="E282" s="752"/>
    </row>
    <row r="283" spans="2:5" ht="19.5" customHeight="1" x14ac:dyDescent="0.2">
      <c r="B283" s="752"/>
      <c r="C283" s="752"/>
      <c r="D283" s="4"/>
      <c r="E283" s="752"/>
    </row>
    <row r="284" spans="2:5" ht="19.5" customHeight="1" x14ac:dyDescent="0.2">
      <c r="B284" s="752"/>
      <c r="C284" s="752"/>
      <c r="D284" s="4"/>
      <c r="E284" s="752"/>
    </row>
    <row r="285" spans="2:5" ht="19.5" customHeight="1" x14ac:dyDescent="0.2">
      <c r="B285" s="752"/>
      <c r="C285" s="752"/>
      <c r="D285" s="4"/>
      <c r="E285" s="752"/>
    </row>
    <row r="286" spans="2:5" ht="19.5" customHeight="1" x14ac:dyDescent="0.2">
      <c r="B286" s="752"/>
      <c r="C286" s="752"/>
      <c r="D286" s="4"/>
      <c r="E286" s="752"/>
    </row>
    <row r="287" spans="2:5" ht="19.5" customHeight="1" x14ac:dyDescent="0.2">
      <c r="B287" s="752"/>
      <c r="C287" s="752"/>
      <c r="D287" s="4"/>
      <c r="E287" s="752"/>
    </row>
    <row r="288" spans="2:5" ht="19.5" customHeight="1" x14ac:dyDescent="0.2">
      <c r="B288" s="752"/>
      <c r="C288" s="752"/>
      <c r="D288" s="4"/>
      <c r="E288" s="752"/>
    </row>
    <row r="289" spans="2:5" ht="19.5" customHeight="1" x14ac:dyDescent="0.2">
      <c r="B289" s="752"/>
      <c r="C289" s="752"/>
      <c r="D289" s="4"/>
      <c r="E289" s="752"/>
    </row>
    <row r="290" spans="2:5" ht="19.5" customHeight="1" x14ac:dyDescent="0.2">
      <c r="B290" s="752"/>
      <c r="C290" s="752"/>
      <c r="D290" s="4"/>
      <c r="E290" s="752"/>
    </row>
    <row r="291" spans="2:5" ht="19.5" customHeight="1" x14ac:dyDescent="0.2">
      <c r="B291" s="752"/>
      <c r="C291" s="752"/>
      <c r="D291" s="4"/>
      <c r="E291" s="752"/>
    </row>
    <row r="292" spans="2:5" ht="19.5" customHeight="1" x14ac:dyDescent="0.2">
      <c r="B292" s="752"/>
      <c r="C292" s="752"/>
      <c r="D292" s="4"/>
      <c r="E292" s="752"/>
    </row>
    <row r="293" spans="2:5" ht="19.5" customHeight="1" x14ac:dyDescent="0.2">
      <c r="B293" s="752"/>
      <c r="C293" s="752"/>
      <c r="D293" s="4"/>
      <c r="E293" s="752"/>
    </row>
    <row r="294" spans="2:5" ht="19.5" customHeight="1" x14ac:dyDescent="0.2">
      <c r="B294" s="752"/>
      <c r="C294" s="752"/>
      <c r="D294" s="4"/>
      <c r="E294" s="752"/>
    </row>
    <row r="295" spans="2:5" ht="19.5" customHeight="1" x14ac:dyDescent="0.2">
      <c r="B295" s="752"/>
      <c r="C295" s="752"/>
      <c r="D295" s="4"/>
      <c r="E295" s="752"/>
    </row>
    <row r="296" spans="2:5" ht="19.5" customHeight="1" x14ac:dyDescent="0.2">
      <c r="B296" s="752"/>
      <c r="C296" s="752"/>
      <c r="D296" s="4"/>
      <c r="E296" s="752"/>
    </row>
    <row r="297" spans="2:5" ht="19.5" customHeight="1" x14ac:dyDescent="0.2">
      <c r="B297" s="752"/>
      <c r="C297" s="752"/>
      <c r="D297" s="4"/>
      <c r="E297" s="752"/>
    </row>
    <row r="298" spans="2:5" ht="19.5" customHeight="1" x14ac:dyDescent="0.2">
      <c r="B298" s="752"/>
      <c r="C298" s="752"/>
      <c r="D298" s="4"/>
      <c r="E298" s="752"/>
    </row>
    <row r="299" spans="2:5" ht="19.5" customHeight="1" x14ac:dyDescent="0.2">
      <c r="B299" s="752"/>
      <c r="C299" s="752"/>
      <c r="D299" s="4"/>
      <c r="E299" s="752"/>
    </row>
    <row r="300" spans="2:5" ht="19.5" customHeight="1" x14ac:dyDescent="0.2">
      <c r="B300" s="752"/>
      <c r="C300" s="752"/>
      <c r="D300" s="4"/>
      <c r="E300" s="752"/>
    </row>
    <row r="301" spans="2:5" ht="19.5" customHeight="1" x14ac:dyDescent="0.2">
      <c r="B301" s="752"/>
      <c r="C301" s="752"/>
      <c r="D301" s="4"/>
      <c r="E301" s="752"/>
    </row>
    <row r="302" spans="2:5" ht="19.5" customHeight="1" x14ac:dyDescent="0.2">
      <c r="B302" s="752"/>
      <c r="C302" s="752"/>
      <c r="D302" s="4"/>
      <c r="E302" s="752"/>
    </row>
    <row r="303" spans="2:5" ht="19.5" customHeight="1" x14ac:dyDescent="0.2">
      <c r="B303" s="752"/>
      <c r="C303" s="752"/>
      <c r="D303" s="4"/>
      <c r="E303" s="752"/>
    </row>
    <row r="304" spans="2:5" ht="19.5" customHeight="1" x14ac:dyDescent="0.2">
      <c r="B304" s="752"/>
      <c r="C304" s="752"/>
      <c r="D304" s="4"/>
      <c r="E304" s="752"/>
    </row>
    <row r="305" spans="2:5" ht="19.5" customHeight="1" x14ac:dyDescent="0.2">
      <c r="B305" s="752"/>
      <c r="C305" s="752"/>
      <c r="D305" s="4"/>
      <c r="E305" s="752"/>
    </row>
    <row r="306" spans="2:5" ht="19.5" customHeight="1" x14ac:dyDescent="0.2">
      <c r="B306" s="752"/>
      <c r="C306" s="752"/>
      <c r="D306" s="4"/>
      <c r="E306" s="752"/>
    </row>
    <row r="307" spans="2:5" ht="19.5" customHeight="1" x14ac:dyDescent="0.2">
      <c r="B307" s="752"/>
      <c r="C307" s="752"/>
      <c r="D307" s="4"/>
      <c r="E307" s="752"/>
    </row>
    <row r="308" spans="2:5" ht="19.5" customHeight="1" x14ac:dyDescent="0.2">
      <c r="B308" s="752"/>
      <c r="C308" s="752"/>
      <c r="D308" s="4"/>
      <c r="E308" s="752"/>
    </row>
    <row r="309" spans="2:5" ht="19.5" customHeight="1" x14ac:dyDescent="0.2">
      <c r="B309" s="752"/>
      <c r="C309" s="752"/>
      <c r="D309" s="4"/>
      <c r="E309" s="752"/>
    </row>
    <row r="310" spans="2:5" ht="19.5" customHeight="1" x14ac:dyDescent="0.2">
      <c r="B310" s="752"/>
      <c r="C310" s="752"/>
      <c r="D310" s="4"/>
      <c r="E310" s="752"/>
    </row>
    <row r="311" spans="2:5" ht="19.5" customHeight="1" x14ac:dyDescent="0.2">
      <c r="B311" s="752"/>
      <c r="C311" s="752"/>
      <c r="D311" s="4"/>
      <c r="E311" s="752"/>
    </row>
    <row r="312" spans="2:5" ht="19.5" customHeight="1" x14ac:dyDescent="0.2">
      <c r="B312" s="752"/>
      <c r="C312" s="752"/>
      <c r="D312" s="4"/>
      <c r="E312" s="752"/>
    </row>
    <row r="313" spans="2:5" ht="19.5" customHeight="1" x14ac:dyDescent="0.2">
      <c r="B313" s="752"/>
      <c r="C313" s="752"/>
      <c r="D313" s="4"/>
      <c r="E313" s="752"/>
    </row>
    <row r="314" spans="2:5" ht="19.5" customHeight="1" x14ac:dyDescent="0.2">
      <c r="B314" s="752"/>
      <c r="C314" s="752"/>
      <c r="D314" s="4"/>
      <c r="E314" s="752"/>
    </row>
    <row r="315" spans="2:5" ht="19.5" customHeight="1" x14ac:dyDescent="0.2">
      <c r="B315" s="752"/>
      <c r="C315" s="752"/>
      <c r="D315" s="4"/>
      <c r="E315" s="752"/>
    </row>
    <row r="316" spans="2:5" ht="19.5" customHeight="1" x14ac:dyDescent="0.2">
      <c r="B316" s="752"/>
      <c r="C316" s="752"/>
      <c r="D316" s="4"/>
      <c r="E316" s="752"/>
    </row>
    <row r="317" spans="2:5" ht="19.5" customHeight="1" x14ac:dyDescent="0.2">
      <c r="B317" s="752"/>
      <c r="C317" s="752"/>
      <c r="D317" s="4"/>
      <c r="E317" s="752"/>
    </row>
    <row r="318" spans="2:5" ht="19.5" customHeight="1" x14ac:dyDescent="0.2">
      <c r="B318" s="752"/>
      <c r="C318" s="752"/>
      <c r="D318" s="4"/>
      <c r="E318" s="752"/>
    </row>
    <row r="319" spans="2:5" ht="19.5" customHeight="1" x14ac:dyDescent="0.2">
      <c r="B319" s="752"/>
      <c r="C319" s="752"/>
      <c r="D319" s="4"/>
      <c r="E319" s="752"/>
    </row>
    <row r="320" spans="2:5" ht="19.5" customHeight="1" x14ac:dyDescent="0.2">
      <c r="B320" s="752"/>
      <c r="C320" s="752"/>
      <c r="D320" s="4"/>
      <c r="E320" s="752"/>
    </row>
    <row r="321" spans="2:5" ht="19.5" customHeight="1" x14ac:dyDescent="0.2">
      <c r="B321" s="752"/>
      <c r="C321" s="752"/>
      <c r="D321" s="4"/>
      <c r="E321" s="752"/>
    </row>
    <row r="322" spans="2:5" ht="19.5" customHeight="1" x14ac:dyDescent="0.2">
      <c r="B322" s="752"/>
      <c r="C322" s="752"/>
      <c r="D322" s="4"/>
      <c r="E322" s="752"/>
    </row>
    <row r="323" spans="2:5" ht="19.5" customHeight="1" x14ac:dyDescent="0.2">
      <c r="B323" s="752"/>
      <c r="C323" s="752"/>
      <c r="D323" s="4"/>
      <c r="E323" s="752"/>
    </row>
    <row r="324" spans="2:5" ht="19.5" customHeight="1" x14ac:dyDescent="0.2">
      <c r="B324" s="752"/>
      <c r="C324" s="752"/>
      <c r="D324" s="4"/>
      <c r="E324" s="752"/>
    </row>
    <row r="325" spans="2:5" ht="19.5" customHeight="1" x14ac:dyDescent="0.2">
      <c r="B325" s="752"/>
      <c r="C325" s="752"/>
      <c r="D325" s="4"/>
      <c r="E325" s="752"/>
    </row>
    <row r="326" spans="2:5" ht="19.5" customHeight="1" x14ac:dyDescent="0.2">
      <c r="B326" s="752"/>
      <c r="C326" s="752"/>
      <c r="D326" s="4"/>
      <c r="E326" s="752"/>
    </row>
    <row r="327" spans="2:5" ht="19.5" customHeight="1" x14ac:dyDescent="0.2">
      <c r="B327" s="752"/>
      <c r="C327" s="752"/>
      <c r="D327" s="4"/>
      <c r="E327" s="752"/>
    </row>
    <row r="328" spans="2:5" ht="19.5" customHeight="1" x14ac:dyDescent="0.2">
      <c r="B328" s="752"/>
      <c r="C328" s="752"/>
      <c r="D328" s="4"/>
      <c r="E328" s="752"/>
    </row>
    <row r="329" spans="2:5" ht="19.5" customHeight="1" x14ac:dyDescent="0.2">
      <c r="B329" s="752"/>
      <c r="C329" s="752"/>
      <c r="D329" s="4"/>
      <c r="E329" s="752"/>
    </row>
    <row r="330" spans="2:5" ht="19.5" customHeight="1" x14ac:dyDescent="0.2">
      <c r="B330" s="752"/>
      <c r="C330" s="752"/>
      <c r="D330" s="4"/>
      <c r="E330" s="752"/>
    </row>
    <row r="331" spans="2:5" ht="19.5" customHeight="1" x14ac:dyDescent="0.2">
      <c r="B331" s="752"/>
      <c r="C331" s="752"/>
      <c r="D331" s="4"/>
      <c r="E331" s="752"/>
    </row>
    <row r="332" spans="2:5" ht="19.5" customHeight="1" x14ac:dyDescent="0.2">
      <c r="B332" s="752"/>
      <c r="C332" s="752"/>
      <c r="D332" s="4"/>
      <c r="E332" s="752"/>
    </row>
    <row r="333" spans="2:5" ht="19.5" customHeight="1" x14ac:dyDescent="0.2">
      <c r="B333" s="752"/>
      <c r="C333" s="752"/>
      <c r="D333" s="4"/>
      <c r="E333" s="752"/>
    </row>
    <row r="334" spans="2:5" ht="19.5" customHeight="1" x14ac:dyDescent="0.2">
      <c r="B334" s="752"/>
      <c r="C334" s="752"/>
      <c r="D334" s="4"/>
      <c r="E334" s="752"/>
    </row>
    <row r="335" spans="2:5" ht="19.5" customHeight="1" x14ac:dyDescent="0.2">
      <c r="B335" s="752"/>
      <c r="C335" s="752"/>
      <c r="D335" s="4"/>
      <c r="E335" s="752"/>
    </row>
    <row r="336" spans="2:5" ht="19.5" customHeight="1" x14ac:dyDescent="0.2">
      <c r="B336" s="752"/>
      <c r="C336" s="752"/>
      <c r="D336" s="4"/>
      <c r="E336" s="752"/>
    </row>
    <row r="337" spans="2:5" ht="19.5" customHeight="1" x14ac:dyDescent="0.2">
      <c r="B337" s="752"/>
      <c r="C337" s="752"/>
      <c r="D337" s="4"/>
      <c r="E337" s="752"/>
    </row>
    <row r="338" spans="2:5" ht="19.5" customHeight="1" x14ac:dyDescent="0.2">
      <c r="B338" s="752"/>
      <c r="C338" s="752"/>
      <c r="D338" s="4"/>
      <c r="E338" s="752"/>
    </row>
    <row r="339" spans="2:5" ht="19.5" customHeight="1" x14ac:dyDescent="0.2">
      <c r="B339" s="752"/>
      <c r="C339" s="752"/>
      <c r="D339" s="4"/>
      <c r="E339" s="752"/>
    </row>
    <row r="340" spans="2:5" ht="19.5" customHeight="1" x14ac:dyDescent="0.2">
      <c r="B340" s="752"/>
      <c r="C340" s="752"/>
      <c r="D340" s="4"/>
      <c r="E340" s="752"/>
    </row>
    <row r="341" spans="2:5" ht="19.5" customHeight="1" x14ac:dyDescent="0.2">
      <c r="B341" s="752"/>
      <c r="C341" s="752"/>
      <c r="D341" s="4"/>
      <c r="E341" s="752"/>
    </row>
    <row r="342" spans="2:5" ht="19.5" customHeight="1" x14ac:dyDescent="0.2">
      <c r="B342" s="752"/>
      <c r="C342" s="752"/>
      <c r="D342" s="4"/>
      <c r="E342" s="752"/>
    </row>
    <row r="343" spans="2:5" ht="19.5" customHeight="1" x14ac:dyDescent="0.2">
      <c r="B343" s="752"/>
      <c r="C343" s="752"/>
      <c r="D343" s="4"/>
      <c r="E343" s="752"/>
    </row>
    <row r="344" spans="2:5" ht="19.5" customHeight="1" x14ac:dyDescent="0.2">
      <c r="B344" s="752"/>
      <c r="C344" s="752"/>
      <c r="D344" s="4"/>
      <c r="E344" s="752"/>
    </row>
    <row r="345" spans="2:5" ht="19.5" customHeight="1" x14ac:dyDescent="0.2">
      <c r="B345" s="752"/>
      <c r="C345" s="752"/>
      <c r="D345" s="4"/>
      <c r="E345" s="752"/>
    </row>
    <row r="346" spans="2:5" ht="19.5" customHeight="1" x14ac:dyDescent="0.2">
      <c r="B346" s="752"/>
      <c r="C346" s="752"/>
      <c r="D346" s="4"/>
      <c r="E346" s="752"/>
    </row>
    <row r="347" spans="2:5" ht="19.5" customHeight="1" x14ac:dyDescent="0.2">
      <c r="B347" s="752"/>
      <c r="C347" s="752"/>
      <c r="D347" s="4"/>
      <c r="E347" s="752"/>
    </row>
    <row r="348" spans="2:5" ht="19.5" customHeight="1" x14ac:dyDescent="0.2">
      <c r="B348" s="752"/>
      <c r="C348" s="752"/>
      <c r="D348" s="4"/>
      <c r="E348" s="752"/>
    </row>
    <row r="349" spans="2:5" ht="19.5" customHeight="1" x14ac:dyDescent="0.2">
      <c r="B349" s="752"/>
      <c r="C349" s="752"/>
      <c r="D349" s="4"/>
      <c r="E349" s="752"/>
    </row>
    <row r="350" spans="2:5" ht="19.5" customHeight="1" x14ac:dyDescent="0.2">
      <c r="B350" s="752"/>
      <c r="C350" s="752"/>
      <c r="D350" s="4"/>
      <c r="E350" s="752"/>
    </row>
    <row r="351" spans="2:5" ht="19.5" customHeight="1" x14ac:dyDescent="0.2">
      <c r="B351" s="752"/>
      <c r="C351" s="752"/>
      <c r="D351" s="4"/>
      <c r="E351" s="752"/>
    </row>
    <row r="352" spans="2:5" ht="19.5" customHeight="1" x14ac:dyDescent="0.2">
      <c r="B352" s="752"/>
      <c r="C352" s="752"/>
      <c r="D352" s="4"/>
      <c r="E352" s="752"/>
    </row>
    <row r="353" spans="2:5" ht="19.5" customHeight="1" x14ac:dyDescent="0.2">
      <c r="B353" s="752"/>
      <c r="C353" s="752"/>
      <c r="D353" s="4"/>
      <c r="E353" s="752"/>
    </row>
    <row r="354" spans="2:5" ht="19.5" customHeight="1" x14ac:dyDescent="0.2">
      <c r="B354" s="752"/>
      <c r="C354" s="752"/>
      <c r="D354" s="4"/>
      <c r="E354" s="752"/>
    </row>
    <row r="355" spans="2:5" ht="19.5" customHeight="1" x14ac:dyDescent="0.2">
      <c r="B355" s="752"/>
      <c r="C355" s="752"/>
      <c r="D355" s="4"/>
      <c r="E355" s="752"/>
    </row>
    <row r="356" spans="2:5" ht="19.5" customHeight="1" x14ac:dyDescent="0.2">
      <c r="B356" s="752"/>
      <c r="C356" s="752"/>
      <c r="D356" s="4"/>
      <c r="E356" s="752"/>
    </row>
    <row r="357" spans="2:5" ht="19.5" customHeight="1" x14ac:dyDescent="0.2">
      <c r="B357" s="752"/>
      <c r="C357" s="752"/>
      <c r="D357" s="4"/>
      <c r="E357" s="752"/>
    </row>
    <row r="358" spans="2:5" ht="19.5" customHeight="1" x14ac:dyDescent="0.2">
      <c r="B358" s="752"/>
      <c r="C358" s="752"/>
      <c r="D358" s="4"/>
      <c r="E358" s="752"/>
    </row>
    <row r="359" spans="2:5" ht="19.5" customHeight="1" x14ac:dyDescent="0.2">
      <c r="B359" s="752"/>
      <c r="C359" s="752"/>
      <c r="D359" s="4"/>
      <c r="E359" s="752"/>
    </row>
    <row r="360" spans="2:5" ht="19.5" customHeight="1" x14ac:dyDescent="0.2">
      <c r="B360" s="752"/>
      <c r="C360" s="752"/>
      <c r="D360" s="4"/>
      <c r="E360" s="752"/>
    </row>
    <row r="361" spans="2:5" ht="19.5" customHeight="1" x14ac:dyDescent="0.2">
      <c r="B361" s="752"/>
      <c r="C361" s="752"/>
      <c r="D361" s="4"/>
      <c r="E361" s="752"/>
    </row>
    <row r="362" spans="2:5" ht="19.5" customHeight="1" x14ac:dyDescent="0.2">
      <c r="B362" s="752"/>
      <c r="C362" s="752"/>
      <c r="D362" s="4"/>
      <c r="E362" s="752"/>
    </row>
    <row r="363" spans="2:5" ht="19.5" customHeight="1" x14ac:dyDescent="0.2">
      <c r="B363" s="752"/>
      <c r="C363" s="752"/>
      <c r="D363" s="4"/>
      <c r="E363" s="752"/>
    </row>
    <row r="364" spans="2:5" ht="19.5" customHeight="1" x14ac:dyDescent="0.2">
      <c r="B364" s="752"/>
      <c r="C364" s="752"/>
      <c r="D364" s="4"/>
      <c r="E364" s="752"/>
    </row>
    <row r="365" spans="2:5" ht="19.5" customHeight="1" x14ac:dyDescent="0.2">
      <c r="B365" s="752"/>
      <c r="C365" s="752"/>
      <c r="D365" s="4"/>
      <c r="E365" s="752"/>
    </row>
    <row r="366" spans="2:5" ht="19.5" customHeight="1" x14ac:dyDescent="0.2">
      <c r="B366" s="752"/>
      <c r="C366" s="752"/>
      <c r="D366" s="4"/>
      <c r="E366" s="752"/>
    </row>
    <row r="367" spans="2:5" ht="19.5" customHeight="1" x14ac:dyDescent="0.2">
      <c r="B367" s="752"/>
      <c r="C367" s="752"/>
      <c r="D367" s="4"/>
      <c r="E367" s="752"/>
    </row>
    <row r="368" spans="2:5" ht="19.5" customHeight="1" x14ac:dyDescent="0.2">
      <c r="B368" s="752"/>
      <c r="C368" s="752"/>
      <c r="D368" s="4"/>
      <c r="E368" s="752"/>
    </row>
    <row r="369" spans="2:5" ht="19.5" customHeight="1" x14ac:dyDescent="0.2">
      <c r="B369" s="752"/>
      <c r="C369" s="752"/>
      <c r="D369" s="4"/>
      <c r="E369" s="752"/>
    </row>
    <row r="370" spans="2:5" ht="19.5" customHeight="1" x14ac:dyDescent="0.2">
      <c r="B370" s="752"/>
      <c r="C370" s="752"/>
      <c r="D370" s="4"/>
      <c r="E370" s="752"/>
    </row>
    <row r="371" spans="2:5" ht="19.5" customHeight="1" x14ac:dyDescent="0.2">
      <c r="B371" s="752"/>
      <c r="C371" s="752"/>
      <c r="D371" s="4"/>
      <c r="E371" s="752"/>
    </row>
    <row r="372" spans="2:5" ht="19.5" customHeight="1" x14ac:dyDescent="0.2">
      <c r="B372" s="752"/>
      <c r="C372" s="752"/>
      <c r="D372" s="4"/>
      <c r="E372" s="752"/>
    </row>
    <row r="373" spans="2:5" ht="19.5" customHeight="1" x14ac:dyDescent="0.2">
      <c r="B373" s="752"/>
      <c r="C373" s="752"/>
      <c r="D373" s="4"/>
      <c r="E373" s="752"/>
    </row>
    <row r="374" spans="2:5" ht="19.5" customHeight="1" x14ac:dyDescent="0.2">
      <c r="B374" s="752"/>
      <c r="C374" s="752"/>
      <c r="D374" s="4"/>
      <c r="E374" s="752"/>
    </row>
    <row r="375" spans="2:5" ht="19.5" customHeight="1" x14ac:dyDescent="0.2">
      <c r="B375" s="752"/>
      <c r="C375" s="752"/>
      <c r="D375" s="4"/>
      <c r="E375" s="752"/>
    </row>
    <row r="376" spans="2:5" ht="19.5" customHeight="1" x14ac:dyDescent="0.2">
      <c r="B376" s="752"/>
      <c r="C376" s="752"/>
      <c r="D376" s="4"/>
      <c r="E376" s="752"/>
    </row>
    <row r="377" spans="2:5" ht="19.5" customHeight="1" x14ac:dyDescent="0.2">
      <c r="B377" s="752"/>
      <c r="C377" s="752"/>
      <c r="D377" s="4"/>
      <c r="E377" s="752"/>
    </row>
    <row r="378" spans="2:5" ht="19.5" customHeight="1" x14ac:dyDescent="0.2">
      <c r="B378" s="752"/>
      <c r="C378" s="752"/>
      <c r="D378" s="4"/>
      <c r="E378" s="752"/>
    </row>
    <row r="379" spans="2:5" ht="19.5" customHeight="1" x14ac:dyDescent="0.2">
      <c r="B379" s="752"/>
      <c r="C379" s="752"/>
      <c r="D379" s="4"/>
      <c r="E379" s="752"/>
    </row>
    <row r="380" spans="2:5" ht="19.5" customHeight="1" x14ac:dyDescent="0.2">
      <c r="B380" s="752"/>
      <c r="C380" s="752"/>
      <c r="D380" s="4"/>
      <c r="E380" s="752"/>
    </row>
    <row r="381" spans="2:5" ht="19.5" customHeight="1" x14ac:dyDescent="0.2">
      <c r="B381" s="752"/>
      <c r="C381" s="752"/>
      <c r="D381" s="4"/>
      <c r="E381" s="752"/>
    </row>
    <row r="382" spans="2:5" ht="19.5" customHeight="1" x14ac:dyDescent="0.2">
      <c r="B382" s="752"/>
      <c r="C382" s="752"/>
      <c r="D382" s="4"/>
      <c r="E382" s="752"/>
    </row>
    <row r="383" spans="2:5" ht="19.5" customHeight="1" x14ac:dyDescent="0.2">
      <c r="B383" s="752"/>
      <c r="C383" s="752"/>
      <c r="D383" s="4"/>
      <c r="E383" s="752"/>
    </row>
    <row r="384" spans="2:5" ht="19.5" customHeight="1" x14ac:dyDescent="0.2">
      <c r="B384" s="752"/>
      <c r="C384" s="752"/>
      <c r="D384" s="4"/>
      <c r="E384" s="752"/>
    </row>
    <row r="385" spans="2:5" ht="19.5" customHeight="1" x14ac:dyDescent="0.2">
      <c r="B385" s="752"/>
      <c r="C385" s="752"/>
      <c r="D385" s="4"/>
      <c r="E385" s="752"/>
    </row>
    <row r="386" spans="2:5" ht="19.5" customHeight="1" x14ac:dyDescent="0.2">
      <c r="B386" s="752"/>
      <c r="C386" s="752"/>
      <c r="D386" s="4"/>
      <c r="E386" s="752"/>
    </row>
    <row r="387" spans="2:5" ht="19.5" customHeight="1" x14ac:dyDescent="0.2">
      <c r="B387" s="752"/>
      <c r="C387" s="752"/>
      <c r="D387" s="4"/>
      <c r="E387" s="752"/>
    </row>
    <row r="388" spans="2:5" ht="19.5" customHeight="1" x14ac:dyDescent="0.2">
      <c r="B388" s="752"/>
      <c r="C388" s="752"/>
      <c r="D388" s="4"/>
      <c r="E388" s="752"/>
    </row>
    <row r="389" spans="2:5" ht="19.5" customHeight="1" x14ac:dyDescent="0.2">
      <c r="B389" s="752"/>
      <c r="C389" s="752"/>
      <c r="D389" s="4"/>
      <c r="E389" s="752"/>
    </row>
    <row r="390" spans="2:5" ht="19.5" customHeight="1" x14ac:dyDescent="0.2">
      <c r="B390" s="752"/>
      <c r="C390" s="752"/>
      <c r="D390" s="4"/>
      <c r="E390" s="752"/>
    </row>
    <row r="391" spans="2:5" ht="19.5" customHeight="1" x14ac:dyDescent="0.2">
      <c r="B391" s="752"/>
      <c r="C391" s="752"/>
      <c r="D391" s="4"/>
      <c r="E391" s="752"/>
    </row>
    <row r="392" spans="2:5" ht="19.5" customHeight="1" x14ac:dyDescent="0.2">
      <c r="B392" s="752"/>
      <c r="C392" s="752"/>
      <c r="D392" s="4"/>
      <c r="E392" s="752"/>
    </row>
    <row r="393" spans="2:5" ht="19.5" customHeight="1" x14ac:dyDescent="0.2">
      <c r="B393" s="752"/>
      <c r="C393" s="752"/>
      <c r="D393" s="4"/>
      <c r="E393" s="752"/>
    </row>
    <row r="394" spans="2:5" ht="19.5" customHeight="1" x14ac:dyDescent="0.2">
      <c r="B394" s="752"/>
      <c r="C394" s="752"/>
      <c r="D394" s="4"/>
      <c r="E394" s="752"/>
    </row>
    <row r="395" spans="2:5" ht="19.5" customHeight="1" x14ac:dyDescent="0.2">
      <c r="B395" s="752"/>
      <c r="C395" s="752"/>
      <c r="D395" s="4"/>
      <c r="E395" s="752"/>
    </row>
    <row r="396" spans="2:5" ht="19.5" customHeight="1" x14ac:dyDescent="0.2">
      <c r="B396" s="752"/>
      <c r="C396" s="752"/>
      <c r="D396" s="4"/>
      <c r="E396" s="752"/>
    </row>
    <row r="397" spans="2:5" ht="19.5" customHeight="1" x14ac:dyDescent="0.2">
      <c r="B397" s="752"/>
      <c r="C397" s="752"/>
      <c r="D397" s="4"/>
      <c r="E397" s="752"/>
    </row>
    <row r="398" spans="2:5" ht="19.5" customHeight="1" x14ac:dyDescent="0.2">
      <c r="B398" s="752"/>
      <c r="C398" s="752"/>
      <c r="D398" s="4"/>
      <c r="E398" s="752"/>
    </row>
    <row r="399" spans="2:5" ht="19.5" customHeight="1" x14ac:dyDescent="0.2">
      <c r="B399" s="752"/>
      <c r="C399" s="752"/>
      <c r="D399" s="4"/>
      <c r="E399" s="752"/>
    </row>
    <row r="400" spans="2:5" ht="19.5" customHeight="1" x14ac:dyDescent="0.2">
      <c r="B400" s="752"/>
      <c r="C400" s="752"/>
      <c r="D400" s="4"/>
      <c r="E400" s="752"/>
    </row>
    <row r="401" spans="2:5" ht="19.5" customHeight="1" x14ac:dyDescent="0.2">
      <c r="B401" s="752"/>
      <c r="C401" s="752"/>
      <c r="D401" s="4"/>
      <c r="E401" s="752"/>
    </row>
    <row r="402" spans="2:5" ht="19.5" customHeight="1" x14ac:dyDescent="0.2">
      <c r="B402" s="752"/>
      <c r="C402" s="752"/>
      <c r="D402" s="4"/>
      <c r="E402" s="752"/>
    </row>
    <row r="403" spans="2:5" ht="19.5" customHeight="1" x14ac:dyDescent="0.2">
      <c r="B403" s="752"/>
      <c r="C403" s="752"/>
      <c r="D403" s="4"/>
      <c r="E403" s="752"/>
    </row>
    <row r="404" spans="2:5" ht="19.5" customHeight="1" x14ac:dyDescent="0.2">
      <c r="B404" s="752"/>
      <c r="C404" s="752"/>
      <c r="D404" s="4"/>
      <c r="E404" s="752"/>
    </row>
    <row r="405" spans="2:5" ht="19.5" customHeight="1" x14ac:dyDescent="0.2">
      <c r="B405" s="752"/>
      <c r="C405" s="752"/>
      <c r="D405" s="4"/>
      <c r="E405" s="752"/>
    </row>
    <row r="406" spans="2:5" ht="19.5" customHeight="1" x14ac:dyDescent="0.2">
      <c r="B406" s="752"/>
      <c r="C406" s="752"/>
      <c r="D406" s="4"/>
      <c r="E406" s="752"/>
    </row>
    <row r="407" spans="2:5" ht="19.5" customHeight="1" x14ac:dyDescent="0.2">
      <c r="B407" s="752"/>
      <c r="C407" s="752"/>
      <c r="D407" s="4"/>
      <c r="E407" s="752"/>
    </row>
    <row r="408" spans="2:5" ht="19.5" customHeight="1" x14ac:dyDescent="0.2">
      <c r="B408" s="752"/>
      <c r="C408" s="752"/>
      <c r="D408" s="4"/>
      <c r="E408" s="752"/>
    </row>
    <row r="409" spans="2:5" ht="19.5" customHeight="1" x14ac:dyDescent="0.2">
      <c r="B409" s="752"/>
      <c r="C409" s="752"/>
      <c r="D409" s="4"/>
      <c r="E409" s="752"/>
    </row>
    <row r="410" spans="2:5" ht="19.5" customHeight="1" x14ac:dyDescent="0.2">
      <c r="B410" s="752"/>
      <c r="C410" s="752"/>
      <c r="D410" s="4"/>
      <c r="E410" s="752"/>
    </row>
    <row r="411" spans="2:5" ht="19.5" customHeight="1" x14ac:dyDescent="0.2">
      <c r="B411" s="752"/>
      <c r="C411" s="752"/>
      <c r="D411" s="4"/>
      <c r="E411" s="752"/>
    </row>
    <row r="412" spans="2:5" ht="19.5" customHeight="1" x14ac:dyDescent="0.2">
      <c r="B412" s="752"/>
      <c r="C412" s="752"/>
      <c r="D412" s="4"/>
      <c r="E412" s="752"/>
    </row>
    <row r="413" spans="2:5" ht="19.5" customHeight="1" x14ac:dyDescent="0.2">
      <c r="B413" s="752"/>
      <c r="C413" s="752"/>
      <c r="D413" s="4"/>
      <c r="E413" s="752"/>
    </row>
    <row r="414" spans="2:5" ht="19.5" customHeight="1" x14ac:dyDescent="0.2">
      <c r="B414" s="752"/>
      <c r="C414" s="752"/>
      <c r="D414" s="4"/>
      <c r="E414" s="752"/>
    </row>
    <row r="415" spans="2:5" ht="19.5" customHeight="1" x14ac:dyDescent="0.2">
      <c r="B415" s="752"/>
      <c r="C415" s="752"/>
      <c r="D415" s="4"/>
      <c r="E415" s="752"/>
    </row>
    <row r="416" spans="2:5" ht="19.5" customHeight="1" x14ac:dyDescent="0.2">
      <c r="B416" s="752"/>
      <c r="C416" s="752"/>
      <c r="D416" s="4"/>
      <c r="E416" s="752"/>
    </row>
    <row r="417" spans="2:5" ht="19.5" customHeight="1" x14ac:dyDescent="0.2">
      <c r="B417" s="752"/>
      <c r="C417" s="752"/>
      <c r="D417" s="4"/>
      <c r="E417" s="752"/>
    </row>
    <row r="418" spans="2:5" ht="19.5" customHeight="1" x14ac:dyDescent="0.2">
      <c r="B418" s="752"/>
      <c r="C418" s="752"/>
      <c r="D418" s="4"/>
      <c r="E418" s="752"/>
    </row>
    <row r="419" spans="2:5" ht="19.5" customHeight="1" x14ac:dyDescent="0.2">
      <c r="B419" s="752"/>
      <c r="C419" s="752"/>
      <c r="D419" s="4"/>
      <c r="E419" s="752"/>
    </row>
    <row r="420" spans="2:5" ht="19.5" customHeight="1" x14ac:dyDescent="0.2">
      <c r="B420" s="752"/>
      <c r="C420" s="752"/>
      <c r="D420" s="4"/>
      <c r="E420" s="752"/>
    </row>
    <row r="421" spans="2:5" ht="19.5" customHeight="1" x14ac:dyDescent="0.2">
      <c r="B421" s="752"/>
      <c r="C421" s="752"/>
      <c r="D421" s="4"/>
      <c r="E421" s="752"/>
    </row>
    <row r="422" spans="2:5" ht="19.5" customHeight="1" x14ac:dyDescent="0.2">
      <c r="B422" s="752"/>
      <c r="C422" s="752"/>
      <c r="D422" s="4"/>
      <c r="E422" s="752"/>
    </row>
    <row r="423" spans="2:5" ht="19.5" customHeight="1" x14ac:dyDescent="0.2">
      <c r="B423" s="752"/>
      <c r="C423" s="752"/>
      <c r="D423" s="4"/>
      <c r="E423" s="752"/>
    </row>
    <row r="424" spans="2:5" ht="19.5" customHeight="1" x14ac:dyDescent="0.2">
      <c r="B424" s="752"/>
      <c r="C424" s="752"/>
      <c r="D424" s="4"/>
      <c r="E424" s="752"/>
    </row>
    <row r="425" spans="2:5" ht="19.5" customHeight="1" x14ac:dyDescent="0.2">
      <c r="B425" s="752"/>
      <c r="C425" s="752"/>
      <c r="D425" s="4"/>
      <c r="E425" s="752"/>
    </row>
    <row r="426" spans="2:5" ht="19.5" customHeight="1" x14ac:dyDescent="0.2">
      <c r="B426" s="752"/>
      <c r="C426" s="752"/>
      <c r="D426" s="4"/>
      <c r="E426" s="752"/>
    </row>
    <row r="427" spans="2:5" ht="19.5" customHeight="1" x14ac:dyDescent="0.2">
      <c r="B427" s="752"/>
      <c r="C427" s="752"/>
      <c r="D427" s="4"/>
      <c r="E427" s="752"/>
    </row>
    <row r="428" spans="2:5" ht="19.5" customHeight="1" x14ac:dyDescent="0.2">
      <c r="B428" s="752"/>
      <c r="C428" s="752"/>
      <c r="D428" s="4"/>
      <c r="E428" s="752"/>
    </row>
    <row r="429" spans="2:5" ht="19.5" customHeight="1" x14ac:dyDescent="0.2">
      <c r="B429" s="752"/>
      <c r="C429" s="752"/>
      <c r="D429" s="4"/>
      <c r="E429" s="752"/>
    </row>
    <row r="430" spans="2:5" ht="19.5" customHeight="1" x14ac:dyDescent="0.2">
      <c r="B430" s="752"/>
      <c r="C430" s="752"/>
      <c r="D430" s="4"/>
      <c r="E430" s="752"/>
    </row>
    <row r="431" spans="2:5" ht="19.5" customHeight="1" x14ac:dyDescent="0.2">
      <c r="B431" s="752"/>
      <c r="C431" s="752"/>
      <c r="D431" s="4"/>
      <c r="E431" s="752"/>
    </row>
    <row r="432" spans="2:5" ht="19.5" customHeight="1" x14ac:dyDescent="0.2">
      <c r="B432" s="752"/>
      <c r="C432" s="752"/>
      <c r="D432" s="4"/>
      <c r="E432" s="752"/>
    </row>
    <row r="433" spans="2:5" ht="19.5" customHeight="1" x14ac:dyDescent="0.2">
      <c r="B433" s="752"/>
      <c r="C433" s="752"/>
      <c r="D433" s="4"/>
      <c r="E433" s="752"/>
    </row>
    <row r="434" spans="2:5" ht="19.5" customHeight="1" x14ac:dyDescent="0.2">
      <c r="B434" s="752"/>
      <c r="C434" s="752"/>
      <c r="D434" s="4"/>
      <c r="E434" s="752"/>
    </row>
    <row r="435" spans="2:5" ht="19.5" customHeight="1" x14ac:dyDescent="0.2">
      <c r="B435" s="752"/>
      <c r="C435" s="752"/>
      <c r="D435" s="4"/>
      <c r="E435" s="752"/>
    </row>
    <row r="436" spans="2:5" ht="19.5" customHeight="1" x14ac:dyDescent="0.2">
      <c r="B436" s="752"/>
      <c r="C436" s="752"/>
      <c r="D436" s="4"/>
      <c r="E436" s="752"/>
    </row>
    <row r="437" spans="2:5" ht="19.5" customHeight="1" x14ac:dyDescent="0.2">
      <c r="B437" s="752"/>
      <c r="C437" s="752"/>
      <c r="D437" s="4"/>
      <c r="E437" s="752"/>
    </row>
    <row r="438" spans="2:5" ht="19.5" customHeight="1" x14ac:dyDescent="0.2">
      <c r="B438" s="752"/>
      <c r="C438" s="752"/>
      <c r="D438" s="4"/>
      <c r="E438" s="752"/>
    </row>
    <row r="439" spans="2:5" ht="19.5" customHeight="1" x14ac:dyDescent="0.2">
      <c r="B439" s="752"/>
      <c r="C439" s="752"/>
      <c r="D439" s="4"/>
      <c r="E439" s="752"/>
    </row>
    <row r="440" spans="2:5" ht="19.5" customHeight="1" x14ac:dyDescent="0.2">
      <c r="B440" s="752"/>
      <c r="C440" s="752"/>
      <c r="D440" s="4"/>
      <c r="E440" s="752"/>
    </row>
    <row r="441" spans="2:5" ht="19.5" customHeight="1" x14ac:dyDescent="0.2">
      <c r="B441" s="752"/>
      <c r="C441" s="752"/>
      <c r="D441" s="4"/>
      <c r="E441" s="752"/>
    </row>
    <row r="442" spans="2:5" ht="19.5" customHeight="1" x14ac:dyDescent="0.2">
      <c r="B442" s="752"/>
      <c r="C442" s="752"/>
      <c r="D442" s="4"/>
      <c r="E442" s="752"/>
    </row>
    <row r="443" spans="2:5" ht="19.5" customHeight="1" x14ac:dyDescent="0.2">
      <c r="B443" s="752"/>
      <c r="C443" s="752"/>
      <c r="D443" s="4"/>
      <c r="E443" s="752"/>
    </row>
    <row r="444" spans="2:5" ht="19.5" customHeight="1" x14ac:dyDescent="0.2">
      <c r="B444" s="752"/>
      <c r="C444" s="752"/>
      <c r="D444" s="4"/>
      <c r="E444" s="752"/>
    </row>
    <row r="445" spans="2:5" ht="19.5" customHeight="1" x14ac:dyDescent="0.2">
      <c r="B445" s="752"/>
      <c r="C445" s="752"/>
      <c r="D445" s="4"/>
      <c r="E445" s="752"/>
    </row>
    <row r="446" spans="2:5" ht="19.5" customHeight="1" x14ac:dyDescent="0.2">
      <c r="B446" s="752"/>
      <c r="C446" s="752"/>
      <c r="D446" s="4"/>
      <c r="E446" s="752"/>
    </row>
    <row r="447" spans="2:5" ht="19.5" customHeight="1" x14ac:dyDescent="0.2">
      <c r="B447" s="752"/>
      <c r="C447" s="752"/>
      <c r="D447" s="4"/>
      <c r="E447" s="752"/>
    </row>
    <row r="448" spans="2:5" ht="19.5" customHeight="1" x14ac:dyDescent="0.2">
      <c r="B448" s="752"/>
      <c r="C448" s="752"/>
      <c r="D448" s="4"/>
      <c r="E448" s="752"/>
    </row>
    <row r="449" spans="2:5" ht="19.5" customHeight="1" x14ac:dyDescent="0.2">
      <c r="B449" s="752"/>
      <c r="C449" s="752"/>
      <c r="D449" s="4"/>
      <c r="E449" s="752"/>
    </row>
    <row r="450" spans="2:5" ht="19.5" customHeight="1" x14ac:dyDescent="0.2">
      <c r="B450" s="752"/>
      <c r="C450" s="752"/>
      <c r="D450" s="4"/>
      <c r="E450" s="752"/>
    </row>
    <row r="451" spans="2:5" ht="19.5" customHeight="1" x14ac:dyDescent="0.2">
      <c r="B451" s="752"/>
      <c r="C451" s="752"/>
      <c r="D451" s="4"/>
      <c r="E451" s="752"/>
    </row>
    <row r="452" spans="2:5" ht="19.5" customHeight="1" x14ac:dyDescent="0.2">
      <c r="B452" s="752"/>
      <c r="C452" s="752"/>
      <c r="D452" s="4"/>
      <c r="E452" s="752"/>
    </row>
    <row r="453" spans="2:5" ht="19.5" customHeight="1" x14ac:dyDescent="0.2">
      <c r="B453" s="752"/>
      <c r="C453" s="752"/>
      <c r="D453" s="4"/>
      <c r="E453" s="752"/>
    </row>
    <row r="454" spans="2:5" ht="19.5" customHeight="1" x14ac:dyDescent="0.2">
      <c r="B454" s="752"/>
      <c r="C454" s="752"/>
      <c r="D454" s="4"/>
      <c r="E454" s="752"/>
    </row>
    <row r="455" spans="2:5" ht="19.5" customHeight="1" x14ac:dyDescent="0.2">
      <c r="B455" s="752"/>
      <c r="C455" s="752"/>
      <c r="D455" s="4"/>
      <c r="E455" s="752"/>
    </row>
    <row r="456" spans="2:5" ht="19.5" customHeight="1" x14ac:dyDescent="0.2">
      <c r="B456" s="752"/>
      <c r="C456" s="752"/>
      <c r="D456" s="4"/>
      <c r="E456" s="752"/>
    </row>
    <row r="457" spans="2:5" ht="19.5" customHeight="1" x14ac:dyDescent="0.2">
      <c r="B457" s="752"/>
      <c r="C457" s="752"/>
      <c r="D457" s="4"/>
      <c r="E457" s="752"/>
    </row>
    <row r="458" spans="2:5" ht="19.5" customHeight="1" x14ac:dyDescent="0.2">
      <c r="B458" s="752"/>
      <c r="C458" s="752"/>
      <c r="D458" s="4"/>
      <c r="E458" s="752"/>
    </row>
    <row r="459" spans="2:5" ht="19.5" customHeight="1" x14ac:dyDescent="0.2">
      <c r="B459" s="752"/>
      <c r="C459" s="752"/>
      <c r="D459" s="4"/>
      <c r="E459" s="752"/>
    </row>
    <row r="460" spans="2:5" ht="19.5" customHeight="1" x14ac:dyDescent="0.2">
      <c r="B460" s="752"/>
      <c r="C460" s="752"/>
      <c r="D460" s="4"/>
      <c r="E460" s="752"/>
    </row>
    <row r="461" spans="2:5" ht="19.5" customHeight="1" x14ac:dyDescent="0.2">
      <c r="B461" s="752"/>
      <c r="C461" s="752"/>
      <c r="D461" s="4"/>
      <c r="E461" s="752"/>
    </row>
    <row r="462" spans="2:5" ht="19.5" customHeight="1" x14ac:dyDescent="0.2">
      <c r="B462" s="752"/>
      <c r="C462" s="752"/>
      <c r="D462" s="4"/>
      <c r="E462" s="752"/>
    </row>
    <row r="463" spans="2:5" ht="19.5" customHeight="1" x14ac:dyDescent="0.2">
      <c r="B463" s="752"/>
      <c r="C463" s="752"/>
      <c r="D463" s="4"/>
      <c r="E463" s="752"/>
    </row>
    <row r="464" spans="2:5" ht="19.5" customHeight="1" x14ac:dyDescent="0.2">
      <c r="B464" s="752"/>
      <c r="C464" s="752"/>
      <c r="D464" s="4"/>
      <c r="E464" s="752"/>
    </row>
    <row r="465" spans="2:5" ht="19.5" customHeight="1" x14ac:dyDescent="0.2">
      <c r="B465" s="752"/>
      <c r="C465" s="752"/>
      <c r="D465" s="4"/>
      <c r="E465" s="752"/>
    </row>
    <row r="466" spans="2:5" ht="19.5" customHeight="1" x14ac:dyDescent="0.2">
      <c r="B466" s="752"/>
      <c r="C466" s="752"/>
      <c r="D466" s="4"/>
      <c r="E466" s="752"/>
    </row>
    <row r="467" spans="2:5" ht="19.5" customHeight="1" x14ac:dyDescent="0.2">
      <c r="B467" s="752"/>
      <c r="C467" s="752"/>
      <c r="D467" s="4"/>
      <c r="E467" s="752"/>
    </row>
    <row r="468" spans="2:5" ht="19.5" customHeight="1" x14ac:dyDescent="0.2">
      <c r="B468" s="752"/>
      <c r="C468" s="752"/>
      <c r="D468" s="4"/>
      <c r="E468" s="752"/>
    </row>
    <row r="469" spans="2:5" ht="19.5" customHeight="1" x14ac:dyDescent="0.2">
      <c r="B469" s="752"/>
      <c r="C469" s="752"/>
      <c r="D469" s="4"/>
      <c r="E469" s="752"/>
    </row>
    <row r="470" spans="2:5" ht="19.5" customHeight="1" x14ac:dyDescent="0.2">
      <c r="B470" s="752"/>
      <c r="C470" s="752"/>
      <c r="D470" s="4"/>
      <c r="E470" s="752"/>
    </row>
    <row r="471" spans="2:5" ht="19.5" customHeight="1" x14ac:dyDescent="0.2">
      <c r="B471" s="752"/>
      <c r="C471" s="752"/>
      <c r="D471" s="4"/>
      <c r="E471" s="752"/>
    </row>
    <row r="472" spans="2:5" ht="19.5" customHeight="1" x14ac:dyDescent="0.2">
      <c r="B472" s="752"/>
      <c r="C472" s="752"/>
      <c r="D472" s="4"/>
      <c r="E472" s="752"/>
    </row>
    <row r="473" spans="2:5" ht="19.5" customHeight="1" x14ac:dyDescent="0.2">
      <c r="B473" s="752"/>
      <c r="C473" s="752"/>
      <c r="D473" s="4"/>
      <c r="E473" s="752"/>
    </row>
    <row r="474" spans="2:5" ht="19.5" customHeight="1" x14ac:dyDescent="0.2">
      <c r="B474" s="752"/>
      <c r="C474" s="752"/>
      <c r="D474" s="4"/>
      <c r="E474" s="752"/>
    </row>
    <row r="475" spans="2:5" ht="19.5" customHeight="1" x14ac:dyDescent="0.2">
      <c r="B475" s="752"/>
      <c r="C475" s="752"/>
      <c r="D475" s="4"/>
      <c r="E475" s="752"/>
    </row>
    <row r="476" spans="2:5" ht="19.5" customHeight="1" x14ac:dyDescent="0.2">
      <c r="B476" s="752"/>
      <c r="C476" s="752"/>
      <c r="D476" s="4"/>
      <c r="E476" s="752"/>
    </row>
    <row r="477" spans="2:5" ht="19.5" customHeight="1" x14ac:dyDescent="0.2">
      <c r="B477" s="752"/>
      <c r="C477" s="752"/>
      <c r="D477" s="4"/>
      <c r="E477" s="752"/>
    </row>
    <row r="478" spans="2:5" ht="19.5" customHeight="1" x14ac:dyDescent="0.2">
      <c r="B478" s="752"/>
      <c r="C478" s="752"/>
      <c r="D478" s="4"/>
      <c r="E478" s="752"/>
    </row>
    <row r="479" spans="2:5" ht="19.5" customHeight="1" x14ac:dyDescent="0.2">
      <c r="B479" s="752"/>
      <c r="C479" s="752"/>
      <c r="D479" s="4"/>
      <c r="E479" s="752"/>
    </row>
    <row r="480" spans="2:5" ht="19.5" customHeight="1" x14ac:dyDescent="0.2">
      <c r="B480" s="752"/>
      <c r="C480" s="752"/>
      <c r="D480" s="4"/>
      <c r="E480" s="752"/>
    </row>
    <row r="481" spans="2:5" ht="19.5" customHeight="1" x14ac:dyDescent="0.2">
      <c r="B481" s="752"/>
      <c r="C481" s="752"/>
      <c r="D481" s="4"/>
      <c r="E481" s="752"/>
    </row>
    <row r="482" spans="2:5" ht="19.5" customHeight="1" x14ac:dyDescent="0.2">
      <c r="B482" s="752"/>
      <c r="C482" s="752"/>
      <c r="D482" s="4"/>
      <c r="E482" s="752"/>
    </row>
    <row r="483" spans="2:5" ht="19.5" customHeight="1" x14ac:dyDescent="0.2">
      <c r="B483" s="752"/>
      <c r="C483" s="752"/>
      <c r="D483" s="4"/>
      <c r="E483" s="752"/>
    </row>
    <row r="484" spans="2:5" ht="19.5" customHeight="1" x14ac:dyDescent="0.2">
      <c r="B484" s="752"/>
      <c r="C484" s="752"/>
      <c r="D484" s="4"/>
      <c r="E484" s="752"/>
    </row>
    <row r="485" spans="2:5" ht="19.5" customHeight="1" x14ac:dyDescent="0.2">
      <c r="B485" s="752"/>
      <c r="C485" s="752"/>
      <c r="D485" s="4"/>
      <c r="E485" s="752"/>
    </row>
    <row r="486" spans="2:5" ht="19.5" customHeight="1" x14ac:dyDescent="0.2">
      <c r="B486" s="752"/>
      <c r="C486" s="752"/>
      <c r="D486" s="4"/>
      <c r="E486" s="752"/>
    </row>
    <row r="487" spans="2:5" ht="19.5" customHeight="1" x14ac:dyDescent="0.2">
      <c r="B487" s="752"/>
      <c r="C487" s="752"/>
      <c r="D487" s="4"/>
      <c r="E487" s="752"/>
    </row>
    <row r="488" spans="2:5" ht="19.5" customHeight="1" x14ac:dyDescent="0.2">
      <c r="B488" s="752"/>
      <c r="C488" s="752"/>
      <c r="D488" s="4"/>
      <c r="E488" s="752"/>
    </row>
    <row r="489" spans="2:5" ht="19.5" customHeight="1" x14ac:dyDescent="0.2">
      <c r="B489" s="752"/>
      <c r="C489" s="752"/>
      <c r="D489" s="4"/>
      <c r="E489" s="752"/>
    </row>
    <row r="490" spans="2:5" ht="19.5" customHeight="1" x14ac:dyDescent="0.2">
      <c r="B490" s="752"/>
      <c r="C490" s="752"/>
      <c r="D490" s="4"/>
      <c r="E490" s="752"/>
    </row>
    <row r="491" spans="2:5" ht="19.5" customHeight="1" x14ac:dyDescent="0.2">
      <c r="B491" s="752"/>
      <c r="C491" s="752"/>
      <c r="D491" s="4"/>
      <c r="E491" s="752"/>
    </row>
    <row r="492" spans="2:5" ht="19.5" customHeight="1" x14ac:dyDescent="0.2">
      <c r="B492" s="752"/>
      <c r="C492" s="752"/>
      <c r="D492" s="4"/>
      <c r="E492" s="752"/>
    </row>
    <row r="493" spans="2:5" ht="19.5" customHeight="1" x14ac:dyDescent="0.2">
      <c r="B493" s="752"/>
      <c r="C493" s="752"/>
      <c r="D493" s="4"/>
      <c r="E493" s="752"/>
    </row>
    <row r="494" spans="2:5" ht="19.5" customHeight="1" x14ac:dyDescent="0.2">
      <c r="B494" s="752"/>
      <c r="C494" s="752"/>
      <c r="D494" s="4"/>
      <c r="E494" s="752"/>
    </row>
    <row r="495" spans="2:5" ht="19.5" customHeight="1" x14ac:dyDescent="0.2">
      <c r="B495" s="752"/>
      <c r="C495" s="752"/>
      <c r="D495" s="4"/>
      <c r="E495" s="752"/>
    </row>
    <row r="496" spans="2:5" ht="19.5" customHeight="1" x14ac:dyDescent="0.2">
      <c r="B496" s="752"/>
      <c r="C496" s="752"/>
      <c r="D496" s="4"/>
      <c r="E496" s="752"/>
    </row>
    <row r="497" spans="2:5" ht="19.5" customHeight="1" x14ac:dyDescent="0.2">
      <c r="B497" s="752"/>
      <c r="C497" s="752"/>
      <c r="D497" s="4"/>
      <c r="E497" s="752"/>
    </row>
    <row r="498" spans="2:5" ht="19.5" customHeight="1" x14ac:dyDescent="0.2">
      <c r="B498" s="752"/>
      <c r="C498" s="752"/>
      <c r="D498" s="4"/>
      <c r="E498" s="752"/>
    </row>
    <row r="499" spans="2:5" ht="19.5" customHeight="1" x14ac:dyDescent="0.2">
      <c r="B499" s="752"/>
      <c r="C499" s="752"/>
      <c r="D499" s="4"/>
      <c r="E499" s="752"/>
    </row>
    <row r="500" spans="2:5" ht="19.5" customHeight="1" x14ac:dyDescent="0.2">
      <c r="B500" s="752"/>
      <c r="C500" s="752"/>
      <c r="D500" s="4"/>
      <c r="E500" s="752"/>
    </row>
    <row r="501" spans="2:5" ht="19.5" customHeight="1" x14ac:dyDescent="0.2">
      <c r="B501" s="752"/>
      <c r="C501" s="752"/>
      <c r="D501" s="4"/>
      <c r="E501" s="752"/>
    </row>
    <row r="502" spans="2:5" ht="19.5" customHeight="1" x14ac:dyDescent="0.2">
      <c r="B502" s="752"/>
      <c r="C502" s="752"/>
      <c r="D502" s="4"/>
      <c r="E502" s="752"/>
    </row>
    <row r="503" spans="2:5" ht="19.5" customHeight="1" x14ac:dyDescent="0.2">
      <c r="B503" s="752"/>
      <c r="C503" s="752"/>
      <c r="D503" s="4"/>
      <c r="E503" s="752"/>
    </row>
    <row r="504" spans="2:5" ht="19.5" customHeight="1" x14ac:dyDescent="0.2">
      <c r="B504" s="752"/>
      <c r="C504" s="752"/>
      <c r="D504" s="4"/>
      <c r="E504" s="752"/>
    </row>
    <row r="505" spans="2:5" ht="19.5" customHeight="1" x14ac:dyDescent="0.2">
      <c r="B505" s="752"/>
      <c r="C505" s="752"/>
      <c r="D505" s="4"/>
      <c r="E505" s="752"/>
    </row>
    <row r="506" spans="2:5" ht="19.5" customHeight="1" x14ac:dyDescent="0.2">
      <c r="B506" s="752"/>
      <c r="C506" s="752"/>
      <c r="D506" s="4"/>
      <c r="E506" s="752"/>
    </row>
    <row r="507" spans="2:5" ht="19.5" customHeight="1" x14ac:dyDescent="0.2">
      <c r="B507" s="752"/>
      <c r="C507" s="752"/>
      <c r="D507" s="4"/>
      <c r="E507" s="752"/>
    </row>
    <row r="508" spans="2:5" ht="19.5" customHeight="1" x14ac:dyDescent="0.2">
      <c r="B508" s="752"/>
      <c r="C508" s="752"/>
      <c r="D508" s="4"/>
      <c r="E508" s="752"/>
    </row>
    <row r="509" spans="2:5" ht="19.5" customHeight="1" x14ac:dyDescent="0.2">
      <c r="B509" s="752"/>
      <c r="C509" s="752"/>
      <c r="D509" s="4"/>
      <c r="E509" s="752"/>
    </row>
    <row r="510" spans="2:5" ht="19.5" customHeight="1" x14ac:dyDescent="0.2">
      <c r="B510" s="752"/>
      <c r="C510" s="752"/>
      <c r="D510" s="4"/>
      <c r="E510" s="752"/>
    </row>
    <row r="511" spans="2:5" ht="19.5" customHeight="1" x14ac:dyDescent="0.2">
      <c r="B511" s="752"/>
      <c r="C511" s="752"/>
      <c r="D511" s="4"/>
      <c r="E511" s="752"/>
    </row>
    <row r="512" spans="2:5" ht="19.5" customHeight="1" x14ac:dyDescent="0.2">
      <c r="B512" s="752"/>
      <c r="C512" s="752"/>
      <c r="D512" s="4"/>
      <c r="E512" s="752"/>
    </row>
    <row r="513" spans="2:5" ht="19.5" customHeight="1" x14ac:dyDescent="0.2">
      <c r="B513" s="752"/>
      <c r="C513" s="752"/>
      <c r="D513" s="4"/>
      <c r="E513" s="752"/>
    </row>
    <row r="514" spans="2:5" ht="19.5" customHeight="1" x14ac:dyDescent="0.2">
      <c r="B514" s="752"/>
      <c r="C514" s="752"/>
      <c r="D514" s="4"/>
      <c r="E514" s="752"/>
    </row>
    <row r="515" spans="2:5" ht="19.5" customHeight="1" x14ac:dyDescent="0.2">
      <c r="B515" s="752"/>
      <c r="C515" s="752"/>
      <c r="D515" s="4"/>
      <c r="E515" s="752"/>
    </row>
    <row r="516" spans="2:5" ht="19.5" customHeight="1" x14ac:dyDescent="0.2">
      <c r="B516" s="752"/>
      <c r="C516" s="752"/>
      <c r="D516" s="4"/>
      <c r="E516" s="752"/>
    </row>
    <row r="517" spans="2:5" ht="19.5" customHeight="1" x14ac:dyDescent="0.2">
      <c r="B517" s="752"/>
      <c r="C517" s="752"/>
      <c r="D517" s="4"/>
      <c r="E517" s="752"/>
    </row>
    <row r="518" spans="2:5" ht="19.5" customHeight="1" x14ac:dyDescent="0.2">
      <c r="B518" s="752"/>
      <c r="C518" s="752"/>
      <c r="D518" s="4"/>
      <c r="E518" s="752"/>
    </row>
    <row r="519" spans="2:5" ht="19.5" customHeight="1" x14ac:dyDescent="0.2">
      <c r="B519" s="752"/>
      <c r="C519" s="752"/>
      <c r="D519" s="4"/>
      <c r="E519" s="752"/>
    </row>
    <row r="520" spans="2:5" ht="19.5" customHeight="1" x14ac:dyDescent="0.2">
      <c r="B520" s="752"/>
      <c r="C520" s="752"/>
      <c r="D520" s="4"/>
      <c r="E520" s="752"/>
    </row>
    <row r="521" spans="2:5" ht="19.5" customHeight="1" x14ac:dyDescent="0.2">
      <c r="B521" s="752"/>
      <c r="C521" s="752"/>
      <c r="D521" s="4"/>
      <c r="E521" s="752"/>
    </row>
    <row r="522" spans="2:5" ht="19.5" customHeight="1" x14ac:dyDescent="0.2">
      <c r="B522" s="752"/>
      <c r="C522" s="752"/>
      <c r="D522" s="4"/>
      <c r="E522" s="752"/>
    </row>
    <row r="523" spans="2:5" ht="19.5" customHeight="1" x14ac:dyDescent="0.2">
      <c r="B523" s="752"/>
      <c r="C523" s="752"/>
      <c r="D523" s="4"/>
      <c r="E523" s="752"/>
    </row>
    <row r="524" spans="2:5" ht="19.5" customHeight="1" x14ac:dyDescent="0.2">
      <c r="B524" s="752"/>
      <c r="C524" s="752"/>
      <c r="D524" s="4"/>
      <c r="E524" s="752"/>
    </row>
    <row r="525" spans="2:5" ht="19.5" customHeight="1" x14ac:dyDescent="0.2">
      <c r="B525" s="752"/>
      <c r="C525" s="752"/>
      <c r="D525" s="4"/>
      <c r="E525" s="752"/>
    </row>
    <row r="526" spans="2:5" ht="19.5" customHeight="1" x14ac:dyDescent="0.2">
      <c r="B526" s="752"/>
      <c r="C526" s="752"/>
      <c r="D526" s="4"/>
      <c r="E526" s="752"/>
    </row>
    <row r="527" spans="2:5" ht="19.5" customHeight="1" x14ac:dyDescent="0.2">
      <c r="B527" s="752"/>
      <c r="C527" s="752"/>
      <c r="D527" s="4"/>
      <c r="E527" s="752"/>
    </row>
    <row r="528" spans="2:5" ht="19.5" customHeight="1" x14ac:dyDescent="0.2">
      <c r="B528" s="752"/>
      <c r="C528" s="752"/>
      <c r="D528" s="4"/>
      <c r="E528" s="752"/>
    </row>
    <row r="529" spans="2:5" ht="19.5" customHeight="1" x14ac:dyDescent="0.2">
      <c r="B529" s="752"/>
      <c r="C529" s="752"/>
      <c r="D529" s="4"/>
      <c r="E529" s="752"/>
    </row>
    <row r="530" spans="2:5" ht="19.5" customHeight="1" x14ac:dyDescent="0.2">
      <c r="B530" s="752"/>
      <c r="C530" s="752"/>
      <c r="D530" s="4"/>
      <c r="E530" s="752"/>
    </row>
    <row r="531" spans="2:5" ht="19.5" customHeight="1" x14ac:dyDescent="0.2">
      <c r="B531" s="752"/>
      <c r="C531" s="752"/>
      <c r="D531" s="4"/>
      <c r="E531" s="752"/>
    </row>
    <row r="532" spans="2:5" ht="19.5" customHeight="1" x14ac:dyDescent="0.2">
      <c r="B532" s="752"/>
      <c r="C532" s="752"/>
      <c r="D532" s="4"/>
      <c r="E532" s="752"/>
    </row>
    <row r="533" spans="2:5" ht="19.5" customHeight="1" x14ac:dyDescent="0.2">
      <c r="B533" s="752"/>
      <c r="C533" s="752"/>
      <c r="D533" s="4"/>
      <c r="E533" s="752"/>
    </row>
    <row r="534" spans="2:5" ht="19.5" customHeight="1" x14ac:dyDescent="0.2">
      <c r="B534" s="752"/>
      <c r="C534" s="752"/>
      <c r="D534" s="4"/>
      <c r="E534" s="752"/>
    </row>
    <row r="535" spans="2:5" ht="19.5" customHeight="1" x14ac:dyDescent="0.2">
      <c r="B535" s="752"/>
      <c r="C535" s="752"/>
      <c r="D535" s="4"/>
      <c r="E535" s="752"/>
    </row>
    <row r="536" spans="2:5" ht="19.5" customHeight="1" x14ac:dyDescent="0.2">
      <c r="B536" s="752"/>
      <c r="C536" s="752"/>
      <c r="D536" s="4"/>
      <c r="E536" s="752"/>
    </row>
    <row r="537" spans="2:5" ht="19.5" customHeight="1" x14ac:dyDescent="0.2">
      <c r="B537" s="752"/>
      <c r="C537" s="752"/>
      <c r="D537" s="4"/>
      <c r="E537" s="752"/>
    </row>
    <row r="538" spans="2:5" ht="19.5" customHeight="1" x14ac:dyDescent="0.2">
      <c r="B538" s="752"/>
      <c r="C538" s="752"/>
      <c r="D538" s="4"/>
      <c r="E538" s="752"/>
    </row>
    <row r="539" spans="2:5" ht="19.5" customHeight="1" x14ac:dyDescent="0.2">
      <c r="B539" s="752"/>
      <c r="C539" s="752"/>
      <c r="D539" s="4"/>
      <c r="E539" s="752"/>
    </row>
    <row r="540" spans="2:5" ht="19.5" customHeight="1" x14ac:dyDescent="0.2">
      <c r="B540" s="752"/>
      <c r="C540" s="752"/>
      <c r="D540" s="4"/>
      <c r="E540" s="752"/>
    </row>
    <row r="541" spans="2:5" ht="19.5" customHeight="1" x14ac:dyDescent="0.2">
      <c r="B541" s="752"/>
      <c r="C541" s="752"/>
      <c r="D541" s="4"/>
      <c r="E541" s="752"/>
    </row>
    <row r="542" spans="2:5" ht="19.5" customHeight="1" x14ac:dyDescent="0.2">
      <c r="B542" s="752"/>
      <c r="C542" s="752"/>
      <c r="D542" s="4"/>
      <c r="E542" s="752"/>
    </row>
    <row r="543" spans="2:5" ht="19.5" customHeight="1" x14ac:dyDescent="0.2">
      <c r="B543" s="752"/>
      <c r="C543" s="752"/>
      <c r="D543" s="4"/>
      <c r="E543" s="752"/>
    </row>
    <row r="544" spans="2:5" ht="19.5" customHeight="1" x14ac:dyDescent="0.2">
      <c r="B544" s="752"/>
      <c r="C544" s="752"/>
      <c r="D544" s="4"/>
      <c r="E544" s="752"/>
    </row>
    <row r="545" spans="2:5" ht="19.5" customHeight="1" x14ac:dyDescent="0.2">
      <c r="B545" s="752"/>
      <c r="C545" s="752"/>
      <c r="D545" s="4"/>
      <c r="E545" s="752"/>
    </row>
    <row r="546" spans="2:5" ht="19.5" customHeight="1" x14ac:dyDescent="0.2">
      <c r="B546" s="752"/>
      <c r="C546" s="752"/>
      <c r="D546" s="4"/>
      <c r="E546" s="752"/>
    </row>
    <row r="547" spans="2:5" ht="19.5" customHeight="1" x14ac:dyDescent="0.2">
      <c r="B547" s="752"/>
      <c r="C547" s="752"/>
      <c r="D547" s="4"/>
      <c r="E547" s="752"/>
    </row>
    <row r="548" spans="2:5" ht="19.5" customHeight="1" x14ac:dyDescent="0.2">
      <c r="B548" s="752"/>
      <c r="C548" s="752"/>
      <c r="D548" s="4"/>
      <c r="E548" s="752"/>
    </row>
    <row r="549" spans="2:5" ht="19.5" customHeight="1" x14ac:dyDescent="0.2">
      <c r="B549" s="752"/>
      <c r="C549" s="752"/>
      <c r="D549" s="4"/>
      <c r="E549" s="752"/>
    </row>
    <row r="550" spans="2:5" ht="19.5" customHeight="1" x14ac:dyDescent="0.2">
      <c r="B550" s="752"/>
      <c r="C550" s="752"/>
      <c r="D550" s="4"/>
      <c r="E550" s="752"/>
    </row>
    <row r="551" spans="2:5" ht="19.5" customHeight="1" x14ac:dyDescent="0.2">
      <c r="B551" s="752"/>
      <c r="C551" s="752"/>
      <c r="D551" s="4"/>
      <c r="E551" s="752"/>
    </row>
    <row r="552" spans="2:5" ht="19.5" customHeight="1" x14ac:dyDescent="0.2">
      <c r="B552" s="752"/>
      <c r="C552" s="752"/>
      <c r="D552" s="4"/>
      <c r="E552" s="752"/>
    </row>
    <row r="553" spans="2:5" ht="19.5" customHeight="1" x14ac:dyDescent="0.2">
      <c r="B553" s="752"/>
      <c r="C553" s="752"/>
      <c r="D553" s="4"/>
      <c r="E553" s="752"/>
    </row>
    <row r="554" spans="2:5" ht="19.5" customHeight="1" x14ac:dyDescent="0.2">
      <c r="B554" s="752"/>
      <c r="C554" s="752"/>
      <c r="D554" s="4"/>
      <c r="E554" s="752"/>
    </row>
    <row r="555" spans="2:5" ht="19.5" customHeight="1" x14ac:dyDescent="0.2">
      <c r="B555" s="752"/>
      <c r="C555" s="752"/>
      <c r="D555" s="4"/>
      <c r="E555" s="752"/>
    </row>
    <row r="556" spans="2:5" ht="19.5" customHeight="1" x14ac:dyDescent="0.2">
      <c r="B556" s="752"/>
      <c r="C556" s="752"/>
      <c r="D556" s="4"/>
      <c r="E556" s="752"/>
    </row>
    <row r="557" spans="2:5" ht="19.5" customHeight="1" x14ac:dyDescent="0.2">
      <c r="B557" s="752"/>
      <c r="C557" s="752"/>
      <c r="D557" s="4"/>
      <c r="E557" s="752"/>
    </row>
    <row r="558" spans="2:5" ht="19.5" customHeight="1" x14ac:dyDescent="0.2">
      <c r="B558" s="752"/>
      <c r="C558" s="752"/>
      <c r="D558" s="4"/>
      <c r="E558" s="752"/>
    </row>
    <row r="559" spans="2:5" ht="19.5" customHeight="1" x14ac:dyDescent="0.2">
      <c r="B559" s="752"/>
      <c r="C559" s="752"/>
      <c r="D559" s="4"/>
      <c r="E559" s="752"/>
    </row>
    <row r="560" spans="2:5" ht="19.5" customHeight="1" x14ac:dyDescent="0.2">
      <c r="B560" s="752"/>
      <c r="C560" s="752"/>
      <c r="D560" s="4"/>
      <c r="E560" s="752"/>
    </row>
    <row r="561" spans="2:5" ht="19.5" customHeight="1" x14ac:dyDescent="0.2">
      <c r="B561" s="752"/>
      <c r="C561" s="752"/>
      <c r="D561" s="4"/>
      <c r="E561" s="752"/>
    </row>
    <row r="562" spans="2:5" ht="19.5" customHeight="1" x14ac:dyDescent="0.2">
      <c r="B562" s="752"/>
      <c r="C562" s="752"/>
      <c r="D562" s="4"/>
      <c r="E562" s="752"/>
    </row>
    <row r="563" spans="2:5" ht="19.5" customHeight="1" x14ac:dyDescent="0.2">
      <c r="B563" s="752"/>
      <c r="C563" s="752"/>
      <c r="D563" s="4"/>
      <c r="E563" s="752"/>
    </row>
    <row r="564" spans="2:5" ht="19.5" customHeight="1" x14ac:dyDescent="0.2">
      <c r="B564" s="752"/>
      <c r="C564" s="752"/>
      <c r="D564" s="4"/>
      <c r="E564" s="752"/>
    </row>
    <row r="565" spans="2:5" ht="19.5" customHeight="1" x14ac:dyDescent="0.2">
      <c r="B565" s="752"/>
      <c r="C565" s="752"/>
      <c r="D565" s="4"/>
      <c r="E565" s="752"/>
    </row>
    <row r="566" spans="2:5" ht="19.5" customHeight="1" x14ac:dyDescent="0.2">
      <c r="B566" s="752"/>
      <c r="C566" s="752"/>
      <c r="D566" s="4"/>
      <c r="E566" s="752"/>
    </row>
    <row r="567" spans="2:5" ht="19.5" customHeight="1" x14ac:dyDescent="0.2">
      <c r="B567" s="752"/>
      <c r="C567" s="752"/>
      <c r="D567" s="4"/>
      <c r="E567" s="752"/>
    </row>
    <row r="568" spans="2:5" ht="19.5" customHeight="1" x14ac:dyDescent="0.2">
      <c r="B568" s="752"/>
      <c r="C568" s="752"/>
      <c r="D568" s="4"/>
      <c r="E568" s="752"/>
    </row>
    <row r="569" spans="2:5" ht="19.5" customHeight="1" x14ac:dyDescent="0.2">
      <c r="B569" s="752"/>
      <c r="C569" s="752"/>
      <c r="D569" s="4"/>
      <c r="E569" s="752"/>
    </row>
    <row r="570" spans="2:5" ht="19.5" customHeight="1" x14ac:dyDescent="0.2">
      <c r="B570" s="752"/>
      <c r="C570" s="752"/>
      <c r="D570" s="4"/>
      <c r="E570" s="752"/>
    </row>
    <row r="571" spans="2:5" ht="19.5" customHeight="1" x14ac:dyDescent="0.2">
      <c r="B571" s="752"/>
      <c r="C571" s="752"/>
      <c r="D571" s="4"/>
      <c r="E571" s="752"/>
    </row>
    <row r="572" spans="2:5" ht="19.5" customHeight="1" x14ac:dyDescent="0.2">
      <c r="B572" s="752"/>
      <c r="C572" s="752"/>
      <c r="D572" s="4"/>
      <c r="E572" s="752"/>
    </row>
    <row r="573" spans="2:5" ht="19.5" customHeight="1" x14ac:dyDescent="0.2">
      <c r="B573" s="752"/>
      <c r="C573" s="752"/>
      <c r="D573" s="4"/>
      <c r="E573" s="752"/>
    </row>
    <row r="574" spans="2:5" ht="19.5" customHeight="1" x14ac:dyDescent="0.2">
      <c r="B574" s="752"/>
      <c r="C574" s="752"/>
      <c r="D574" s="4"/>
      <c r="E574" s="752"/>
    </row>
    <row r="575" spans="2:5" ht="19.5" customHeight="1" x14ac:dyDescent="0.2">
      <c r="B575" s="752"/>
      <c r="C575" s="752"/>
      <c r="D575" s="4"/>
      <c r="E575" s="752"/>
    </row>
    <row r="576" spans="2:5" ht="19.5" customHeight="1" x14ac:dyDescent="0.2">
      <c r="B576" s="752"/>
      <c r="C576" s="752"/>
      <c r="D576" s="4"/>
      <c r="E576" s="752"/>
    </row>
    <row r="577" spans="2:5" ht="19.5" customHeight="1" x14ac:dyDescent="0.2">
      <c r="B577" s="752"/>
      <c r="C577" s="752"/>
      <c r="D577" s="4"/>
      <c r="E577" s="752"/>
    </row>
    <row r="578" spans="2:5" ht="19.5" customHeight="1" x14ac:dyDescent="0.2">
      <c r="B578" s="752"/>
      <c r="C578" s="752"/>
      <c r="D578" s="4"/>
      <c r="E578" s="752"/>
    </row>
    <row r="579" spans="2:5" ht="19.5" customHeight="1" x14ac:dyDescent="0.2">
      <c r="B579" s="752"/>
      <c r="C579" s="752"/>
      <c r="D579" s="4"/>
      <c r="E579" s="752"/>
    </row>
    <row r="580" spans="2:5" ht="19.5" customHeight="1" x14ac:dyDescent="0.2">
      <c r="B580" s="752"/>
      <c r="C580" s="752"/>
      <c r="D580" s="4"/>
      <c r="E580" s="752"/>
    </row>
    <row r="581" spans="2:5" ht="19.5" customHeight="1" x14ac:dyDescent="0.2">
      <c r="B581" s="752"/>
      <c r="C581" s="752"/>
      <c r="D581" s="4"/>
      <c r="E581" s="752"/>
    </row>
    <row r="582" spans="2:5" ht="19.5" customHeight="1" x14ac:dyDescent="0.2">
      <c r="B582" s="752"/>
      <c r="C582" s="752"/>
      <c r="D582" s="4"/>
      <c r="E582" s="752"/>
    </row>
    <row r="583" spans="2:5" ht="19.5" customHeight="1" x14ac:dyDescent="0.2">
      <c r="B583" s="752"/>
      <c r="C583" s="752"/>
      <c r="D583" s="4"/>
      <c r="E583" s="752"/>
    </row>
    <row r="584" spans="2:5" ht="19.5" customHeight="1" x14ac:dyDescent="0.2">
      <c r="B584" s="752"/>
      <c r="C584" s="752"/>
      <c r="D584" s="4"/>
      <c r="E584" s="752"/>
    </row>
    <row r="585" spans="2:5" ht="19.5" customHeight="1" x14ac:dyDescent="0.2">
      <c r="B585" s="752"/>
      <c r="C585" s="752"/>
      <c r="D585" s="4"/>
      <c r="E585" s="752"/>
    </row>
    <row r="586" spans="2:5" ht="19.5" customHeight="1" x14ac:dyDescent="0.2">
      <c r="B586" s="752"/>
      <c r="C586" s="752"/>
      <c r="D586" s="4"/>
      <c r="E586" s="752"/>
    </row>
    <row r="587" spans="2:5" ht="19.5" customHeight="1" x14ac:dyDescent="0.2">
      <c r="B587" s="752"/>
      <c r="C587" s="752"/>
      <c r="D587" s="4"/>
      <c r="E587" s="752"/>
    </row>
    <row r="588" spans="2:5" ht="19.5" customHeight="1" x14ac:dyDescent="0.2">
      <c r="B588" s="752"/>
      <c r="C588" s="752"/>
      <c r="D588" s="4"/>
      <c r="E588" s="752"/>
    </row>
    <row r="589" spans="2:5" ht="19.5" customHeight="1" x14ac:dyDescent="0.2">
      <c r="B589" s="752"/>
      <c r="C589" s="752"/>
      <c r="D589" s="4"/>
      <c r="E589" s="752"/>
    </row>
    <row r="590" spans="2:5" ht="19.5" customHeight="1" x14ac:dyDescent="0.2">
      <c r="B590" s="752"/>
      <c r="C590" s="752"/>
      <c r="D590" s="4"/>
      <c r="E590" s="752"/>
    </row>
    <row r="591" spans="2:5" ht="19.5" customHeight="1" x14ac:dyDescent="0.2">
      <c r="B591" s="752"/>
      <c r="C591" s="752"/>
      <c r="D591" s="4"/>
      <c r="E591" s="752"/>
    </row>
    <row r="592" spans="2:5" ht="19.5" customHeight="1" x14ac:dyDescent="0.2">
      <c r="B592" s="752"/>
      <c r="C592" s="752"/>
      <c r="D592" s="4"/>
      <c r="E592" s="752"/>
    </row>
    <row r="593" spans="2:5" ht="19.5" customHeight="1" x14ac:dyDescent="0.2">
      <c r="B593" s="752"/>
      <c r="C593" s="752"/>
      <c r="D593" s="4"/>
      <c r="E593" s="752"/>
    </row>
    <row r="594" spans="2:5" ht="19.5" customHeight="1" x14ac:dyDescent="0.2">
      <c r="B594" s="752"/>
      <c r="C594" s="752"/>
      <c r="D594" s="4"/>
      <c r="E594" s="752"/>
    </row>
    <row r="595" spans="2:5" ht="19.5" customHeight="1" x14ac:dyDescent="0.2">
      <c r="B595" s="752"/>
      <c r="C595" s="752"/>
      <c r="D595" s="4"/>
      <c r="E595" s="752"/>
    </row>
    <row r="596" spans="2:5" ht="19.5" customHeight="1" x14ac:dyDescent="0.2">
      <c r="B596" s="752"/>
      <c r="C596" s="752"/>
      <c r="D596" s="4"/>
      <c r="E596" s="752"/>
    </row>
    <row r="597" spans="2:5" ht="19.5" customHeight="1" x14ac:dyDescent="0.2">
      <c r="B597" s="752"/>
      <c r="C597" s="752"/>
      <c r="D597" s="4"/>
      <c r="E597" s="752"/>
    </row>
    <row r="598" spans="2:5" ht="19.5" customHeight="1" x14ac:dyDescent="0.2">
      <c r="B598" s="752"/>
      <c r="C598" s="752"/>
      <c r="D598" s="4"/>
      <c r="E598" s="752"/>
    </row>
    <row r="599" spans="2:5" ht="19.5" customHeight="1" x14ac:dyDescent="0.2">
      <c r="B599" s="752"/>
      <c r="C599" s="752"/>
      <c r="D599" s="4"/>
      <c r="E599" s="752"/>
    </row>
    <row r="600" spans="2:5" ht="19.5" customHeight="1" x14ac:dyDescent="0.2">
      <c r="B600" s="752"/>
      <c r="C600" s="752"/>
      <c r="D600" s="4"/>
      <c r="E600" s="752"/>
    </row>
    <row r="601" spans="2:5" ht="19.5" customHeight="1" x14ac:dyDescent="0.2">
      <c r="B601" s="752"/>
      <c r="C601" s="752"/>
      <c r="D601" s="4"/>
      <c r="E601" s="752"/>
    </row>
    <row r="602" spans="2:5" ht="19.5" customHeight="1" x14ac:dyDescent="0.2">
      <c r="B602" s="752"/>
      <c r="C602" s="752"/>
      <c r="D602" s="4"/>
      <c r="E602" s="752"/>
    </row>
    <row r="603" spans="2:5" ht="19.5" customHeight="1" x14ac:dyDescent="0.2">
      <c r="B603" s="752"/>
      <c r="C603" s="752"/>
      <c r="D603" s="4"/>
      <c r="E603" s="752"/>
    </row>
    <row r="604" spans="2:5" ht="19.5" customHeight="1" x14ac:dyDescent="0.2">
      <c r="B604" s="752"/>
      <c r="C604" s="752"/>
      <c r="D604" s="4"/>
      <c r="E604" s="752"/>
    </row>
    <row r="605" spans="2:5" ht="19.5" customHeight="1" x14ac:dyDescent="0.2">
      <c r="B605" s="752"/>
      <c r="C605" s="752"/>
      <c r="D605" s="4"/>
      <c r="E605" s="752"/>
    </row>
    <row r="606" spans="2:5" ht="19.5" customHeight="1" x14ac:dyDescent="0.2">
      <c r="B606" s="752"/>
      <c r="C606" s="752"/>
      <c r="D606" s="4"/>
      <c r="E606" s="752"/>
    </row>
    <row r="607" spans="2:5" ht="19.5" customHeight="1" x14ac:dyDescent="0.2">
      <c r="B607" s="752"/>
      <c r="C607" s="752"/>
      <c r="D607" s="4"/>
      <c r="E607" s="752"/>
    </row>
    <row r="608" spans="2:5" ht="19.5" customHeight="1" x14ac:dyDescent="0.2">
      <c r="B608" s="752"/>
      <c r="C608" s="752"/>
      <c r="D608" s="4"/>
      <c r="E608" s="752"/>
    </row>
    <row r="609" spans="2:5" ht="19.5" customHeight="1" x14ac:dyDescent="0.2">
      <c r="B609" s="752"/>
      <c r="C609" s="752"/>
      <c r="D609" s="4"/>
      <c r="E609" s="752"/>
    </row>
    <row r="610" spans="2:5" ht="19.5" customHeight="1" x14ac:dyDescent="0.2">
      <c r="B610" s="752"/>
      <c r="C610" s="752"/>
      <c r="D610" s="4"/>
      <c r="E610" s="752"/>
    </row>
    <row r="611" spans="2:5" ht="19.5" customHeight="1" x14ac:dyDescent="0.2">
      <c r="B611" s="752"/>
      <c r="C611" s="752"/>
      <c r="D611" s="4"/>
      <c r="E611" s="752"/>
    </row>
    <row r="612" spans="2:5" ht="19.5" customHeight="1" x14ac:dyDescent="0.2">
      <c r="B612" s="752"/>
      <c r="C612" s="752"/>
      <c r="D612" s="4"/>
      <c r="E612" s="752"/>
    </row>
    <row r="613" spans="2:5" ht="19.5" customHeight="1" x14ac:dyDescent="0.2">
      <c r="B613" s="752"/>
      <c r="C613" s="752"/>
      <c r="D613" s="4"/>
      <c r="E613" s="752"/>
    </row>
    <row r="614" spans="2:5" ht="19.5" customHeight="1" x14ac:dyDescent="0.2">
      <c r="B614" s="752"/>
      <c r="C614" s="752"/>
      <c r="D614" s="4"/>
      <c r="E614" s="752"/>
    </row>
    <row r="615" spans="2:5" ht="19.5" customHeight="1" x14ac:dyDescent="0.2">
      <c r="B615" s="752"/>
      <c r="C615" s="752"/>
      <c r="D615" s="4"/>
      <c r="E615" s="752"/>
    </row>
    <row r="616" spans="2:5" ht="19.5" customHeight="1" x14ac:dyDescent="0.2">
      <c r="B616" s="752"/>
      <c r="C616" s="752"/>
      <c r="D616" s="4"/>
      <c r="E616" s="752"/>
    </row>
    <row r="617" spans="2:5" ht="19.5" customHeight="1" x14ac:dyDescent="0.2">
      <c r="B617" s="752"/>
      <c r="C617" s="752"/>
      <c r="D617" s="4"/>
      <c r="E617" s="752"/>
    </row>
    <row r="618" spans="2:5" ht="19.5" customHeight="1" x14ac:dyDescent="0.2">
      <c r="B618" s="752"/>
      <c r="C618" s="752"/>
      <c r="D618" s="4"/>
      <c r="E618" s="752"/>
    </row>
    <row r="619" spans="2:5" ht="19.5" customHeight="1" x14ac:dyDescent="0.2">
      <c r="B619" s="752"/>
      <c r="C619" s="752"/>
      <c r="D619" s="4"/>
      <c r="E619" s="752"/>
    </row>
    <row r="620" spans="2:5" ht="19.5" customHeight="1" x14ac:dyDescent="0.2">
      <c r="B620" s="752"/>
      <c r="C620" s="752"/>
      <c r="D620" s="4"/>
      <c r="E620" s="752"/>
    </row>
    <row r="621" spans="2:5" ht="19.5" customHeight="1" x14ac:dyDescent="0.2">
      <c r="B621" s="752"/>
      <c r="C621" s="752"/>
      <c r="D621" s="4"/>
      <c r="E621" s="752"/>
    </row>
    <row r="622" spans="2:5" ht="19.5" customHeight="1" x14ac:dyDescent="0.2">
      <c r="B622" s="752"/>
      <c r="C622" s="752"/>
      <c r="D622" s="4"/>
      <c r="E622" s="752"/>
    </row>
    <row r="623" spans="2:5" ht="19.5" customHeight="1" x14ac:dyDescent="0.2">
      <c r="B623" s="752"/>
      <c r="C623" s="752"/>
      <c r="D623" s="4"/>
      <c r="E623" s="752"/>
    </row>
    <row r="624" spans="2:5" ht="19.5" customHeight="1" x14ac:dyDescent="0.2">
      <c r="B624" s="752"/>
      <c r="C624" s="752"/>
      <c r="D624" s="4"/>
      <c r="E624" s="752"/>
    </row>
    <row r="625" spans="2:5" ht="19.5" customHeight="1" x14ac:dyDescent="0.2">
      <c r="B625" s="752"/>
      <c r="C625" s="752"/>
      <c r="D625" s="4"/>
      <c r="E625" s="752"/>
    </row>
    <row r="626" spans="2:5" ht="19.5" customHeight="1" x14ac:dyDescent="0.2">
      <c r="B626" s="752"/>
      <c r="C626" s="752"/>
      <c r="D626" s="4"/>
      <c r="E626" s="752"/>
    </row>
    <row r="627" spans="2:5" ht="19.5" customHeight="1" x14ac:dyDescent="0.2">
      <c r="B627" s="752"/>
      <c r="C627" s="752"/>
      <c r="D627" s="4"/>
      <c r="E627" s="752"/>
    </row>
    <row r="628" spans="2:5" ht="19.5" customHeight="1" x14ac:dyDescent="0.2">
      <c r="B628" s="752"/>
      <c r="C628" s="752"/>
      <c r="D628" s="4"/>
      <c r="E628" s="752"/>
    </row>
    <row r="629" spans="2:5" ht="19.5" customHeight="1" x14ac:dyDescent="0.2">
      <c r="B629" s="752"/>
      <c r="C629" s="752"/>
      <c r="D629" s="4"/>
      <c r="E629" s="752"/>
    </row>
    <row r="630" spans="2:5" ht="19.5" customHeight="1" x14ac:dyDescent="0.2">
      <c r="B630" s="752"/>
      <c r="C630" s="752"/>
      <c r="D630" s="4"/>
      <c r="E630" s="752"/>
    </row>
    <row r="631" spans="2:5" ht="19.5" customHeight="1" x14ac:dyDescent="0.2">
      <c r="B631" s="752"/>
      <c r="C631" s="752"/>
      <c r="D631" s="4"/>
      <c r="E631" s="752"/>
    </row>
    <row r="632" spans="2:5" ht="19.5" customHeight="1" x14ac:dyDescent="0.2">
      <c r="B632" s="752"/>
      <c r="C632" s="752"/>
      <c r="D632" s="4"/>
      <c r="E632" s="752"/>
    </row>
    <row r="633" spans="2:5" ht="19.5" customHeight="1" x14ac:dyDescent="0.2">
      <c r="B633" s="752"/>
      <c r="C633" s="752"/>
      <c r="D633" s="4"/>
      <c r="E633" s="752"/>
    </row>
    <row r="634" spans="2:5" ht="19.5" customHeight="1" x14ac:dyDescent="0.2">
      <c r="B634" s="752"/>
      <c r="C634" s="752"/>
      <c r="D634" s="4"/>
      <c r="E634" s="752"/>
    </row>
    <row r="635" spans="2:5" ht="19.5" customHeight="1" x14ac:dyDescent="0.2">
      <c r="B635" s="752"/>
      <c r="C635" s="752"/>
      <c r="D635" s="4"/>
      <c r="E635" s="752"/>
    </row>
    <row r="636" spans="2:5" ht="19.5" customHeight="1" x14ac:dyDescent="0.2">
      <c r="B636" s="752"/>
      <c r="C636" s="752"/>
      <c r="D636" s="4"/>
      <c r="E636" s="752"/>
    </row>
    <row r="637" spans="2:5" ht="19.5" customHeight="1" x14ac:dyDescent="0.2">
      <c r="B637" s="752"/>
      <c r="C637" s="752"/>
      <c r="D637" s="4"/>
      <c r="E637" s="752"/>
    </row>
    <row r="638" spans="2:5" ht="19.5" customHeight="1" x14ac:dyDescent="0.2">
      <c r="B638" s="752"/>
      <c r="C638" s="752"/>
      <c r="D638" s="4"/>
      <c r="E638" s="752"/>
    </row>
    <row r="639" spans="2:5" ht="19.5" customHeight="1" x14ac:dyDescent="0.2">
      <c r="B639" s="752"/>
      <c r="C639" s="752"/>
      <c r="D639" s="4"/>
      <c r="E639" s="752"/>
    </row>
    <row r="640" spans="2:5" ht="19.5" customHeight="1" x14ac:dyDescent="0.2">
      <c r="B640" s="752"/>
      <c r="C640" s="752"/>
      <c r="D640" s="4"/>
      <c r="E640" s="752"/>
    </row>
    <row r="641" spans="2:5" ht="19.5" customHeight="1" x14ac:dyDescent="0.2">
      <c r="B641" s="752"/>
      <c r="C641" s="752"/>
      <c r="D641" s="4"/>
      <c r="E641" s="752"/>
    </row>
    <row r="642" spans="2:5" ht="19.5" customHeight="1" x14ac:dyDescent="0.2">
      <c r="B642" s="752"/>
      <c r="C642" s="752"/>
      <c r="D642" s="4"/>
      <c r="E642" s="752"/>
    </row>
    <row r="643" spans="2:5" ht="19.5" customHeight="1" x14ac:dyDescent="0.2">
      <c r="B643" s="752"/>
      <c r="C643" s="752"/>
      <c r="D643" s="4"/>
      <c r="E643" s="752"/>
    </row>
    <row r="644" spans="2:5" ht="19.5" customHeight="1" x14ac:dyDescent="0.2">
      <c r="B644" s="752"/>
      <c r="C644" s="752"/>
      <c r="D644" s="4"/>
      <c r="E644" s="752"/>
    </row>
    <row r="645" spans="2:5" ht="19.5" customHeight="1" x14ac:dyDescent="0.2">
      <c r="B645" s="752"/>
      <c r="C645" s="752"/>
      <c r="D645" s="4"/>
      <c r="E645" s="752"/>
    </row>
    <row r="646" spans="2:5" ht="19.5" customHeight="1" x14ac:dyDescent="0.2">
      <c r="B646" s="752"/>
      <c r="C646" s="752"/>
      <c r="D646" s="4"/>
      <c r="E646" s="752"/>
    </row>
    <row r="647" spans="2:5" ht="19.5" customHeight="1" x14ac:dyDescent="0.2">
      <c r="B647" s="752"/>
      <c r="C647" s="752"/>
      <c r="D647" s="4"/>
      <c r="E647" s="752"/>
    </row>
    <row r="648" spans="2:5" ht="19.5" customHeight="1" x14ac:dyDescent="0.2">
      <c r="B648" s="752"/>
      <c r="C648" s="752"/>
      <c r="D648" s="4"/>
      <c r="E648" s="752"/>
    </row>
    <row r="649" spans="2:5" ht="19.5" customHeight="1" x14ac:dyDescent="0.2">
      <c r="B649" s="752"/>
      <c r="C649" s="752"/>
      <c r="D649" s="4"/>
      <c r="E649" s="752"/>
    </row>
    <row r="650" spans="2:5" ht="19.5" customHeight="1" x14ac:dyDescent="0.2">
      <c r="B650" s="752"/>
      <c r="C650" s="752"/>
      <c r="D650" s="4"/>
      <c r="E650" s="752"/>
    </row>
    <row r="651" spans="2:5" ht="19.5" customHeight="1" x14ac:dyDescent="0.2">
      <c r="B651" s="752"/>
      <c r="C651" s="752"/>
      <c r="D651" s="4"/>
      <c r="E651" s="752"/>
    </row>
    <row r="652" spans="2:5" ht="19.5" customHeight="1" x14ac:dyDescent="0.2">
      <c r="B652" s="752"/>
      <c r="C652" s="752"/>
      <c r="D652" s="4"/>
      <c r="E652" s="752"/>
    </row>
    <row r="653" spans="2:5" ht="19.5" customHeight="1" x14ac:dyDescent="0.2">
      <c r="B653" s="752"/>
      <c r="C653" s="752"/>
      <c r="D653" s="4"/>
      <c r="E653" s="752"/>
    </row>
    <row r="654" spans="2:5" ht="19.5" customHeight="1" x14ac:dyDescent="0.2">
      <c r="B654" s="752"/>
      <c r="C654" s="752"/>
      <c r="D654" s="4"/>
      <c r="E654" s="752"/>
    </row>
    <row r="655" spans="2:5" ht="19.5" customHeight="1" x14ac:dyDescent="0.2">
      <c r="B655" s="752"/>
      <c r="C655" s="752"/>
      <c r="D655" s="4"/>
      <c r="E655" s="752"/>
    </row>
    <row r="656" spans="2:5" ht="19.5" customHeight="1" x14ac:dyDescent="0.2">
      <c r="B656" s="752"/>
      <c r="C656" s="752"/>
      <c r="D656" s="4"/>
      <c r="E656" s="752"/>
    </row>
    <row r="657" spans="2:5" ht="19.5" customHeight="1" x14ac:dyDescent="0.2">
      <c r="B657" s="752"/>
      <c r="C657" s="752"/>
      <c r="D657" s="4"/>
      <c r="E657" s="752"/>
    </row>
    <row r="658" spans="2:5" ht="19.5" customHeight="1" x14ac:dyDescent="0.2">
      <c r="B658" s="752"/>
      <c r="C658" s="752"/>
      <c r="D658" s="4"/>
      <c r="E658" s="752"/>
    </row>
    <row r="659" spans="2:5" ht="19.5" customHeight="1" x14ac:dyDescent="0.2">
      <c r="B659" s="752"/>
      <c r="C659" s="752"/>
      <c r="D659" s="4"/>
      <c r="E659" s="752"/>
    </row>
    <row r="660" spans="2:5" ht="19.5" customHeight="1" x14ac:dyDescent="0.2">
      <c r="B660" s="752"/>
      <c r="C660" s="752"/>
      <c r="D660" s="4"/>
      <c r="E660" s="752"/>
    </row>
    <row r="661" spans="2:5" ht="19.5" customHeight="1" x14ac:dyDescent="0.2">
      <c r="B661" s="752"/>
      <c r="C661" s="752"/>
      <c r="D661" s="4"/>
      <c r="E661" s="752"/>
    </row>
    <row r="662" spans="2:5" ht="19.5" customHeight="1" x14ac:dyDescent="0.2">
      <c r="B662" s="752"/>
      <c r="C662" s="752"/>
      <c r="D662" s="4"/>
      <c r="E662" s="752"/>
    </row>
    <row r="663" spans="2:5" ht="19.5" customHeight="1" x14ac:dyDescent="0.2">
      <c r="B663" s="752"/>
      <c r="C663" s="752"/>
      <c r="D663" s="4"/>
      <c r="E663" s="752"/>
    </row>
    <row r="664" spans="2:5" ht="19.5" customHeight="1" x14ac:dyDescent="0.2">
      <c r="B664" s="752"/>
      <c r="C664" s="752"/>
      <c r="D664" s="4"/>
      <c r="E664" s="752"/>
    </row>
    <row r="665" spans="2:5" ht="19.5" customHeight="1" x14ac:dyDescent="0.2">
      <c r="B665" s="752"/>
      <c r="C665" s="752"/>
      <c r="D665" s="4"/>
      <c r="E665" s="752"/>
    </row>
    <row r="666" spans="2:5" ht="19.5" customHeight="1" x14ac:dyDescent="0.2">
      <c r="B666" s="752"/>
      <c r="C666" s="752"/>
      <c r="D666" s="4"/>
      <c r="E666" s="752"/>
    </row>
    <row r="667" spans="2:5" ht="19.5" customHeight="1" x14ac:dyDescent="0.2">
      <c r="B667" s="752"/>
      <c r="C667" s="752"/>
      <c r="D667" s="4"/>
      <c r="E667" s="752"/>
    </row>
    <row r="668" spans="2:5" ht="19.5" customHeight="1" x14ac:dyDescent="0.2">
      <c r="B668" s="752"/>
      <c r="C668" s="752"/>
      <c r="D668" s="4"/>
      <c r="E668" s="752"/>
    </row>
    <row r="669" spans="2:5" ht="19.5" customHeight="1" x14ac:dyDescent="0.2">
      <c r="B669" s="752"/>
      <c r="C669" s="752"/>
      <c r="D669" s="4"/>
      <c r="E669" s="752"/>
    </row>
    <row r="670" spans="2:5" ht="19.5" customHeight="1" x14ac:dyDescent="0.2">
      <c r="B670" s="752"/>
      <c r="C670" s="752"/>
      <c r="D670" s="4"/>
      <c r="E670" s="752"/>
    </row>
    <row r="671" spans="2:5" ht="19.5" customHeight="1" x14ac:dyDescent="0.2">
      <c r="B671" s="752"/>
      <c r="C671" s="752"/>
      <c r="D671" s="4"/>
      <c r="E671" s="752"/>
    </row>
    <row r="672" spans="2:5" ht="19.5" customHeight="1" x14ac:dyDescent="0.2">
      <c r="B672" s="752"/>
      <c r="C672" s="752"/>
      <c r="D672" s="4"/>
      <c r="E672" s="752"/>
    </row>
    <row r="673" spans="2:5" ht="19.5" customHeight="1" x14ac:dyDescent="0.2">
      <c r="B673" s="752"/>
      <c r="C673" s="752"/>
      <c r="D673" s="4"/>
      <c r="E673" s="752"/>
    </row>
    <row r="674" spans="2:5" ht="19.5" customHeight="1" x14ac:dyDescent="0.2">
      <c r="B674" s="752"/>
      <c r="C674" s="752"/>
      <c r="D674" s="4"/>
      <c r="E674" s="752"/>
    </row>
    <row r="675" spans="2:5" ht="19.5" customHeight="1" x14ac:dyDescent="0.2">
      <c r="B675" s="752"/>
      <c r="C675" s="752"/>
      <c r="D675" s="4"/>
      <c r="E675" s="752"/>
    </row>
    <row r="676" spans="2:5" ht="19.5" customHeight="1" x14ac:dyDescent="0.2">
      <c r="B676" s="752"/>
      <c r="C676" s="752"/>
      <c r="D676" s="4"/>
      <c r="E676" s="752"/>
    </row>
    <row r="677" spans="2:5" ht="19.5" customHeight="1" x14ac:dyDescent="0.2">
      <c r="B677" s="752"/>
      <c r="C677" s="752"/>
      <c r="D677" s="4"/>
      <c r="E677" s="752"/>
    </row>
    <row r="678" spans="2:5" ht="19.5" customHeight="1" x14ac:dyDescent="0.2">
      <c r="B678" s="752"/>
      <c r="C678" s="752"/>
      <c r="D678" s="4"/>
      <c r="E678" s="752"/>
    </row>
    <row r="679" spans="2:5" ht="19.5" customHeight="1" x14ac:dyDescent="0.2">
      <c r="B679" s="752"/>
      <c r="C679" s="752"/>
      <c r="D679" s="4"/>
      <c r="E679" s="752"/>
    </row>
    <row r="680" spans="2:5" ht="19.5" customHeight="1" x14ac:dyDescent="0.2">
      <c r="B680" s="752"/>
      <c r="C680" s="752"/>
      <c r="D680" s="4"/>
      <c r="E680" s="752"/>
    </row>
    <row r="681" spans="2:5" ht="19.5" customHeight="1" x14ac:dyDescent="0.2">
      <c r="B681" s="752"/>
      <c r="C681" s="752"/>
      <c r="D681" s="4"/>
      <c r="E681" s="752"/>
    </row>
    <row r="682" spans="2:5" ht="19.5" customHeight="1" x14ac:dyDescent="0.2">
      <c r="B682" s="752"/>
      <c r="C682" s="752"/>
      <c r="D682" s="4"/>
      <c r="E682" s="752"/>
    </row>
    <row r="683" spans="2:5" ht="19.5" customHeight="1" x14ac:dyDescent="0.2">
      <c r="B683" s="752"/>
      <c r="C683" s="752"/>
      <c r="D683" s="4"/>
      <c r="E683" s="752"/>
    </row>
    <row r="684" spans="2:5" ht="19.5" customHeight="1" x14ac:dyDescent="0.2">
      <c r="B684" s="752"/>
      <c r="C684" s="752"/>
      <c r="D684" s="4"/>
      <c r="E684" s="752"/>
    </row>
    <row r="685" spans="2:5" ht="19.5" customHeight="1" x14ac:dyDescent="0.2">
      <c r="B685" s="752"/>
      <c r="C685" s="752"/>
      <c r="D685" s="4"/>
      <c r="E685" s="752"/>
    </row>
    <row r="686" spans="2:5" ht="19.5" customHeight="1" x14ac:dyDescent="0.2">
      <c r="B686" s="752"/>
      <c r="C686" s="752"/>
      <c r="D686" s="4"/>
      <c r="E686" s="752"/>
    </row>
    <row r="687" spans="2:5" ht="19.5" customHeight="1" x14ac:dyDescent="0.2">
      <c r="B687" s="752"/>
      <c r="C687" s="752"/>
      <c r="D687" s="4"/>
      <c r="E687" s="752"/>
    </row>
    <row r="688" spans="2:5" ht="19.5" customHeight="1" x14ac:dyDescent="0.2">
      <c r="B688" s="752"/>
      <c r="C688" s="752"/>
      <c r="D688" s="4"/>
      <c r="E688" s="752"/>
    </row>
    <row r="689" spans="2:5" ht="19.5" customHeight="1" x14ac:dyDescent="0.2">
      <c r="B689" s="752"/>
      <c r="C689" s="752"/>
      <c r="D689" s="4"/>
      <c r="E689" s="752"/>
    </row>
    <row r="690" spans="2:5" ht="19.5" customHeight="1" x14ac:dyDescent="0.2">
      <c r="B690" s="752"/>
      <c r="C690" s="752"/>
      <c r="D690" s="4"/>
      <c r="E690" s="752"/>
    </row>
    <row r="691" spans="2:5" ht="19.5" customHeight="1" x14ac:dyDescent="0.2">
      <c r="B691" s="752"/>
      <c r="C691" s="752"/>
      <c r="D691" s="4"/>
      <c r="E691" s="752"/>
    </row>
    <row r="692" spans="2:5" ht="19.5" customHeight="1" x14ac:dyDescent="0.2">
      <c r="B692" s="752"/>
      <c r="C692" s="752"/>
      <c r="D692" s="1"/>
      <c r="E692" s="752"/>
    </row>
    <row r="693" spans="2:5" ht="19.5" customHeight="1" x14ac:dyDescent="0.2">
      <c r="D693" s="1"/>
    </row>
    <row r="694" spans="2:5" ht="19.5" customHeight="1" x14ac:dyDescent="0.2">
      <c r="D694" s="1"/>
    </row>
    <row r="695" spans="2:5" ht="19.5" customHeight="1" x14ac:dyDescent="0.2">
      <c r="D695" s="1"/>
    </row>
    <row r="696" spans="2:5" ht="19.5" customHeight="1" x14ac:dyDescent="0.2">
      <c r="D696" s="1"/>
    </row>
    <row r="697" spans="2:5" ht="19.5" customHeight="1" x14ac:dyDescent="0.2">
      <c r="D697" s="1"/>
    </row>
    <row r="698" spans="2:5" ht="19.5" customHeight="1" x14ac:dyDescent="0.2">
      <c r="D698" s="1"/>
    </row>
    <row r="699" spans="2:5" ht="19.5" customHeight="1" x14ac:dyDescent="0.2">
      <c r="D699" s="1"/>
    </row>
    <row r="700" spans="2:5" ht="19.5" customHeight="1" x14ac:dyDescent="0.2">
      <c r="D700" s="1"/>
    </row>
    <row r="701" spans="2:5" ht="19.5" customHeight="1" x14ac:dyDescent="0.2">
      <c r="D701" s="1"/>
    </row>
    <row r="702" spans="2:5" ht="19.5" customHeight="1" x14ac:dyDescent="0.2">
      <c r="D702" s="1"/>
    </row>
    <row r="703" spans="2:5" ht="19.5" customHeight="1" x14ac:dyDescent="0.2">
      <c r="D703" s="1"/>
    </row>
    <row r="704" spans="2:5" ht="19.5" customHeight="1" x14ac:dyDescent="0.2">
      <c r="D704" s="1"/>
    </row>
    <row r="705" spans="4:4" ht="19.5" customHeight="1" x14ac:dyDescent="0.2">
      <c r="D705" s="1"/>
    </row>
    <row r="706" spans="4:4" ht="19.5" customHeight="1" x14ac:dyDescent="0.2">
      <c r="D706" s="1"/>
    </row>
    <row r="707" spans="4:4" ht="19.5" customHeight="1" x14ac:dyDescent="0.2">
      <c r="D707" s="1"/>
    </row>
    <row r="708" spans="4:4" ht="19.5" customHeight="1" x14ac:dyDescent="0.2">
      <c r="D708" s="1"/>
    </row>
    <row r="709" spans="4:4" ht="19.5" customHeight="1" x14ac:dyDescent="0.2">
      <c r="D709" s="1"/>
    </row>
    <row r="710" spans="4:4" ht="19.5" customHeight="1" x14ac:dyDescent="0.2">
      <c r="D710" s="1"/>
    </row>
    <row r="711" spans="4:4" ht="19.5" customHeight="1" x14ac:dyDescent="0.2">
      <c r="D711" s="1"/>
    </row>
    <row r="712" spans="4:4" ht="19.5" customHeight="1" x14ac:dyDescent="0.2">
      <c r="D712" s="1"/>
    </row>
    <row r="713" spans="4:4" ht="19.5" customHeight="1" x14ac:dyDescent="0.2">
      <c r="D713" s="1"/>
    </row>
    <row r="714" spans="4:4" ht="19.5" customHeight="1" x14ac:dyDescent="0.2">
      <c r="D714" s="1"/>
    </row>
    <row r="715" spans="4:4" ht="19.5" customHeight="1" x14ac:dyDescent="0.2">
      <c r="D715" s="1"/>
    </row>
    <row r="716" spans="4:4" ht="19.5" customHeight="1" x14ac:dyDescent="0.2">
      <c r="D716" s="1"/>
    </row>
    <row r="717" spans="4:4" ht="19.5" customHeight="1" x14ac:dyDescent="0.2">
      <c r="D717" s="1"/>
    </row>
  </sheetData>
  <mergeCells count="5">
    <mergeCell ref="B10:B11"/>
    <mergeCell ref="B2:D2"/>
    <mergeCell ref="E2:F2"/>
    <mergeCell ref="B1:F1"/>
    <mergeCell ref="B3:F3"/>
  </mergeCells>
  <phoneticPr fontId="26" type="noConversion"/>
  <printOptions horizontalCentered="1"/>
  <pageMargins left="0.51181102362204722" right="0.51181102362204722" top="0.51181102362204722" bottom="0.51181102362204722" header="0" footer="0"/>
  <pageSetup scale="55" fitToWidth="2" fitToHeight="0" orientation="portrait" r:id="rId1"/>
  <headerFooter>
    <oddHeader>&amp;L&amp;"+,Regular"&amp;16&amp;K04+035Customer&amp;"-,Regular"&amp;K01+000 Contacts</oddHeader>
    <oddFooter>Page &amp;P of &amp;N</oddFooter>
  </headerFooter>
  <drawing r:id="rId2"/>
  <legacyDrawing r:id="rId3"/>
  <oleObjects>
    <mc:AlternateContent xmlns:mc="http://schemas.openxmlformats.org/markup-compatibility/2006">
      <mc:Choice Requires="x14">
        <oleObject progId="Word.Picture.8" shapeId="3074" r:id="rId4">
          <objectPr defaultSize="0" autoPict="0" r:id="rId5">
            <anchor moveWithCells="1" sizeWithCells="1">
              <from>
                <xdr:col>4</xdr:col>
                <xdr:colOff>704850</xdr:colOff>
                <xdr:row>1</xdr:row>
                <xdr:rowOff>19050</xdr:rowOff>
              </from>
              <to>
                <xdr:col>5</xdr:col>
                <xdr:colOff>323850</xdr:colOff>
                <xdr:row>1</xdr:row>
                <xdr:rowOff>1209675</xdr:rowOff>
              </to>
            </anchor>
          </objectPr>
        </oleObject>
      </mc:Choice>
      <mc:Fallback>
        <oleObject progId="Word.Picture.8" shapeId="3074"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FB26-2B3F-4134-84B8-48CF39F4E345}">
  <dimension ref="A1:K1827"/>
  <sheetViews>
    <sheetView workbookViewId="0">
      <selection sqref="A1:H1"/>
    </sheetView>
  </sheetViews>
  <sheetFormatPr baseColWidth="10" defaultRowHeight="14.25" x14ac:dyDescent="0.2"/>
  <cols>
    <col min="1" max="1" width="16.5703125" style="61" customWidth="1"/>
    <col min="2" max="2" width="10.28515625" style="882" customWidth="1"/>
    <col min="3" max="3" width="60.7109375" style="848" customWidth="1"/>
    <col min="4" max="4" width="9.85546875" style="61" bestFit="1" customWidth="1"/>
    <col min="5" max="5" width="8" style="858" bestFit="1" customWidth="1"/>
    <col min="6" max="6" width="17.5703125" style="261" customWidth="1"/>
    <col min="7" max="7" width="18" style="291" customWidth="1"/>
    <col min="8" max="8" width="13" style="262" bestFit="1" customWidth="1"/>
    <col min="9" max="9" width="11.42578125" style="924"/>
    <col min="10" max="229" width="11.42578125" style="820"/>
    <col min="230" max="230" width="8.5703125" style="820" customWidth="1"/>
    <col min="231" max="231" width="58.7109375" style="820" customWidth="1"/>
    <col min="232" max="232" width="10.7109375" style="820" customWidth="1"/>
    <col min="233" max="233" width="12.28515625" style="820" customWidth="1"/>
    <col min="234" max="235" width="17" style="820" bestFit="1" customWidth="1"/>
    <col min="236" max="236" width="12.5703125" style="820" customWidth="1"/>
    <col min="237" max="237" width="19.28515625" style="820" bestFit="1" customWidth="1"/>
    <col min="238" max="238" width="2.42578125" style="820" customWidth="1"/>
    <col min="239" max="239" width="17.42578125" style="820" customWidth="1"/>
    <col min="240" max="240" width="1.7109375" style="820" customWidth="1"/>
    <col min="241" max="241" width="18.28515625" style="820" customWidth="1"/>
    <col min="242" max="242" width="11.42578125" style="820"/>
    <col min="243" max="243" width="18.28515625" style="820" customWidth="1"/>
    <col min="244" max="485" width="11.42578125" style="820"/>
    <col min="486" max="486" width="8.5703125" style="820" customWidth="1"/>
    <col min="487" max="487" width="58.7109375" style="820" customWidth="1"/>
    <col min="488" max="488" width="10.7109375" style="820" customWidth="1"/>
    <col min="489" max="489" width="12.28515625" style="820" customWidth="1"/>
    <col min="490" max="491" width="17" style="820" bestFit="1" customWidth="1"/>
    <col min="492" max="492" width="12.5703125" style="820" customWidth="1"/>
    <col min="493" max="493" width="19.28515625" style="820" bestFit="1" customWidth="1"/>
    <col min="494" max="494" width="2.42578125" style="820" customWidth="1"/>
    <col min="495" max="495" width="17.42578125" style="820" customWidth="1"/>
    <col min="496" max="496" width="1.7109375" style="820" customWidth="1"/>
    <col min="497" max="497" width="18.28515625" style="820" customWidth="1"/>
    <col min="498" max="498" width="11.42578125" style="820"/>
    <col min="499" max="499" width="18.28515625" style="820" customWidth="1"/>
    <col min="500" max="741" width="11.42578125" style="820"/>
    <col min="742" max="742" width="8.5703125" style="820" customWidth="1"/>
    <col min="743" max="743" width="58.7109375" style="820" customWidth="1"/>
    <col min="744" max="744" width="10.7109375" style="820" customWidth="1"/>
    <col min="745" max="745" width="12.28515625" style="820" customWidth="1"/>
    <col min="746" max="747" width="17" style="820" bestFit="1" customWidth="1"/>
    <col min="748" max="748" width="12.5703125" style="820" customWidth="1"/>
    <col min="749" max="749" width="19.28515625" style="820" bestFit="1" customWidth="1"/>
    <col min="750" max="750" width="2.42578125" style="820" customWidth="1"/>
    <col min="751" max="751" width="17.42578125" style="820" customWidth="1"/>
    <col min="752" max="752" width="1.7109375" style="820" customWidth="1"/>
    <col min="753" max="753" width="18.28515625" style="820" customWidth="1"/>
    <col min="754" max="754" width="11.42578125" style="820"/>
    <col min="755" max="755" width="18.28515625" style="820" customWidth="1"/>
    <col min="756" max="997" width="11.42578125" style="820"/>
    <col min="998" max="998" width="8.5703125" style="820" customWidth="1"/>
    <col min="999" max="999" width="58.7109375" style="820" customWidth="1"/>
    <col min="1000" max="1000" width="10.7109375" style="820" customWidth="1"/>
    <col min="1001" max="1001" width="12.28515625" style="820" customWidth="1"/>
    <col min="1002" max="1003" width="17" style="820" bestFit="1" customWidth="1"/>
    <col min="1004" max="1004" width="12.5703125" style="820" customWidth="1"/>
    <col min="1005" max="1005" width="19.28515625" style="820" bestFit="1" customWidth="1"/>
    <col min="1006" max="1006" width="2.42578125" style="820" customWidth="1"/>
    <col min="1007" max="1007" width="17.42578125" style="820" customWidth="1"/>
    <col min="1008" max="1008" width="1.7109375" style="820" customWidth="1"/>
    <col min="1009" max="1009" width="18.28515625" style="820" customWidth="1"/>
    <col min="1010" max="1010" width="11.42578125" style="820"/>
    <col min="1011" max="1011" width="18.28515625" style="820" customWidth="1"/>
    <col min="1012" max="1253" width="11.42578125" style="820"/>
    <col min="1254" max="1254" width="8.5703125" style="820" customWidth="1"/>
    <col min="1255" max="1255" width="58.7109375" style="820" customWidth="1"/>
    <col min="1256" max="1256" width="10.7109375" style="820" customWidth="1"/>
    <col min="1257" max="1257" width="12.28515625" style="820" customWidth="1"/>
    <col min="1258" max="1259" width="17" style="820" bestFit="1" customWidth="1"/>
    <col min="1260" max="1260" width="12.5703125" style="820" customWidth="1"/>
    <col min="1261" max="1261" width="19.28515625" style="820" bestFit="1" customWidth="1"/>
    <col min="1262" max="1262" width="2.42578125" style="820" customWidth="1"/>
    <col min="1263" max="1263" width="17.42578125" style="820" customWidth="1"/>
    <col min="1264" max="1264" width="1.7109375" style="820" customWidth="1"/>
    <col min="1265" max="1265" width="18.28515625" style="820" customWidth="1"/>
    <col min="1266" max="1266" width="11.42578125" style="820"/>
    <col min="1267" max="1267" width="18.28515625" style="820" customWidth="1"/>
    <col min="1268" max="1509" width="11.42578125" style="820"/>
    <col min="1510" max="1510" width="8.5703125" style="820" customWidth="1"/>
    <col min="1511" max="1511" width="58.7109375" style="820" customWidth="1"/>
    <col min="1512" max="1512" width="10.7109375" style="820" customWidth="1"/>
    <col min="1513" max="1513" width="12.28515625" style="820" customWidth="1"/>
    <col min="1514" max="1515" width="17" style="820" bestFit="1" customWidth="1"/>
    <col min="1516" max="1516" width="12.5703125" style="820" customWidth="1"/>
    <col min="1517" max="1517" width="19.28515625" style="820" bestFit="1" customWidth="1"/>
    <col min="1518" max="1518" width="2.42578125" style="820" customWidth="1"/>
    <col min="1519" max="1519" width="17.42578125" style="820" customWidth="1"/>
    <col min="1520" max="1520" width="1.7109375" style="820" customWidth="1"/>
    <col min="1521" max="1521" width="18.28515625" style="820" customWidth="1"/>
    <col min="1522" max="1522" width="11.42578125" style="820"/>
    <col min="1523" max="1523" width="18.28515625" style="820" customWidth="1"/>
    <col min="1524" max="1765" width="11.42578125" style="820"/>
    <col min="1766" max="1766" width="8.5703125" style="820" customWidth="1"/>
    <col min="1767" max="1767" width="58.7109375" style="820" customWidth="1"/>
    <col min="1768" max="1768" width="10.7109375" style="820" customWidth="1"/>
    <col min="1769" max="1769" width="12.28515625" style="820" customWidth="1"/>
    <col min="1770" max="1771" width="17" style="820" bestFit="1" customWidth="1"/>
    <col min="1772" max="1772" width="12.5703125" style="820" customWidth="1"/>
    <col min="1773" max="1773" width="19.28515625" style="820" bestFit="1" customWidth="1"/>
    <col min="1774" max="1774" width="2.42578125" style="820" customWidth="1"/>
    <col min="1775" max="1775" width="17.42578125" style="820" customWidth="1"/>
    <col min="1776" max="1776" width="1.7109375" style="820" customWidth="1"/>
    <col min="1777" max="1777" width="18.28515625" style="820" customWidth="1"/>
    <col min="1778" max="1778" width="11.42578125" style="820"/>
    <col min="1779" max="1779" width="18.28515625" style="820" customWidth="1"/>
    <col min="1780" max="2021" width="11.42578125" style="820"/>
    <col min="2022" max="2022" width="8.5703125" style="820" customWidth="1"/>
    <col min="2023" max="2023" width="58.7109375" style="820" customWidth="1"/>
    <col min="2024" max="2024" width="10.7109375" style="820" customWidth="1"/>
    <col min="2025" max="2025" width="12.28515625" style="820" customWidth="1"/>
    <col min="2026" max="2027" width="17" style="820" bestFit="1" customWidth="1"/>
    <col min="2028" max="2028" width="12.5703125" style="820" customWidth="1"/>
    <col min="2029" max="2029" width="19.28515625" style="820" bestFit="1" customWidth="1"/>
    <col min="2030" max="2030" width="2.42578125" style="820" customWidth="1"/>
    <col min="2031" max="2031" width="17.42578125" style="820" customWidth="1"/>
    <col min="2032" max="2032" width="1.7109375" style="820" customWidth="1"/>
    <col min="2033" max="2033" width="18.28515625" style="820" customWidth="1"/>
    <col min="2034" max="2034" width="11.42578125" style="820"/>
    <col min="2035" max="2035" width="18.28515625" style="820" customWidth="1"/>
    <col min="2036" max="2277" width="11.42578125" style="820"/>
    <col min="2278" max="2278" width="8.5703125" style="820" customWidth="1"/>
    <col min="2279" max="2279" width="58.7109375" style="820" customWidth="1"/>
    <col min="2280" max="2280" width="10.7109375" style="820" customWidth="1"/>
    <col min="2281" max="2281" width="12.28515625" style="820" customWidth="1"/>
    <col min="2282" max="2283" width="17" style="820" bestFit="1" customWidth="1"/>
    <col min="2284" max="2284" width="12.5703125" style="820" customWidth="1"/>
    <col min="2285" max="2285" width="19.28515625" style="820" bestFit="1" customWidth="1"/>
    <col min="2286" max="2286" width="2.42578125" style="820" customWidth="1"/>
    <col min="2287" max="2287" width="17.42578125" style="820" customWidth="1"/>
    <col min="2288" max="2288" width="1.7109375" style="820" customWidth="1"/>
    <col min="2289" max="2289" width="18.28515625" style="820" customWidth="1"/>
    <col min="2290" max="2290" width="11.42578125" style="820"/>
    <col min="2291" max="2291" width="18.28515625" style="820" customWidth="1"/>
    <col min="2292" max="2533" width="11.42578125" style="820"/>
    <col min="2534" max="2534" width="8.5703125" style="820" customWidth="1"/>
    <col min="2535" max="2535" width="58.7109375" style="820" customWidth="1"/>
    <col min="2536" max="2536" width="10.7109375" style="820" customWidth="1"/>
    <col min="2537" max="2537" width="12.28515625" style="820" customWidth="1"/>
    <col min="2538" max="2539" width="17" style="820" bestFit="1" customWidth="1"/>
    <col min="2540" max="2540" width="12.5703125" style="820" customWidth="1"/>
    <col min="2541" max="2541" width="19.28515625" style="820" bestFit="1" customWidth="1"/>
    <col min="2542" max="2542" width="2.42578125" style="820" customWidth="1"/>
    <col min="2543" max="2543" width="17.42578125" style="820" customWidth="1"/>
    <col min="2544" max="2544" width="1.7109375" style="820" customWidth="1"/>
    <col min="2545" max="2545" width="18.28515625" style="820" customWidth="1"/>
    <col min="2546" max="2546" width="11.42578125" style="820"/>
    <col min="2547" max="2547" width="18.28515625" style="820" customWidth="1"/>
    <col min="2548" max="2789" width="11.42578125" style="820"/>
    <col min="2790" max="2790" width="8.5703125" style="820" customWidth="1"/>
    <col min="2791" max="2791" width="58.7109375" style="820" customWidth="1"/>
    <col min="2792" max="2792" width="10.7109375" style="820" customWidth="1"/>
    <col min="2793" max="2793" width="12.28515625" style="820" customWidth="1"/>
    <col min="2794" max="2795" width="17" style="820" bestFit="1" customWidth="1"/>
    <col min="2796" max="2796" width="12.5703125" style="820" customWidth="1"/>
    <col min="2797" max="2797" width="19.28515625" style="820" bestFit="1" customWidth="1"/>
    <col min="2798" max="2798" width="2.42578125" style="820" customWidth="1"/>
    <col min="2799" max="2799" width="17.42578125" style="820" customWidth="1"/>
    <col min="2800" max="2800" width="1.7109375" style="820" customWidth="1"/>
    <col min="2801" max="2801" width="18.28515625" style="820" customWidth="1"/>
    <col min="2802" max="2802" width="11.42578125" style="820"/>
    <col min="2803" max="2803" width="18.28515625" style="820" customWidth="1"/>
    <col min="2804" max="3045" width="11.42578125" style="820"/>
    <col min="3046" max="3046" width="8.5703125" style="820" customWidth="1"/>
    <col min="3047" max="3047" width="58.7109375" style="820" customWidth="1"/>
    <col min="3048" max="3048" width="10.7109375" style="820" customWidth="1"/>
    <col min="3049" max="3049" width="12.28515625" style="820" customWidth="1"/>
    <col min="3050" max="3051" width="17" style="820" bestFit="1" customWidth="1"/>
    <col min="3052" max="3052" width="12.5703125" style="820" customWidth="1"/>
    <col min="3053" max="3053" width="19.28515625" style="820" bestFit="1" customWidth="1"/>
    <col min="3054" max="3054" width="2.42578125" style="820" customWidth="1"/>
    <col min="3055" max="3055" width="17.42578125" style="820" customWidth="1"/>
    <col min="3056" max="3056" width="1.7109375" style="820" customWidth="1"/>
    <col min="3057" max="3057" width="18.28515625" style="820" customWidth="1"/>
    <col min="3058" max="3058" width="11.42578125" style="820"/>
    <col min="3059" max="3059" width="18.28515625" style="820" customWidth="1"/>
    <col min="3060" max="3301" width="11.42578125" style="820"/>
    <col min="3302" max="3302" width="8.5703125" style="820" customWidth="1"/>
    <col min="3303" max="3303" width="58.7109375" style="820" customWidth="1"/>
    <col min="3304" max="3304" width="10.7109375" style="820" customWidth="1"/>
    <col min="3305" max="3305" width="12.28515625" style="820" customWidth="1"/>
    <col min="3306" max="3307" width="17" style="820" bestFit="1" customWidth="1"/>
    <col min="3308" max="3308" width="12.5703125" style="820" customWidth="1"/>
    <col min="3309" max="3309" width="19.28515625" style="820" bestFit="1" customWidth="1"/>
    <col min="3310" max="3310" width="2.42578125" style="820" customWidth="1"/>
    <col min="3311" max="3311" width="17.42578125" style="820" customWidth="1"/>
    <col min="3312" max="3312" width="1.7109375" style="820" customWidth="1"/>
    <col min="3313" max="3313" width="18.28515625" style="820" customWidth="1"/>
    <col min="3314" max="3314" width="11.42578125" style="820"/>
    <col min="3315" max="3315" width="18.28515625" style="820" customWidth="1"/>
    <col min="3316" max="3557" width="11.42578125" style="820"/>
    <col min="3558" max="3558" width="8.5703125" style="820" customWidth="1"/>
    <col min="3559" max="3559" width="58.7109375" style="820" customWidth="1"/>
    <col min="3560" max="3560" width="10.7109375" style="820" customWidth="1"/>
    <col min="3561" max="3561" width="12.28515625" style="820" customWidth="1"/>
    <col min="3562" max="3563" width="17" style="820" bestFit="1" customWidth="1"/>
    <col min="3564" max="3564" width="12.5703125" style="820" customWidth="1"/>
    <col min="3565" max="3565" width="19.28515625" style="820" bestFit="1" customWidth="1"/>
    <col min="3566" max="3566" width="2.42578125" style="820" customWidth="1"/>
    <col min="3567" max="3567" width="17.42578125" style="820" customWidth="1"/>
    <col min="3568" max="3568" width="1.7109375" style="820" customWidth="1"/>
    <col min="3569" max="3569" width="18.28515625" style="820" customWidth="1"/>
    <col min="3570" max="3570" width="11.42578125" style="820"/>
    <col min="3571" max="3571" width="18.28515625" style="820" customWidth="1"/>
    <col min="3572" max="3813" width="11.42578125" style="820"/>
    <col min="3814" max="3814" width="8.5703125" style="820" customWidth="1"/>
    <col min="3815" max="3815" width="58.7109375" style="820" customWidth="1"/>
    <col min="3816" max="3816" width="10.7109375" style="820" customWidth="1"/>
    <col min="3817" max="3817" width="12.28515625" style="820" customWidth="1"/>
    <col min="3818" max="3819" width="17" style="820" bestFit="1" customWidth="1"/>
    <col min="3820" max="3820" width="12.5703125" style="820" customWidth="1"/>
    <col min="3821" max="3821" width="19.28515625" style="820" bestFit="1" customWidth="1"/>
    <col min="3822" max="3822" width="2.42578125" style="820" customWidth="1"/>
    <col min="3823" max="3823" width="17.42578125" style="820" customWidth="1"/>
    <col min="3824" max="3824" width="1.7109375" style="820" customWidth="1"/>
    <col min="3825" max="3825" width="18.28515625" style="820" customWidth="1"/>
    <col min="3826" max="3826" width="11.42578125" style="820"/>
    <col min="3827" max="3827" width="18.28515625" style="820" customWidth="1"/>
    <col min="3828" max="4069" width="11.42578125" style="820"/>
    <col min="4070" max="4070" width="8.5703125" style="820" customWidth="1"/>
    <col min="4071" max="4071" width="58.7109375" style="820" customWidth="1"/>
    <col min="4072" max="4072" width="10.7109375" style="820" customWidth="1"/>
    <col min="4073" max="4073" width="12.28515625" style="820" customWidth="1"/>
    <col min="4074" max="4075" width="17" style="820" bestFit="1" customWidth="1"/>
    <col min="4076" max="4076" width="12.5703125" style="820" customWidth="1"/>
    <col min="4077" max="4077" width="19.28515625" style="820" bestFit="1" customWidth="1"/>
    <col min="4078" max="4078" width="2.42578125" style="820" customWidth="1"/>
    <col min="4079" max="4079" width="17.42578125" style="820" customWidth="1"/>
    <col min="4080" max="4080" width="1.7109375" style="820" customWidth="1"/>
    <col min="4081" max="4081" width="18.28515625" style="820" customWidth="1"/>
    <col min="4082" max="4082" width="11.42578125" style="820"/>
    <col min="4083" max="4083" width="18.28515625" style="820" customWidth="1"/>
    <col min="4084" max="4325" width="11.42578125" style="820"/>
    <col min="4326" max="4326" width="8.5703125" style="820" customWidth="1"/>
    <col min="4327" max="4327" width="58.7109375" style="820" customWidth="1"/>
    <col min="4328" max="4328" width="10.7109375" style="820" customWidth="1"/>
    <col min="4329" max="4329" width="12.28515625" style="820" customWidth="1"/>
    <col min="4330" max="4331" width="17" style="820" bestFit="1" customWidth="1"/>
    <col min="4332" max="4332" width="12.5703125" style="820" customWidth="1"/>
    <col min="4333" max="4333" width="19.28515625" style="820" bestFit="1" customWidth="1"/>
    <col min="4334" max="4334" width="2.42578125" style="820" customWidth="1"/>
    <col min="4335" max="4335" width="17.42578125" style="820" customWidth="1"/>
    <col min="4336" max="4336" width="1.7109375" style="820" customWidth="1"/>
    <col min="4337" max="4337" width="18.28515625" style="820" customWidth="1"/>
    <col min="4338" max="4338" width="11.42578125" style="820"/>
    <col min="4339" max="4339" width="18.28515625" style="820" customWidth="1"/>
    <col min="4340" max="4581" width="11.42578125" style="820"/>
    <col min="4582" max="4582" width="8.5703125" style="820" customWidth="1"/>
    <col min="4583" max="4583" width="58.7109375" style="820" customWidth="1"/>
    <col min="4584" max="4584" width="10.7109375" style="820" customWidth="1"/>
    <col min="4585" max="4585" width="12.28515625" style="820" customWidth="1"/>
    <col min="4586" max="4587" width="17" style="820" bestFit="1" customWidth="1"/>
    <col min="4588" max="4588" width="12.5703125" style="820" customWidth="1"/>
    <col min="4589" max="4589" width="19.28515625" style="820" bestFit="1" customWidth="1"/>
    <col min="4590" max="4590" width="2.42578125" style="820" customWidth="1"/>
    <col min="4591" max="4591" width="17.42578125" style="820" customWidth="1"/>
    <col min="4592" max="4592" width="1.7109375" style="820" customWidth="1"/>
    <col min="4593" max="4593" width="18.28515625" style="820" customWidth="1"/>
    <col min="4594" max="4594" width="11.42578125" style="820"/>
    <col min="4595" max="4595" width="18.28515625" style="820" customWidth="1"/>
    <col min="4596" max="4837" width="11.42578125" style="820"/>
    <col min="4838" max="4838" width="8.5703125" style="820" customWidth="1"/>
    <col min="4839" max="4839" width="58.7109375" style="820" customWidth="1"/>
    <col min="4840" max="4840" width="10.7109375" style="820" customWidth="1"/>
    <col min="4841" max="4841" width="12.28515625" style="820" customWidth="1"/>
    <col min="4842" max="4843" width="17" style="820" bestFit="1" customWidth="1"/>
    <col min="4844" max="4844" width="12.5703125" style="820" customWidth="1"/>
    <col min="4845" max="4845" width="19.28515625" style="820" bestFit="1" customWidth="1"/>
    <col min="4846" max="4846" width="2.42578125" style="820" customWidth="1"/>
    <col min="4847" max="4847" width="17.42578125" style="820" customWidth="1"/>
    <col min="4848" max="4848" width="1.7109375" style="820" customWidth="1"/>
    <col min="4849" max="4849" width="18.28515625" style="820" customWidth="1"/>
    <col min="4850" max="4850" width="11.42578125" style="820"/>
    <col min="4851" max="4851" width="18.28515625" style="820" customWidth="1"/>
    <col min="4852" max="5093" width="11.42578125" style="820"/>
    <col min="5094" max="5094" width="8.5703125" style="820" customWidth="1"/>
    <col min="5095" max="5095" width="58.7109375" style="820" customWidth="1"/>
    <col min="5096" max="5096" width="10.7109375" style="820" customWidth="1"/>
    <col min="5097" max="5097" width="12.28515625" style="820" customWidth="1"/>
    <col min="5098" max="5099" width="17" style="820" bestFit="1" customWidth="1"/>
    <col min="5100" max="5100" width="12.5703125" style="820" customWidth="1"/>
    <col min="5101" max="5101" width="19.28515625" style="820" bestFit="1" customWidth="1"/>
    <col min="5102" max="5102" width="2.42578125" style="820" customWidth="1"/>
    <col min="5103" max="5103" width="17.42578125" style="820" customWidth="1"/>
    <col min="5104" max="5104" width="1.7109375" style="820" customWidth="1"/>
    <col min="5105" max="5105" width="18.28515625" style="820" customWidth="1"/>
    <col min="5106" max="5106" width="11.42578125" style="820"/>
    <col min="5107" max="5107" width="18.28515625" style="820" customWidth="1"/>
    <col min="5108" max="5349" width="11.42578125" style="820"/>
    <col min="5350" max="5350" width="8.5703125" style="820" customWidth="1"/>
    <col min="5351" max="5351" width="58.7109375" style="820" customWidth="1"/>
    <col min="5352" max="5352" width="10.7109375" style="820" customWidth="1"/>
    <col min="5353" max="5353" width="12.28515625" style="820" customWidth="1"/>
    <col min="5354" max="5355" width="17" style="820" bestFit="1" customWidth="1"/>
    <col min="5356" max="5356" width="12.5703125" style="820" customWidth="1"/>
    <col min="5357" max="5357" width="19.28515625" style="820" bestFit="1" customWidth="1"/>
    <col min="5358" max="5358" width="2.42578125" style="820" customWidth="1"/>
    <col min="5359" max="5359" width="17.42578125" style="820" customWidth="1"/>
    <col min="5360" max="5360" width="1.7109375" style="820" customWidth="1"/>
    <col min="5361" max="5361" width="18.28515625" style="820" customWidth="1"/>
    <col min="5362" max="5362" width="11.42578125" style="820"/>
    <col min="5363" max="5363" width="18.28515625" style="820" customWidth="1"/>
    <col min="5364" max="5605" width="11.42578125" style="820"/>
    <col min="5606" max="5606" width="8.5703125" style="820" customWidth="1"/>
    <col min="5607" max="5607" width="58.7109375" style="820" customWidth="1"/>
    <col min="5608" max="5608" width="10.7109375" style="820" customWidth="1"/>
    <col min="5609" max="5609" width="12.28515625" style="820" customWidth="1"/>
    <col min="5610" max="5611" width="17" style="820" bestFit="1" customWidth="1"/>
    <col min="5612" max="5612" width="12.5703125" style="820" customWidth="1"/>
    <col min="5613" max="5613" width="19.28515625" style="820" bestFit="1" customWidth="1"/>
    <col min="5614" max="5614" width="2.42578125" style="820" customWidth="1"/>
    <col min="5615" max="5615" width="17.42578125" style="820" customWidth="1"/>
    <col min="5616" max="5616" width="1.7109375" style="820" customWidth="1"/>
    <col min="5617" max="5617" width="18.28515625" style="820" customWidth="1"/>
    <col min="5618" max="5618" width="11.42578125" style="820"/>
    <col min="5619" max="5619" width="18.28515625" style="820" customWidth="1"/>
    <col min="5620" max="5861" width="11.42578125" style="820"/>
    <col min="5862" max="5862" width="8.5703125" style="820" customWidth="1"/>
    <col min="5863" max="5863" width="58.7109375" style="820" customWidth="1"/>
    <col min="5864" max="5864" width="10.7109375" style="820" customWidth="1"/>
    <col min="5865" max="5865" width="12.28515625" style="820" customWidth="1"/>
    <col min="5866" max="5867" width="17" style="820" bestFit="1" customWidth="1"/>
    <col min="5868" max="5868" width="12.5703125" style="820" customWidth="1"/>
    <col min="5869" max="5869" width="19.28515625" style="820" bestFit="1" customWidth="1"/>
    <col min="5870" max="5870" width="2.42578125" style="820" customWidth="1"/>
    <col min="5871" max="5871" width="17.42578125" style="820" customWidth="1"/>
    <col min="5872" max="5872" width="1.7109375" style="820" customWidth="1"/>
    <col min="5873" max="5873" width="18.28515625" style="820" customWidth="1"/>
    <col min="5874" max="5874" width="11.42578125" style="820"/>
    <col min="5875" max="5875" width="18.28515625" style="820" customWidth="1"/>
    <col min="5876" max="6117" width="11.42578125" style="820"/>
    <col min="6118" max="6118" width="8.5703125" style="820" customWidth="1"/>
    <col min="6119" max="6119" width="58.7109375" style="820" customWidth="1"/>
    <col min="6120" max="6120" width="10.7109375" style="820" customWidth="1"/>
    <col min="6121" max="6121" width="12.28515625" style="820" customWidth="1"/>
    <col min="6122" max="6123" width="17" style="820" bestFit="1" customWidth="1"/>
    <col min="6124" max="6124" width="12.5703125" style="820" customWidth="1"/>
    <col min="6125" max="6125" width="19.28515625" style="820" bestFit="1" customWidth="1"/>
    <col min="6126" max="6126" width="2.42578125" style="820" customWidth="1"/>
    <col min="6127" max="6127" width="17.42578125" style="820" customWidth="1"/>
    <col min="6128" max="6128" width="1.7109375" style="820" customWidth="1"/>
    <col min="6129" max="6129" width="18.28515625" style="820" customWidth="1"/>
    <col min="6130" max="6130" width="11.42578125" style="820"/>
    <col min="6131" max="6131" width="18.28515625" style="820" customWidth="1"/>
    <col min="6132" max="6373" width="11.42578125" style="820"/>
    <col min="6374" max="6374" width="8.5703125" style="820" customWidth="1"/>
    <col min="6375" max="6375" width="58.7109375" style="820" customWidth="1"/>
    <col min="6376" max="6376" width="10.7109375" style="820" customWidth="1"/>
    <col min="6377" max="6377" width="12.28515625" style="820" customWidth="1"/>
    <col min="6378" max="6379" width="17" style="820" bestFit="1" customWidth="1"/>
    <col min="6380" max="6380" width="12.5703125" style="820" customWidth="1"/>
    <col min="6381" max="6381" width="19.28515625" style="820" bestFit="1" customWidth="1"/>
    <col min="6382" max="6382" width="2.42578125" style="820" customWidth="1"/>
    <col min="6383" max="6383" width="17.42578125" style="820" customWidth="1"/>
    <col min="6384" max="6384" width="1.7109375" style="820" customWidth="1"/>
    <col min="6385" max="6385" width="18.28515625" style="820" customWidth="1"/>
    <col min="6386" max="6386" width="11.42578125" style="820"/>
    <col min="6387" max="6387" width="18.28515625" style="820" customWidth="1"/>
    <col min="6388" max="6629" width="11.42578125" style="820"/>
    <col min="6630" max="6630" width="8.5703125" style="820" customWidth="1"/>
    <col min="6631" max="6631" width="58.7109375" style="820" customWidth="1"/>
    <col min="6632" max="6632" width="10.7109375" style="820" customWidth="1"/>
    <col min="6633" max="6633" width="12.28515625" style="820" customWidth="1"/>
    <col min="6634" max="6635" width="17" style="820" bestFit="1" customWidth="1"/>
    <col min="6636" max="6636" width="12.5703125" style="820" customWidth="1"/>
    <col min="6637" max="6637" width="19.28515625" style="820" bestFit="1" customWidth="1"/>
    <col min="6638" max="6638" width="2.42578125" style="820" customWidth="1"/>
    <col min="6639" max="6639" width="17.42578125" style="820" customWidth="1"/>
    <col min="6640" max="6640" width="1.7109375" style="820" customWidth="1"/>
    <col min="6641" max="6641" width="18.28515625" style="820" customWidth="1"/>
    <col min="6642" max="6642" width="11.42578125" style="820"/>
    <col min="6643" max="6643" width="18.28515625" style="820" customWidth="1"/>
    <col min="6644" max="6885" width="11.42578125" style="820"/>
    <col min="6886" max="6886" width="8.5703125" style="820" customWidth="1"/>
    <col min="6887" max="6887" width="58.7109375" style="820" customWidth="1"/>
    <col min="6888" max="6888" width="10.7109375" style="820" customWidth="1"/>
    <col min="6889" max="6889" width="12.28515625" style="820" customWidth="1"/>
    <col min="6890" max="6891" width="17" style="820" bestFit="1" customWidth="1"/>
    <col min="6892" max="6892" width="12.5703125" style="820" customWidth="1"/>
    <col min="6893" max="6893" width="19.28515625" style="820" bestFit="1" customWidth="1"/>
    <col min="6894" max="6894" width="2.42578125" style="820" customWidth="1"/>
    <col min="6895" max="6895" width="17.42578125" style="820" customWidth="1"/>
    <col min="6896" max="6896" width="1.7109375" style="820" customWidth="1"/>
    <col min="6897" max="6897" width="18.28515625" style="820" customWidth="1"/>
    <col min="6898" max="6898" width="11.42578125" style="820"/>
    <col min="6899" max="6899" width="18.28515625" style="820" customWidth="1"/>
    <col min="6900" max="7141" width="11.42578125" style="820"/>
    <col min="7142" max="7142" width="8.5703125" style="820" customWidth="1"/>
    <col min="7143" max="7143" width="58.7109375" style="820" customWidth="1"/>
    <col min="7144" max="7144" width="10.7109375" style="820" customWidth="1"/>
    <col min="7145" max="7145" width="12.28515625" style="820" customWidth="1"/>
    <col min="7146" max="7147" width="17" style="820" bestFit="1" customWidth="1"/>
    <col min="7148" max="7148" width="12.5703125" style="820" customWidth="1"/>
    <col min="7149" max="7149" width="19.28515625" style="820" bestFit="1" customWidth="1"/>
    <col min="7150" max="7150" width="2.42578125" style="820" customWidth="1"/>
    <col min="7151" max="7151" width="17.42578125" style="820" customWidth="1"/>
    <col min="7152" max="7152" width="1.7109375" style="820" customWidth="1"/>
    <col min="7153" max="7153" width="18.28515625" style="820" customWidth="1"/>
    <col min="7154" max="7154" width="11.42578125" style="820"/>
    <col min="7155" max="7155" width="18.28515625" style="820" customWidth="1"/>
    <col min="7156" max="7397" width="11.42578125" style="820"/>
    <col min="7398" max="7398" width="8.5703125" style="820" customWidth="1"/>
    <col min="7399" max="7399" width="58.7109375" style="820" customWidth="1"/>
    <col min="7400" max="7400" width="10.7109375" style="820" customWidth="1"/>
    <col min="7401" max="7401" width="12.28515625" style="820" customWidth="1"/>
    <col min="7402" max="7403" width="17" style="820" bestFit="1" customWidth="1"/>
    <col min="7404" max="7404" width="12.5703125" style="820" customWidth="1"/>
    <col min="7405" max="7405" width="19.28515625" style="820" bestFit="1" customWidth="1"/>
    <col min="7406" max="7406" width="2.42578125" style="820" customWidth="1"/>
    <col min="7407" max="7407" width="17.42578125" style="820" customWidth="1"/>
    <col min="7408" max="7408" width="1.7109375" style="820" customWidth="1"/>
    <col min="7409" max="7409" width="18.28515625" style="820" customWidth="1"/>
    <col min="7410" max="7410" width="11.42578125" style="820"/>
    <col min="7411" max="7411" width="18.28515625" style="820" customWidth="1"/>
    <col min="7412" max="7653" width="11.42578125" style="820"/>
    <col min="7654" max="7654" width="8.5703125" style="820" customWidth="1"/>
    <col min="7655" max="7655" width="58.7109375" style="820" customWidth="1"/>
    <col min="7656" max="7656" width="10.7109375" style="820" customWidth="1"/>
    <col min="7657" max="7657" width="12.28515625" style="820" customWidth="1"/>
    <col min="7658" max="7659" width="17" style="820" bestFit="1" customWidth="1"/>
    <col min="7660" max="7660" width="12.5703125" style="820" customWidth="1"/>
    <col min="7661" max="7661" width="19.28515625" style="820" bestFit="1" customWidth="1"/>
    <col min="7662" max="7662" width="2.42578125" style="820" customWidth="1"/>
    <col min="7663" max="7663" width="17.42578125" style="820" customWidth="1"/>
    <col min="7664" max="7664" width="1.7109375" style="820" customWidth="1"/>
    <col min="7665" max="7665" width="18.28515625" style="820" customWidth="1"/>
    <col min="7666" max="7666" width="11.42578125" style="820"/>
    <col min="7667" max="7667" width="18.28515625" style="820" customWidth="1"/>
    <col min="7668" max="7909" width="11.42578125" style="820"/>
    <col min="7910" max="7910" width="8.5703125" style="820" customWidth="1"/>
    <col min="7911" max="7911" width="58.7109375" style="820" customWidth="1"/>
    <col min="7912" max="7912" width="10.7109375" style="820" customWidth="1"/>
    <col min="7913" max="7913" width="12.28515625" style="820" customWidth="1"/>
    <col min="7914" max="7915" width="17" style="820" bestFit="1" customWidth="1"/>
    <col min="7916" max="7916" width="12.5703125" style="820" customWidth="1"/>
    <col min="7917" max="7917" width="19.28515625" style="820" bestFit="1" customWidth="1"/>
    <col min="7918" max="7918" width="2.42578125" style="820" customWidth="1"/>
    <col min="7919" max="7919" width="17.42578125" style="820" customWidth="1"/>
    <col min="7920" max="7920" width="1.7109375" style="820" customWidth="1"/>
    <col min="7921" max="7921" width="18.28515625" style="820" customWidth="1"/>
    <col min="7922" max="7922" width="11.42578125" style="820"/>
    <col min="7923" max="7923" width="18.28515625" style="820" customWidth="1"/>
    <col min="7924" max="8165" width="11.42578125" style="820"/>
    <col min="8166" max="8166" width="8.5703125" style="820" customWidth="1"/>
    <col min="8167" max="8167" width="58.7109375" style="820" customWidth="1"/>
    <col min="8168" max="8168" width="10.7109375" style="820" customWidth="1"/>
    <col min="8169" max="8169" width="12.28515625" style="820" customWidth="1"/>
    <col min="8170" max="8171" width="17" style="820" bestFit="1" customWidth="1"/>
    <col min="8172" max="8172" width="12.5703125" style="820" customWidth="1"/>
    <col min="8173" max="8173" width="19.28515625" style="820" bestFit="1" customWidth="1"/>
    <col min="8174" max="8174" width="2.42578125" style="820" customWidth="1"/>
    <col min="8175" max="8175" width="17.42578125" style="820" customWidth="1"/>
    <col min="8176" max="8176" width="1.7109375" style="820" customWidth="1"/>
    <col min="8177" max="8177" width="18.28515625" style="820" customWidth="1"/>
    <col min="8178" max="8178" width="11.42578125" style="820"/>
    <col min="8179" max="8179" width="18.28515625" style="820" customWidth="1"/>
    <col min="8180" max="8421" width="11.42578125" style="820"/>
    <col min="8422" max="8422" width="8.5703125" style="820" customWidth="1"/>
    <col min="8423" max="8423" width="58.7109375" style="820" customWidth="1"/>
    <col min="8424" max="8424" width="10.7109375" style="820" customWidth="1"/>
    <col min="8425" max="8425" width="12.28515625" style="820" customWidth="1"/>
    <col min="8426" max="8427" width="17" style="820" bestFit="1" customWidth="1"/>
    <col min="8428" max="8428" width="12.5703125" style="820" customWidth="1"/>
    <col min="8429" max="8429" width="19.28515625" style="820" bestFit="1" customWidth="1"/>
    <col min="8430" max="8430" width="2.42578125" style="820" customWidth="1"/>
    <col min="8431" max="8431" width="17.42578125" style="820" customWidth="1"/>
    <col min="8432" max="8432" width="1.7109375" style="820" customWidth="1"/>
    <col min="8433" max="8433" width="18.28515625" style="820" customWidth="1"/>
    <col min="8434" max="8434" width="11.42578125" style="820"/>
    <col min="8435" max="8435" width="18.28515625" style="820" customWidth="1"/>
    <col min="8436" max="8677" width="11.42578125" style="820"/>
    <col min="8678" max="8678" width="8.5703125" style="820" customWidth="1"/>
    <col min="8679" max="8679" width="58.7109375" style="820" customWidth="1"/>
    <col min="8680" max="8680" width="10.7109375" style="820" customWidth="1"/>
    <col min="8681" max="8681" width="12.28515625" style="820" customWidth="1"/>
    <col min="8682" max="8683" width="17" style="820" bestFit="1" customWidth="1"/>
    <col min="8684" max="8684" width="12.5703125" style="820" customWidth="1"/>
    <col min="8685" max="8685" width="19.28515625" style="820" bestFit="1" customWidth="1"/>
    <col min="8686" max="8686" width="2.42578125" style="820" customWidth="1"/>
    <col min="8687" max="8687" width="17.42578125" style="820" customWidth="1"/>
    <col min="8688" max="8688" width="1.7109375" style="820" customWidth="1"/>
    <col min="8689" max="8689" width="18.28515625" style="820" customWidth="1"/>
    <col min="8690" max="8690" width="11.42578125" style="820"/>
    <col min="8691" max="8691" width="18.28515625" style="820" customWidth="1"/>
    <col min="8692" max="8933" width="11.42578125" style="820"/>
    <col min="8934" max="8934" width="8.5703125" style="820" customWidth="1"/>
    <col min="8935" max="8935" width="58.7109375" style="820" customWidth="1"/>
    <col min="8936" max="8936" width="10.7109375" style="820" customWidth="1"/>
    <col min="8937" max="8937" width="12.28515625" style="820" customWidth="1"/>
    <col min="8938" max="8939" width="17" style="820" bestFit="1" customWidth="1"/>
    <col min="8940" max="8940" width="12.5703125" style="820" customWidth="1"/>
    <col min="8941" max="8941" width="19.28515625" style="820" bestFit="1" customWidth="1"/>
    <col min="8942" max="8942" width="2.42578125" style="820" customWidth="1"/>
    <col min="8943" max="8943" width="17.42578125" style="820" customWidth="1"/>
    <col min="8944" max="8944" width="1.7109375" style="820" customWidth="1"/>
    <col min="8945" max="8945" width="18.28515625" style="820" customWidth="1"/>
    <col min="8946" max="8946" width="11.42578125" style="820"/>
    <col min="8947" max="8947" width="18.28515625" style="820" customWidth="1"/>
    <col min="8948" max="9189" width="11.42578125" style="820"/>
    <col min="9190" max="9190" width="8.5703125" style="820" customWidth="1"/>
    <col min="9191" max="9191" width="58.7109375" style="820" customWidth="1"/>
    <col min="9192" max="9192" width="10.7109375" style="820" customWidth="1"/>
    <col min="9193" max="9193" width="12.28515625" style="820" customWidth="1"/>
    <col min="9194" max="9195" width="17" style="820" bestFit="1" customWidth="1"/>
    <col min="9196" max="9196" width="12.5703125" style="820" customWidth="1"/>
    <col min="9197" max="9197" width="19.28515625" style="820" bestFit="1" customWidth="1"/>
    <col min="9198" max="9198" width="2.42578125" style="820" customWidth="1"/>
    <col min="9199" max="9199" width="17.42578125" style="820" customWidth="1"/>
    <col min="9200" max="9200" width="1.7109375" style="820" customWidth="1"/>
    <col min="9201" max="9201" width="18.28515625" style="820" customWidth="1"/>
    <col min="9202" max="9202" width="11.42578125" style="820"/>
    <col min="9203" max="9203" width="18.28515625" style="820" customWidth="1"/>
    <col min="9204" max="9445" width="11.42578125" style="820"/>
    <col min="9446" max="9446" width="8.5703125" style="820" customWidth="1"/>
    <col min="9447" max="9447" width="58.7109375" style="820" customWidth="1"/>
    <col min="9448" max="9448" width="10.7109375" style="820" customWidth="1"/>
    <col min="9449" max="9449" width="12.28515625" style="820" customWidth="1"/>
    <col min="9450" max="9451" width="17" style="820" bestFit="1" customWidth="1"/>
    <col min="9452" max="9452" width="12.5703125" style="820" customWidth="1"/>
    <col min="9453" max="9453" width="19.28515625" style="820" bestFit="1" customWidth="1"/>
    <col min="9454" max="9454" width="2.42578125" style="820" customWidth="1"/>
    <col min="9455" max="9455" width="17.42578125" style="820" customWidth="1"/>
    <col min="9456" max="9456" width="1.7109375" style="820" customWidth="1"/>
    <col min="9457" max="9457" width="18.28515625" style="820" customWidth="1"/>
    <col min="9458" max="9458" width="11.42578125" style="820"/>
    <col min="9459" max="9459" width="18.28515625" style="820" customWidth="1"/>
    <col min="9460" max="9701" width="11.42578125" style="820"/>
    <col min="9702" max="9702" width="8.5703125" style="820" customWidth="1"/>
    <col min="9703" max="9703" width="58.7109375" style="820" customWidth="1"/>
    <col min="9704" max="9704" width="10.7109375" style="820" customWidth="1"/>
    <col min="9705" max="9705" width="12.28515625" style="820" customWidth="1"/>
    <col min="9706" max="9707" width="17" style="820" bestFit="1" customWidth="1"/>
    <col min="9708" max="9708" width="12.5703125" style="820" customWidth="1"/>
    <col min="9709" max="9709" width="19.28515625" style="820" bestFit="1" customWidth="1"/>
    <col min="9710" max="9710" width="2.42578125" style="820" customWidth="1"/>
    <col min="9711" max="9711" width="17.42578125" style="820" customWidth="1"/>
    <col min="9712" max="9712" width="1.7109375" style="820" customWidth="1"/>
    <col min="9713" max="9713" width="18.28515625" style="820" customWidth="1"/>
    <col min="9714" max="9714" width="11.42578125" style="820"/>
    <col min="9715" max="9715" width="18.28515625" style="820" customWidth="1"/>
    <col min="9716" max="9957" width="11.42578125" style="820"/>
    <col min="9958" max="9958" width="8.5703125" style="820" customWidth="1"/>
    <col min="9959" max="9959" width="58.7109375" style="820" customWidth="1"/>
    <col min="9960" max="9960" width="10.7109375" style="820" customWidth="1"/>
    <col min="9961" max="9961" width="12.28515625" style="820" customWidth="1"/>
    <col min="9962" max="9963" width="17" style="820" bestFit="1" customWidth="1"/>
    <col min="9964" max="9964" width="12.5703125" style="820" customWidth="1"/>
    <col min="9965" max="9965" width="19.28515625" style="820" bestFit="1" customWidth="1"/>
    <col min="9966" max="9966" width="2.42578125" style="820" customWidth="1"/>
    <col min="9967" max="9967" width="17.42578125" style="820" customWidth="1"/>
    <col min="9968" max="9968" width="1.7109375" style="820" customWidth="1"/>
    <col min="9969" max="9969" width="18.28515625" style="820" customWidth="1"/>
    <col min="9970" max="9970" width="11.42578125" style="820"/>
    <col min="9971" max="9971" width="18.28515625" style="820" customWidth="1"/>
    <col min="9972" max="10213" width="11.42578125" style="820"/>
    <col min="10214" max="10214" width="8.5703125" style="820" customWidth="1"/>
    <col min="10215" max="10215" width="58.7109375" style="820" customWidth="1"/>
    <col min="10216" max="10216" width="10.7109375" style="820" customWidth="1"/>
    <col min="10217" max="10217" width="12.28515625" style="820" customWidth="1"/>
    <col min="10218" max="10219" width="17" style="820" bestFit="1" customWidth="1"/>
    <col min="10220" max="10220" width="12.5703125" style="820" customWidth="1"/>
    <col min="10221" max="10221" width="19.28515625" style="820" bestFit="1" customWidth="1"/>
    <col min="10222" max="10222" width="2.42578125" style="820" customWidth="1"/>
    <col min="10223" max="10223" width="17.42578125" style="820" customWidth="1"/>
    <col min="10224" max="10224" width="1.7109375" style="820" customWidth="1"/>
    <col min="10225" max="10225" width="18.28515625" style="820" customWidth="1"/>
    <col min="10226" max="10226" width="11.42578125" style="820"/>
    <col min="10227" max="10227" width="18.28515625" style="820" customWidth="1"/>
    <col min="10228" max="10469" width="11.42578125" style="820"/>
    <col min="10470" max="10470" width="8.5703125" style="820" customWidth="1"/>
    <col min="10471" max="10471" width="58.7109375" style="820" customWidth="1"/>
    <col min="10472" max="10472" width="10.7109375" style="820" customWidth="1"/>
    <col min="10473" max="10473" width="12.28515625" style="820" customWidth="1"/>
    <col min="10474" max="10475" width="17" style="820" bestFit="1" customWidth="1"/>
    <col min="10476" max="10476" width="12.5703125" style="820" customWidth="1"/>
    <col min="10477" max="10477" width="19.28515625" style="820" bestFit="1" customWidth="1"/>
    <col min="10478" max="10478" width="2.42578125" style="820" customWidth="1"/>
    <col min="10479" max="10479" width="17.42578125" style="820" customWidth="1"/>
    <col min="10480" max="10480" width="1.7109375" style="820" customWidth="1"/>
    <col min="10481" max="10481" width="18.28515625" style="820" customWidth="1"/>
    <col min="10482" max="10482" width="11.42578125" style="820"/>
    <col min="10483" max="10483" width="18.28515625" style="820" customWidth="1"/>
    <col min="10484" max="10725" width="11.42578125" style="820"/>
    <col min="10726" max="10726" width="8.5703125" style="820" customWidth="1"/>
    <col min="10727" max="10727" width="58.7109375" style="820" customWidth="1"/>
    <col min="10728" max="10728" width="10.7109375" style="820" customWidth="1"/>
    <col min="10729" max="10729" width="12.28515625" style="820" customWidth="1"/>
    <col min="10730" max="10731" width="17" style="820" bestFit="1" customWidth="1"/>
    <col min="10732" max="10732" width="12.5703125" style="820" customWidth="1"/>
    <col min="10733" max="10733" width="19.28515625" style="820" bestFit="1" customWidth="1"/>
    <col min="10734" max="10734" width="2.42578125" style="820" customWidth="1"/>
    <col min="10735" max="10735" width="17.42578125" style="820" customWidth="1"/>
    <col min="10736" max="10736" width="1.7109375" style="820" customWidth="1"/>
    <col min="10737" max="10737" width="18.28515625" style="820" customWidth="1"/>
    <col min="10738" max="10738" width="11.42578125" style="820"/>
    <col min="10739" max="10739" width="18.28515625" style="820" customWidth="1"/>
    <col min="10740" max="10981" width="11.42578125" style="820"/>
    <col min="10982" max="10982" width="8.5703125" style="820" customWidth="1"/>
    <col min="10983" max="10983" width="58.7109375" style="820" customWidth="1"/>
    <col min="10984" max="10984" width="10.7109375" style="820" customWidth="1"/>
    <col min="10985" max="10985" width="12.28515625" style="820" customWidth="1"/>
    <col min="10986" max="10987" width="17" style="820" bestFit="1" customWidth="1"/>
    <col min="10988" max="10988" width="12.5703125" style="820" customWidth="1"/>
    <col min="10989" max="10989" width="19.28515625" style="820" bestFit="1" customWidth="1"/>
    <col min="10990" max="10990" width="2.42578125" style="820" customWidth="1"/>
    <col min="10991" max="10991" width="17.42578125" style="820" customWidth="1"/>
    <col min="10992" max="10992" width="1.7109375" style="820" customWidth="1"/>
    <col min="10993" max="10993" width="18.28515625" style="820" customWidth="1"/>
    <col min="10994" max="10994" width="11.42578125" style="820"/>
    <col min="10995" max="10995" width="18.28515625" style="820" customWidth="1"/>
    <col min="10996" max="11237" width="11.42578125" style="820"/>
    <col min="11238" max="11238" width="8.5703125" style="820" customWidth="1"/>
    <col min="11239" max="11239" width="58.7109375" style="820" customWidth="1"/>
    <col min="11240" max="11240" width="10.7109375" style="820" customWidth="1"/>
    <col min="11241" max="11241" width="12.28515625" style="820" customWidth="1"/>
    <col min="11242" max="11243" width="17" style="820" bestFit="1" customWidth="1"/>
    <col min="11244" max="11244" width="12.5703125" style="820" customWidth="1"/>
    <col min="11245" max="11245" width="19.28515625" style="820" bestFit="1" customWidth="1"/>
    <col min="11246" max="11246" width="2.42578125" style="820" customWidth="1"/>
    <col min="11247" max="11247" width="17.42578125" style="820" customWidth="1"/>
    <col min="11248" max="11248" width="1.7109375" style="820" customWidth="1"/>
    <col min="11249" max="11249" width="18.28515625" style="820" customWidth="1"/>
    <col min="11250" max="11250" width="11.42578125" style="820"/>
    <col min="11251" max="11251" width="18.28515625" style="820" customWidth="1"/>
    <col min="11252" max="11493" width="11.42578125" style="820"/>
    <col min="11494" max="11494" width="8.5703125" style="820" customWidth="1"/>
    <col min="11495" max="11495" width="58.7109375" style="820" customWidth="1"/>
    <col min="11496" max="11496" width="10.7109375" style="820" customWidth="1"/>
    <col min="11497" max="11497" width="12.28515625" style="820" customWidth="1"/>
    <col min="11498" max="11499" width="17" style="820" bestFit="1" customWidth="1"/>
    <col min="11500" max="11500" width="12.5703125" style="820" customWidth="1"/>
    <col min="11501" max="11501" width="19.28515625" style="820" bestFit="1" customWidth="1"/>
    <col min="11502" max="11502" width="2.42578125" style="820" customWidth="1"/>
    <col min="11503" max="11503" width="17.42578125" style="820" customWidth="1"/>
    <col min="11504" max="11504" width="1.7109375" style="820" customWidth="1"/>
    <col min="11505" max="11505" width="18.28515625" style="820" customWidth="1"/>
    <col min="11506" max="11506" width="11.42578125" style="820"/>
    <col min="11507" max="11507" width="18.28515625" style="820" customWidth="1"/>
    <col min="11508" max="11749" width="11.42578125" style="820"/>
    <col min="11750" max="11750" width="8.5703125" style="820" customWidth="1"/>
    <col min="11751" max="11751" width="58.7109375" style="820" customWidth="1"/>
    <col min="11752" max="11752" width="10.7109375" style="820" customWidth="1"/>
    <col min="11753" max="11753" width="12.28515625" style="820" customWidth="1"/>
    <col min="11754" max="11755" width="17" style="820" bestFit="1" customWidth="1"/>
    <col min="11756" max="11756" width="12.5703125" style="820" customWidth="1"/>
    <col min="11757" max="11757" width="19.28515625" style="820" bestFit="1" customWidth="1"/>
    <col min="11758" max="11758" width="2.42578125" style="820" customWidth="1"/>
    <col min="11759" max="11759" width="17.42578125" style="820" customWidth="1"/>
    <col min="11760" max="11760" width="1.7109375" style="820" customWidth="1"/>
    <col min="11761" max="11761" width="18.28515625" style="820" customWidth="1"/>
    <col min="11762" max="11762" width="11.42578125" style="820"/>
    <col min="11763" max="11763" width="18.28515625" style="820" customWidth="1"/>
    <col min="11764" max="12005" width="11.42578125" style="820"/>
    <col min="12006" max="12006" width="8.5703125" style="820" customWidth="1"/>
    <col min="12007" max="12007" width="58.7109375" style="820" customWidth="1"/>
    <col min="12008" max="12008" width="10.7109375" style="820" customWidth="1"/>
    <col min="12009" max="12009" width="12.28515625" style="820" customWidth="1"/>
    <col min="12010" max="12011" width="17" style="820" bestFit="1" customWidth="1"/>
    <col min="12012" max="12012" width="12.5703125" style="820" customWidth="1"/>
    <col min="12013" max="12013" width="19.28515625" style="820" bestFit="1" customWidth="1"/>
    <col min="12014" max="12014" width="2.42578125" style="820" customWidth="1"/>
    <col min="12015" max="12015" width="17.42578125" style="820" customWidth="1"/>
    <col min="12016" max="12016" width="1.7109375" style="820" customWidth="1"/>
    <col min="12017" max="12017" width="18.28515625" style="820" customWidth="1"/>
    <col min="12018" max="12018" width="11.42578125" style="820"/>
    <col min="12019" max="12019" width="18.28515625" style="820" customWidth="1"/>
    <col min="12020" max="12261" width="11.42578125" style="820"/>
    <col min="12262" max="12262" width="8.5703125" style="820" customWidth="1"/>
    <col min="12263" max="12263" width="58.7109375" style="820" customWidth="1"/>
    <col min="12264" max="12264" width="10.7109375" style="820" customWidth="1"/>
    <col min="12265" max="12265" width="12.28515625" style="820" customWidth="1"/>
    <col min="12266" max="12267" width="17" style="820" bestFit="1" customWidth="1"/>
    <col min="12268" max="12268" width="12.5703125" style="820" customWidth="1"/>
    <col min="12269" max="12269" width="19.28515625" style="820" bestFit="1" customWidth="1"/>
    <col min="12270" max="12270" width="2.42578125" style="820" customWidth="1"/>
    <col min="12271" max="12271" width="17.42578125" style="820" customWidth="1"/>
    <col min="12272" max="12272" width="1.7109375" style="820" customWidth="1"/>
    <col min="12273" max="12273" width="18.28515625" style="820" customWidth="1"/>
    <col min="12274" max="12274" width="11.42578125" style="820"/>
    <col min="12275" max="12275" width="18.28515625" style="820" customWidth="1"/>
    <col min="12276" max="12517" width="11.42578125" style="820"/>
    <col min="12518" max="12518" width="8.5703125" style="820" customWidth="1"/>
    <col min="12519" max="12519" width="58.7109375" style="820" customWidth="1"/>
    <col min="12520" max="12520" width="10.7109375" style="820" customWidth="1"/>
    <col min="12521" max="12521" width="12.28515625" style="820" customWidth="1"/>
    <col min="12522" max="12523" width="17" style="820" bestFit="1" customWidth="1"/>
    <col min="12524" max="12524" width="12.5703125" style="820" customWidth="1"/>
    <col min="12525" max="12525" width="19.28515625" style="820" bestFit="1" customWidth="1"/>
    <col min="12526" max="12526" width="2.42578125" style="820" customWidth="1"/>
    <col min="12527" max="12527" width="17.42578125" style="820" customWidth="1"/>
    <col min="12528" max="12528" width="1.7109375" style="820" customWidth="1"/>
    <col min="12529" max="12529" width="18.28515625" style="820" customWidth="1"/>
    <col min="12530" max="12530" width="11.42578125" style="820"/>
    <col min="12531" max="12531" width="18.28515625" style="820" customWidth="1"/>
    <col min="12532" max="12773" width="11.42578125" style="820"/>
    <col min="12774" max="12774" width="8.5703125" style="820" customWidth="1"/>
    <col min="12775" max="12775" width="58.7109375" style="820" customWidth="1"/>
    <col min="12776" max="12776" width="10.7109375" style="820" customWidth="1"/>
    <col min="12777" max="12777" width="12.28515625" style="820" customWidth="1"/>
    <col min="12778" max="12779" width="17" style="820" bestFit="1" customWidth="1"/>
    <col min="12780" max="12780" width="12.5703125" style="820" customWidth="1"/>
    <col min="12781" max="12781" width="19.28515625" style="820" bestFit="1" customWidth="1"/>
    <col min="12782" max="12782" width="2.42578125" style="820" customWidth="1"/>
    <col min="12783" max="12783" width="17.42578125" style="820" customWidth="1"/>
    <col min="12784" max="12784" width="1.7109375" style="820" customWidth="1"/>
    <col min="12785" max="12785" width="18.28515625" style="820" customWidth="1"/>
    <col min="12786" max="12786" width="11.42578125" style="820"/>
    <col min="12787" max="12787" width="18.28515625" style="820" customWidth="1"/>
    <col min="12788" max="13029" width="11.42578125" style="820"/>
    <col min="13030" max="13030" width="8.5703125" style="820" customWidth="1"/>
    <col min="13031" max="13031" width="58.7109375" style="820" customWidth="1"/>
    <col min="13032" max="13032" width="10.7109375" style="820" customWidth="1"/>
    <col min="13033" max="13033" width="12.28515625" style="820" customWidth="1"/>
    <col min="13034" max="13035" width="17" style="820" bestFit="1" customWidth="1"/>
    <col min="13036" max="13036" width="12.5703125" style="820" customWidth="1"/>
    <col min="13037" max="13037" width="19.28515625" style="820" bestFit="1" customWidth="1"/>
    <col min="13038" max="13038" width="2.42578125" style="820" customWidth="1"/>
    <col min="13039" max="13039" width="17.42578125" style="820" customWidth="1"/>
    <col min="13040" max="13040" width="1.7109375" style="820" customWidth="1"/>
    <col min="13041" max="13041" width="18.28515625" style="820" customWidth="1"/>
    <col min="13042" max="13042" width="11.42578125" style="820"/>
    <col min="13043" max="13043" width="18.28515625" style="820" customWidth="1"/>
    <col min="13044" max="13285" width="11.42578125" style="820"/>
    <col min="13286" max="13286" width="8.5703125" style="820" customWidth="1"/>
    <col min="13287" max="13287" width="58.7109375" style="820" customWidth="1"/>
    <col min="13288" max="13288" width="10.7109375" style="820" customWidth="1"/>
    <col min="13289" max="13289" width="12.28515625" style="820" customWidth="1"/>
    <col min="13290" max="13291" width="17" style="820" bestFit="1" customWidth="1"/>
    <col min="13292" max="13292" width="12.5703125" style="820" customWidth="1"/>
    <col min="13293" max="13293" width="19.28515625" style="820" bestFit="1" customWidth="1"/>
    <col min="13294" max="13294" width="2.42578125" style="820" customWidth="1"/>
    <col min="13295" max="13295" width="17.42578125" style="820" customWidth="1"/>
    <col min="13296" max="13296" width="1.7109375" style="820" customWidth="1"/>
    <col min="13297" max="13297" width="18.28515625" style="820" customWidth="1"/>
    <col min="13298" max="13298" width="11.42578125" style="820"/>
    <col min="13299" max="13299" width="18.28515625" style="820" customWidth="1"/>
    <col min="13300" max="13541" width="11.42578125" style="820"/>
    <col min="13542" max="13542" width="8.5703125" style="820" customWidth="1"/>
    <col min="13543" max="13543" width="58.7109375" style="820" customWidth="1"/>
    <col min="13544" max="13544" width="10.7109375" style="820" customWidth="1"/>
    <col min="13545" max="13545" width="12.28515625" style="820" customWidth="1"/>
    <col min="13546" max="13547" width="17" style="820" bestFit="1" customWidth="1"/>
    <col min="13548" max="13548" width="12.5703125" style="820" customWidth="1"/>
    <col min="13549" max="13549" width="19.28515625" style="820" bestFit="1" customWidth="1"/>
    <col min="13550" max="13550" width="2.42578125" style="820" customWidth="1"/>
    <col min="13551" max="13551" width="17.42578125" style="820" customWidth="1"/>
    <col min="13552" max="13552" width="1.7109375" style="820" customWidth="1"/>
    <col min="13553" max="13553" width="18.28515625" style="820" customWidth="1"/>
    <col min="13554" max="13554" width="11.42578125" style="820"/>
    <col min="13555" max="13555" width="18.28515625" style="820" customWidth="1"/>
    <col min="13556" max="13797" width="11.42578125" style="820"/>
    <col min="13798" max="13798" width="8.5703125" style="820" customWidth="1"/>
    <col min="13799" max="13799" width="58.7109375" style="820" customWidth="1"/>
    <col min="13800" max="13800" width="10.7109375" style="820" customWidth="1"/>
    <col min="13801" max="13801" width="12.28515625" style="820" customWidth="1"/>
    <col min="13802" max="13803" width="17" style="820" bestFit="1" customWidth="1"/>
    <col min="13804" max="13804" width="12.5703125" style="820" customWidth="1"/>
    <col min="13805" max="13805" width="19.28515625" style="820" bestFit="1" customWidth="1"/>
    <col min="13806" max="13806" width="2.42578125" style="820" customWidth="1"/>
    <col min="13807" max="13807" width="17.42578125" style="820" customWidth="1"/>
    <col min="13808" max="13808" width="1.7109375" style="820" customWidth="1"/>
    <col min="13809" max="13809" width="18.28515625" style="820" customWidth="1"/>
    <col min="13810" max="13810" width="11.42578125" style="820"/>
    <col min="13811" max="13811" width="18.28515625" style="820" customWidth="1"/>
    <col min="13812" max="14053" width="11.42578125" style="820"/>
    <col min="14054" max="14054" width="8.5703125" style="820" customWidth="1"/>
    <col min="14055" max="14055" width="58.7109375" style="820" customWidth="1"/>
    <col min="14056" max="14056" width="10.7109375" style="820" customWidth="1"/>
    <col min="14057" max="14057" width="12.28515625" style="820" customWidth="1"/>
    <col min="14058" max="14059" width="17" style="820" bestFit="1" customWidth="1"/>
    <col min="14060" max="14060" width="12.5703125" style="820" customWidth="1"/>
    <col min="14061" max="14061" width="19.28515625" style="820" bestFit="1" customWidth="1"/>
    <col min="14062" max="14062" width="2.42578125" style="820" customWidth="1"/>
    <col min="14063" max="14063" width="17.42578125" style="820" customWidth="1"/>
    <col min="14064" max="14064" width="1.7109375" style="820" customWidth="1"/>
    <col min="14065" max="14065" width="18.28515625" style="820" customWidth="1"/>
    <col min="14066" max="14066" width="11.42578125" style="820"/>
    <col min="14067" max="14067" width="18.28515625" style="820" customWidth="1"/>
    <col min="14068" max="14309" width="11.42578125" style="820"/>
    <col min="14310" max="14310" width="8.5703125" style="820" customWidth="1"/>
    <col min="14311" max="14311" width="58.7109375" style="820" customWidth="1"/>
    <col min="14312" max="14312" width="10.7109375" style="820" customWidth="1"/>
    <col min="14313" max="14313" width="12.28515625" style="820" customWidth="1"/>
    <col min="14314" max="14315" width="17" style="820" bestFit="1" customWidth="1"/>
    <col min="14316" max="14316" width="12.5703125" style="820" customWidth="1"/>
    <col min="14317" max="14317" width="19.28515625" style="820" bestFit="1" customWidth="1"/>
    <col min="14318" max="14318" width="2.42578125" style="820" customWidth="1"/>
    <col min="14319" max="14319" width="17.42578125" style="820" customWidth="1"/>
    <col min="14320" max="14320" width="1.7109375" style="820" customWidth="1"/>
    <col min="14321" max="14321" width="18.28515625" style="820" customWidth="1"/>
    <col min="14322" max="14322" width="11.42578125" style="820"/>
    <col min="14323" max="14323" width="18.28515625" style="820" customWidth="1"/>
    <col min="14324" max="14565" width="11.42578125" style="820"/>
    <col min="14566" max="14566" width="8.5703125" style="820" customWidth="1"/>
    <col min="14567" max="14567" width="58.7109375" style="820" customWidth="1"/>
    <col min="14568" max="14568" width="10.7109375" style="820" customWidth="1"/>
    <col min="14569" max="14569" width="12.28515625" style="820" customWidth="1"/>
    <col min="14570" max="14571" width="17" style="820" bestFit="1" customWidth="1"/>
    <col min="14572" max="14572" width="12.5703125" style="820" customWidth="1"/>
    <col min="14573" max="14573" width="19.28515625" style="820" bestFit="1" customWidth="1"/>
    <col min="14574" max="14574" width="2.42578125" style="820" customWidth="1"/>
    <col min="14575" max="14575" width="17.42578125" style="820" customWidth="1"/>
    <col min="14576" max="14576" width="1.7109375" style="820" customWidth="1"/>
    <col min="14577" max="14577" width="18.28515625" style="820" customWidth="1"/>
    <col min="14578" max="14578" width="11.42578125" style="820"/>
    <col min="14579" max="14579" width="18.28515625" style="820" customWidth="1"/>
    <col min="14580" max="14821" width="11.42578125" style="820"/>
    <col min="14822" max="14822" width="8.5703125" style="820" customWidth="1"/>
    <col min="14823" max="14823" width="58.7109375" style="820" customWidth="1"/>
    <col min="14824" max="14824" width="10.7109375" style="820" customWidth="1"/>
    <col min="14825" max="14825" width="12.28515625" style="820" customWidth="1"/>
    <col min="14826" max="14827" width="17" style="820" bestFit="1" customWidth="1"/>
    <col min="14828" max="14828" width="12.5703125" style="820" customWidth="1"/>
    <col min="14829" max="14829" width="19.28515625" style="820" bestFit="1" customWidth="1"/>
    <col min="14830" max="14830" width="2.42578125" style="820" customWidth="1"/>
    <col min="14831" max="14831" width="17.42578125" style="820" customWidth="1"/>
    <col min="14832" max="14832" width="1.7109375" style="820" customWidth="1"/>
    <col min="14833" max="14833" width="18.28515625" style="820" customWidth="1"/>
    <col min="14834" max="14834" width="11.42578125" style="820"/>
    <col min="14835" max="14835" width="18.28515625" style="820" customWidth="1"/>
    <col min="14836" max="15077" width="11.42578125" style="820"/>
    <col min="15078" max="15078" width="8.5703125" style="820" customWidth="1"/>
    <col min="15079" max="15079" width="58.7109375" style="820" customWidth="1"/>
    <col min="15080" max="15080" width="10.7109375" style="820" customWidth="1"/>
    <col min="15081" max="15081" width="12.28515625" style="820" customWidth="1"/>
    <col min="15082" max="15083" width="17" style="820" bestFit="1" customWidth="1"/>
    <col min="15084" max="15084" width="12.5703125" style="820" customWidth="1"/>
    <col min="15085" max="15085" width="19.28515625" style="820" bestFit="1" customWidth="1"/>
    <col min="15086" max="15086" width="2.42578125" style="820" customWidth="1"/>
    <col min="15087" max="15087" width="17.42578125" style="820" customWidth="1"/>
    <col min="15088" max="15088" width="1.7109375" style="820" customWidth="1"/>
    <col min="15089" max="15089" width="18.28515625" style="820" customWidth="1"/>
    <col min="15090" max="15090" width="11.42578125" style="820"/>
    <col min="15091" max="15091" width="18.28515625" style="820" customWidth="1"/>
    <col min="15092" max="15333" width="11.42578125" style="820"/>
    <col min="15334" max="15334" width="8.5703125" style="820" customWidth="1"/>
    <col min="15335" max="15335" width="58.7109375" style="820" customWidth="1"/>
    <col min="15336" max="15336" width="10.7109375" style="820" customWidth="1"/>
    <col min="15337" max="15337" width="12.28515625" style="820" customWidth="1"/>
    <col min="15338" max="15339" width="17" style="820" bestFit="1" customWidth="1"/>
    <col min="15340" max="15340" width="12.5703125" style="820" customWidth="1"/>
    <col min="15341" max="15341" width="19.28515625" style="820" bestFit="1" customWidth="1"/>
    <col min="15342" max="15342" width="2.42578125" style="820" customWidth="1"/>
    <col min="15343" max="15343" width="17.42578125" style="820" customWidth="1"/>
    <col min="15344" max="15344" width="1.7109375" style="820" customWidth="1"/>
    <col min="15345" max="15345" width="18.28515625" style="820" customWidth="1"/>
    <col min="15346" max="15346" width="11.42578125" style="820"/>
    <col min="15347" max="15347" width="18.28515625" style="820" customWidth="1"/>
    <col min="15348" max="15589" width="11.42578125" style="820"/>
    <col min="15590" max="15590" width="8.5703125" style="820" customWidth="1"/>
    <col min="15591" max="15591" width="58.7109375" style="820" customWidth="1"/>
    <col min="15592" max="15592" width="10.7109375" style="820" customWidth="1"/>
    <col min="15593" max="15593" width="12.28515625" style="820" customWidth="1"/>
    <col min="15594" max="15595" width="17" style="820" bestFit="1" customWidth="1"/>
    <col min="15596" max="15596" width="12.5703125" style="820" customWidth="1"/>
    <col min="15597" max="15597" width="19.28515625" style="820" bestFit="1" customWidth="1"/>
    <col min="15598" max="15598" width="2.42578125" style="820" customWidth="1"/>
    <col min="15599" max="15599" width="17.42578125" style="820" customWidth="1"/>
    <col min="15600" max="15600" width="1.7109375" style="820" customWidth="1"/>
    <col min="15601" max="15601" width="18.28515625" style="820" customWidth="1"/>
    <col min="15602" max="15602" width="11.42578125" style="820"/>
    <col min="15603" max="15603" width="18.28515625" style="820" customWidth="1"/>
    <col min="15604" max="15845" width="11.42578125" style="820"/>
    <col min="15846" max="15846" width="8.5703125" style="820" customWidth="1"/>
    <col min="15847" max="15847" width="58.7109375" style="820" customWidth="1"/>
    <col min="15848" max="15848" width="10.7109375" style="820" customWidth="1"/>
    <col min="15849" max="15849" width="12.28515625" style="820" customWidth="1"/>
    <col min="15850" max="15851" width="17" style="820" bestFit="1" customWidth="1"/>
    <col min="15852" max="15852" width="12.5703125" style="820" customWidth="1"/>
    <col min="15853" max="15853" width="19.28515625" style="820" bestFit="1" customWidth="1"/>
    <col min="15854" max="15854" width="2.42578125" style="820" customWidth="1"/>
    <col min="15855" max="15855" width="17.42578125" style="820" customWidth="1"/>
    <col min="15856" max="15856" width="1.7109375" style="820" customWidth="1"/>
    <col min="15857" max="15857" width="18.28515625" style="820" customWidth="1"/>
    <col min="15858" max="15858" width="11.42578125" style="820"/>
    <col min="15859" max="15859" width="18.28515625" style="820" customWidth="1"/>
    <col min="15860" max="16101" width="11.42578125" style="820"/>
    <col min="16102" max="16102" width="8.5703125" style="820" customWidth="1"/>
    <col min="16103" max="16103" width="58.7109375" style="820" customWidth="1"/>
    <col min="16104" max="16104" width="10.7109375" style="820" customWidth="1"/>
    <col min="16105" max="16105" width="12.28515625" style="820" customWidth="1"/>
    <col min="16106" max="16107" width="17" style="820" bestFit="1" customWidth="1"/>
    <col min="16108" max="16108" width="12.5703125" style="820" customWidth="1"/>
    <col min="16109" max="16109" width="19.28515625" style="820" bestFit="1" customWidth="1"/>
    <col min="16110" max="16110" width="2.42578125" style="820" customWidth="1"/>
    <col min="16111" max="16111" width="17.42578125" style="820" customWidth="1"/>
    <col min="16112" max="16112" width="1.7109375" style="820" customWidth="1"/>
    <col min="16113" max="16113" width="18.28515625" style="820" customWidth="1"/>
    <col min="16114" max="16114" width="11.42578125" style="820"/>
    <col min="16115" max="16115" width="18.28515625" style="820" customWidth="1"/>
    <col min="16116" max="16357" width="11.42578125" style="820"/>
    <col min="16358" max="16384" width="11.28515625" style="820" customWidth="1"/>
  </cols>
  <sheetData>
    <row r="1" spans="1:9" customFormat="1" ht="67.5" customHeight="1" x14ac:dyDescent="0.2">
      <c r="A1" s="961" t="s">
        <v>4236</v>
      </c>
      <c r="B1" s="962"/>
      <c r="C1" s="962"/>
      <c r="D1" s="962"/>
      <c r="E1" s="962"/>
      <c r="F1" s="962"/>
      <c r="G1" s="962"/>
      <c r="H1" s="963"/>
      <c r="I1" s="914"/>
    </row>
    <row r="2" spans="1:9" customFormat="1" ht="81" customHeight="1" x14ac:dyDescent="0.2">
      <c r="A2" s="964" t="s">
        <v>2568</v>
      </c>
      <c r="B2" s="965"/>
      <c r="C2" s="965"/>
      <c r="D2" s="965"/>
      <c r="E2" s="965"/>
      <c r="F2" s="965"/>
      <c r="G2" s="965"/>
      <c r="H2" s="966"/>
      <c r="I2" s="914"/>
    </row>
    <row r="3" spans="1:9" customFormat="1" ht="32.25" customHeight="1" x14ac:dyDescent="0.2">
      <c r="A3" s="964" t="s">
        <v>4229</v>
      </c>
      <c r="B3" s="965"/>
      <c r="C3" s="965"/>
      <c r="D3" s="965"/>
      <c r="E3" s="965"/>
      <c r="F3" s="965"/>
      <c r="G3" s="965"/>
      <c r="H3" s="966"/>
      <c r="I3" s="914"/>
    </row>
    <row r="4" spans="1:9" customFormat="1" ht="32.25" customHeight="1" x14ac:dyDescent="0.2">
      <c r="A4" s="964" t="s">
        <v>4237</v>
      </c>
      <c r="B4" s="965"/>
      <c r="C4" s="965"/>
      <c r="D4" s="965"/>
      <c r="E4" s="965"/>
      <c r="F4" s="965"/>
      <c r="G4" s="965"/>
      <c r="H4" s="966"/>
      <c r="I4" s="914"/>
    </row>
    <row r="5" spans="1:9" customFormat="1" ht="13.5" thickBot="1" x14ac:dyDescent="0.25">
      <c r="A5" s="501"/>
      <c r="B5" s="807"/>
      <c r="C5" s="808"/>
      <c r="D5" s="808"/>
      <c r="E5" s="809"/>
      <c r="F5" s="810"/>
      <c r="G5" s="811"/>
      <c r="H5" s="812"/>
      <c r="I5" s="914"/>
    </row>
    <row r="6" spans="1:9" s="22" customFormat="1" ht="16.5" thickBot="1" x14ac:dyDescent="0.25">
      <c r="A6" s="1101" t="s">
        <v>3223</v>
      </c>
      <c r="B6" s="1102"/>
      <c r="C6" s="1102"/>
      <c r="D6" s="1102"/>
      <c r="E6" s="1102"/>
      <c r="F6" s="1102"/>
      <c r="G6" s="1102"/>
      <c r="H6" s="1103"/>
      <c r="I6" s="914"/>
    </row>
    <row r="7" spans="1:9" s="41" customFormat="1" ht="15.75" thickBot="1" x14ac:dyDescent="0.25">
      <c r="A7" s="950" t="s">
        <v>2225</v>
      </c>
      <c r="B7" s="951"/>
      <c r="C7" s="951"/>
      <c r="D7" s="951"/>
      <c r="E7" s="951"/>
      <c r="F7" s="951"/>
      <c r="G7" s="951"/>
      <c r="H7" s="952"/>
      <c r="I7" s="914"/>
    </row>
    <row r="8" spans="1:9" s="41" customFormat="1" ht="58.15" customHeight="1" thickBot="1" x14ac:dyDescent="0.25">
      <c r="A8" s="798" t="s">
        <v>2044</v>
      </c>
      <c r="B8" s="866" t="s">
        <v>265</v>
      </c>
      <c r="C8" s="798" t="s">
        <v>402</v>
      </c>
      <c r="D8" s="798" t="s">
        <v>346</v>
      </c>
      <c r="E8" s="192" t="s">
        <v>1913</v>
      </c>
      <c r="F8" s="73" t="s">
        <v>3165</v>
      </c>
      <c r="G8" s="290" t="s">
        <v>281</v>
      </c>
      <c r="H8" s="74" t="s">
        <v>3164</v>
      </c>
      <c r="I8" s="914"/>
    </row>
    <row r="9" spans="1:9" s="814" customFormat="1" ht="30" x14ac:dyDescent="0.2">
      <c r="A9" s="293" t="s">
        <v>2226</v>
      </c>
      <c r="B9" s="867"/>
      <c r="C9" s="135" t="s">
        <v>2461</v>
      </c>
      <c r="D9" s="133" t="s">
        <v>411</v>
      </c>
      <c r="E9" s="813"/>
      <c r="F9" s="259">
        <f>ROUND(SUM(H9:H30),0)</f>
        <v>7524228</v>
      </c>
      <c r="G9" s="260"/>
      <c r="H9" s="250"/>
      <c r="I9" s="923"/>
    </row>
    <row r="10" spans="1:9" s="818" customFormat="1" ht="12.75" x14ac:dyDescent="0.2">
      <c r="A10" s="1075" t="s">
        <v>295</v>
      </c>
      <c r="B10" s="815" t="s">
        <v>1340</v>
      </c>
      <c r="C10" s="816" t="s">
        <v>2577</v>
      </c>
      <c r="D10" s="134" t="s">
        <v>411</v>
      </c>
      <c r="E10" s="704">
        <v>22</v>
      </c>
      <c r="F10" s="256">
        <f>VLOOKUP(B10,'[1]BASE DE DATOS'!$A$5:$E$964,5,FALSE)</f>
        <v>800</v>
      </c>
      <c r="G10" s="708">
        <v>0</v>
      </c>
      <c r="H10" s="252">
        <f>IF(G10&gt;0,(G10*F10*E10),(F10*E10))</f>
        <v>17600</v>
      </c>
      <c r="I10" s="924"/>
    </row>
    <row r="11" spans="1:9" s="818" customFormat="1" ht="12.75" x14ac:dyDescent="0.2">
      <c r="A11" s="1075"/>
      <c r="B11" s="815" t="s">
        <v>1359</v>
      </c>
      <c r="C11" s="816" t="s">
        <v>2579</v>
      </c>
      <c r="D11" s="134" t="s">
        <v>411</v>
      </c>
      <c r="E11" s="704">
        <v>6</v>
      </c>
      <c r="F11" s="256">
        <f>VLOOKUP(B11,'[1]BASE DE DATOS'!$A$5:$E$964,5,FALSE)</f>
        <v>250</v>
      </c>
      <c r="G11" s="708">
        <v>0</v>
      </c>
      <c r="H11" s="252">
        <f t="shared" ref="H11:H74" si="0">IF(G11&gt;0,(G11*F11*E11),(F11*E11))</f>
        <v>1500</v>
      </c>
      <c r="I11" s="924"/>
    </row>
    <row r="12" spans="1:9" s="818" customFormat="1" ht="12.75" x14ac:dyDescent="0.2">
      <c r="A12" s="1075"/>
      <c r="B12" s="815" t="s">
        <v>1738</v>
      </c>
      <c r="C12" s="816" t="s">
        <v>2580</v>
      </c>
      <c r="D12" s="134" t="s">
        <v>405</v>
      </c>
      <c r="E12" s="704">
        <v>22</v>
      </c>
      <c r="F12" s="256">
        <f>VLOOKUP(B12,'[1]BASE DE DATOS'!$A$5:$E$964,5,FALSE)</f>
        <v>16800</v>
      </c>
      <c r="G12" s="708">
        <v>1.03</v>
      </c>
      <c r="H12" s="252">
        <f t="shared" si="0"/>
        <v>380688</v>
      </c>
      <c r="I12" s="924"/>
    </row>
    <row r="13" spans="1:9" s="818" customFormat="1" ht="12.75" x14ac:dyDescent="0.2">
      <c r="A13" s="1075"/>
      <c r="B13" s="815" t="s">
        <v>1574</v>
      </c>
      <c r="C13" s="816" t="s">
        <v>3243</v>
      </c>
      <c r="D13" s="134" t="s">
        <v>411</v>
      </c>
      <c r="E13" s="704">
        <v>1</v>
      </c>
      <c r="F13" s="256">
        <f>VLOOKUP(B13,'[1]BASE DE DATOS'!$A$5:$E$964,5,FALSE)</f>
        <v>1354000</v>
      </c>
      <c r="G13" s="708">
        <v>0</v>
      </c>
      <c r="H13" s="252">
        <f t="shared" si="0"/>
        <v>1354000</v>
      </c>
      <c r="I13" s="924"/>
    </row>
    <row r="14" spans="1:9" s="818" customFormat="1" ht="12.75" x14ac:dyDescent="0.2">
      <c r="A14" s="1075"/>
      <c r="B14" s="815" t="s">
        <v>1597</v>
      </c>
      <c r="C14" s="816" t="s">
        <v>2581</v>
      </c>
      <c r="D14" s="134" t="s">
        <v>405</v>
      </c>
      <c r="E14" s="704">
        <v>3</v>
      </c>
      <c r="F14" s="256">
        <f>VLOOKUP(B14,'[1]BASE DE DATOS'!$A$5:$E$964,5,FALSE)</f>
        <v>4033</v>
      </c>
      <c r="G14" s="708">
        <v>1.05</v>
      </c>
      <c r="H14" s="252">
        <f t="shared" si="0"/>
        <v>12703.95</v>
      </c>
      <c r="I14" s="924"/>
    </row>
    <row r="15" spans="1:9" s="818" customFormat="1" ht="12.75" x14ac:dyDescent="0.2">
      <c r="A15" s="1075"/>
      <c r="B15" s="815" t="s">
        <v>1603</v>
      </c>
      <c r="C15" s="816" t="s">
        <v>2582</v>
      </c>
      <c r="D15" s="134" t="s">
        <v>411</v>
      </c>
      <c r="E15" s="704">
        <v>2</v>
      </c>
      <c r="F15" s="256">
        <f>VLOOKUP(B15,'[1]BASE DE DATOS'!$A$5:$E$964,5,FALSE)</f>
        <v>19550</v>
      </c>
      <c r="G15" s="708">
        <v>0</v>
      </c>
      <c r="H15" s="252">
        <f t="shared" si="0"/>
        <v>39100</v>
      </c>
      <c r="I15" s="924"/>
    </row>
    <row r="16" spans="1:9" s="818" customFormat="1" ht="12.75" x14ac:dyDescent="0.2">
      <c r="A16" s="1075"/>
      <c r="B16" s="815" t="s">
        <v>1605</v>
      </c>
      <c r="C16" s="816" t="s">
        <v>2583</v>
      </c>
      <c r="D16" s="134" t="s">
        <v>411</v>
      </c>
      <c r="E16" s="704">
        <v>2</v>
      </c>
      <c r="F16" s="256">
        <f>VLOOKUP(B16,'[1]BASE DE DATOS'!$A$5:$E$964,5,FALSE)</f>
        <v>19750</v>
      </c>
      <c r="G16" s="708">
        <v>0</v>
      </c>
      <c r="H16" s="252">
        <f t="shared" si="0"/>
        <v>39500</v>
      </c>
      <c r="I16" s="924"/>
    </row>
    <row r="17" spans="1:9" s="818" customFormat="1" ht="12.75" x14ac:dyDescent="0.2">
      <c r="A17" s="1075"/>
      <c r="B17" s="815" t="s">
        <v>1772</v>
      </c>
      <c r="C17" s="816" t="s">
        <v>2584</v>
      </c>
      <c r="D17" s="134" t="s">
        <v>411</v>
      </c>
      <c r="E17" s="704">
        <v>3</v>
      </c>
      <c r="F17" s="256">
        <f>VLOOKUP(B17,'[1]BASE DE DATOS'!$A$5:$E$964,5,FALSE)</f>
        <v>176550</v>
      </c>
      <c r="G17" s="708">
        <v>0</v>
      </c>
      <c r="H17" s="252">
        <f t="shared" si="0"/>
        <v>529650</v>
      </c>
      <c r="I17" s="924"/>
    </row>
    <row r="18" spans="1:9" s="818" customFormat="1" ht="12.75" x14ac:dyDescent="0.2">
      <c r="A18" s="1075"/>
      <c r="B18" s="815" t="s">
        <v>1791</v>
      </c>
      <c r="C18" s="816" t="s">
        <v>2585</v>
      </c>
      <c r="D18" s="134" t="s">
        <v>411</v>
      </c>
      <c r="E18" s="704">
        <v>1</v>
      </c>
      <c r="F18" s="256">
        <f>VLOOKUP(B18,'[1]BASE DE DATOS'!$A$5:$E$964,5,FALSE)</f>
        <v>90726</v>
      </c>
      <c r="G18" s="708">
        <v>0</v>
      </c>
      <c r="H18" s="252">
        <f t="shared" si="0"/>
        <v>90726</v>
      </c>
      <c r="I18" s="924"/>
    </row>
    <row r="19" spans="1:9" s="818" customFormat="1" ht="12.75" x14ac:dyDescent="0.2">
      <c r="A19" s="1075"/>
      <c r="B19" s="815" t="s">
        <v>2656</v>
      </c>
      <c r="C19" s="816" t="s">
        <v>2586</v>
      </c>
      <c r="D19" s="134" t="s">
        <v>411</v>
      </c>
      <c r="E19" s="704">
        <v>3</v>
      </c>
      <c r="F19" s="256">
        <f>VLOOKUP(B19,'[1]BASE DE DATOS'!$A$5:$E$964,5,FALSE)</f>
        <v>17500</v>
      </c>
      <c r="G19" s="708">
        <v>0</v>
      </c>
      <c r="H19" s="252">
        <f t="shared" si="0"/>
        <v>52500</v>
      </c>
      <c r="I19" s="924"/>
    </row>
    <row r="20" spans="1:9" s="818" customFormat="1" ht="12.75" x14ac:dyDescent="0.2">
      <c r="A20" s="1075"/>
      <c r="B20" s="815" t="s">
        <v>2657</v>
      </c>
      <c r="C20" s="816" t="s">
        <v>2587</v>
      </c>
      <c r="D20" s="134" t="s">
        <v>411</v>
      </c>
      <c r="E20" s="704">
        <v>3</v>
      </c>
      <c r="F20" s="256">
        <f>VLOOKUP(B20,'[1]BASE DE DATOS'!$A$5:$E$964,5,FALSE)</f>
        <v>6500</v>
      </c>
      <c r="G20" s="708">
        <v>0</v>
      </c>
      <c r="H20" s="252">
        <f t="shared" si="0"/>
        <v>19500</v>
      </c>
      <c r="I20" s="924"/>
    </row>
    <row r="21" spans="1:9" s="818" customFormat="1" ht="12.75" x14ac:dyDescent="0.2">
      <c r="A21" s="1075"/>
      <c r="B21" s="815" t="s">
        <v>2658</v>
      </c>
      <c r="C21" s="816" t="s">
        <v>2588</v>
      </c>
      <c r="D21" s="134" t="s">
        <v>411</v>
      </c>
      <c r="E21" s="704">
        <v>2</v>
      </c>
      <c r="F21" s="256">
        <f>VLOOKUP(B21,'[1]BASE DE DATOS'!$A$5:$E$964,5,FALSE)</f>
        <v>750</v>
      </c>
      <c r="G21" s="708">
        <v>0</v>
      </c>
      <c r="H21" s="252">
        <f t="shared" si="0"/>
        <v>1500</v>
      </c>
      <c r="I21" s="924"/>
    </row>
    <row r="22" spans="1:9" s="818" customFormat="1" ht="12.75" x14ac:dyDescent="0.2">
      <c r="A22" s="1075"/>
      <c r="B22" s="815" t="s">
        <v>2659</v>
      </c>
      <c r="C22" s="816" t="s">
        <v>2589</v>
      </c>
      <c r="D22" s="134" t="s">
        <v>411</v>
      </c>
      <c r="E22" s="704">
        <v>3</v>
      </c>
      <c r="F22" s="256">
        <f>VLOOKUP(B22,'[1]BASE DE DATOS'!$A$5:$E$964,5,FALSE)</f>
        <v>112207</v>
      </c>
      <c r="G22" s="708">
        <v>0</v>
      </c>
      <c r="H22" s="252">
        <f t="shared" si="0"/>
        <v>336621</v>
      </c>
      <c r="I22" s="924"/>
    </row>
    <row r="23" spans="1:9" s="818" customFormat="1" ht="12.75" x14ac:dyDescent="0.2">
      <c r="A23" s="1075"/>
      <c r="B23" s="815" t="s">
        <v>2660</v>
      </c>
      <c r="C23" s="816" t="s">
        <v>3244</v>
      </c>
      <c r="D23" s="134" t="s">
        <v>411</v>
      </c>
      <c r="E23" s="704">
        <v>1</v>
      </c>
      <c r="F23" s="256">
        <f>VLOOKUP(B23,'[1]BASE DE DATOS'!$A$5:$E$964,5,FALSE)</f>
        <v>1437000</v>
      </c>
      <c r="G23" s="708">
        <v>0</v>
      </c>
      <c r="H23" s="252">
        <f t="shared" si="0"/>
        <v>1437000</v>
      </c>
      <c r="I23" s="924"/>
    </row>
    <row r="24" spans="1:9" s="818" customFormat="1" ht="12.75" x14ac:dyDescent="0.2">
      <c r="A24" s="1075"/>
      <c r="B24" s="815" t="s">
        <v>2661</v>
      </c>
      <c r="C24" s="816" t="s">
        <v>2996</v>
      </c>
      <c r="D24" s="134" t="s">
        <v>411</v>
      </c>
      <c r="E24" s="704">
        <v>1</v>
      </c>
      <c r="F24" s="256">
        <f>VLOOKUP(B24,'[1]BASE DE DATOS'!$A$5:$E$964,5,FALSE)</f>
        <v>21169.833333333332</v>
      </c>
      <c r="G24" s="708">
        <v>1.05</v>
      </c>
      <c r="H24" s="252">
        <f t="shared" si="0"/>
        <v>22228.325000000001</v>
      </c>
      <c r="I24" s="924"/>
    </row>
    <row r="25" spans="1:9" s="818" customFormat="1" ht="12.75" x14ac:dyDescent="0.2">
      <c r="A25" s="1075"/>
      <c r="B25" s="815" t="s">
        <v>2662</v>
      </c>
      <c r="C25" s="816" t="s">
        <v>2591</v>
      </c>
      <c r="D25" s="134" t="s">
        <v>411</v>
      </c>
      <c r="E25" s="704">
        <v>4</v>
      </c>
      <c r="F25" s="256">
        <f>VLOOKUP(B25,'[1]BASE DE DATOS'!$A$5:$E$964,5,FALSE)</f>
        <v>7800</v>
      </c>
      <c r="G25" s="708">
        <v>0</v>
      </c>
      <c r="H25" s="252">
        <f t="shared" si="0"/>
        <v>31200</v>
      </c>
      <c r="I25" s="924"/>
    </row>
    <row r="26" spans="1:9" s="818" customFormat="1" ht="12.75" x14ac:dyDescent="0.2">
      <c r="A26" s="1075"/>
      <c r="B26" s="815" t="s">
        <v>2663</v>
      </c>
      <c r="C26" s="816" t="s">
        <v>2592</v>
      </c>
      <c r="D26" s="134" t="s">
        <v>411</v>
      </c>
      <c r="E26" s="704">
        <v>3</v>
      </c>
      <c r="F26" s="256">
        <f>VLOOKUP(B26,'[1]BASE DE DATOS'!$A$5:$E$964,5,FALSE)</f>
        <v>1400</v>
      </c>
      <c r="G26" s="708">
        <v>0</v>
      </c>
      <c r="H26" s="252">
        <f t="shared" si="0"/>
        <v>4200</v>
      </c>
      <c r="I26" s="924"/>
    </row>
    <row r="27" spans="1:9" s="818" customFormat="1" ht="12.75" x14ac:dyDescent="0.2">
      <c r="A27" s="1075"/>
      <c r="B27" s="815" t="s">
        <v>2664</v>
      </c>
      <c r="C27" s="816" t="s">
        <v>3053</v>
      </c>
      <c r="D27" s="134" t="s">
        <v>405</v>
      </c>
      <c r="E27" s="704">
        <v>3</v>
      </c>
      <c r="F27" s="256">
        <f>VLOOKUP(B27,'[1]BASE DE DATOS'!$A$5:$E$964,5,FALSE)</f>
        <v>6600</v>
      </c>
      <c r="G27" s="708">
        <v>1.01</v>
      </c>
      <c r="H27" s="252">
        <f t="shared" si="0"/>
        <v>19998</v>
      </c>
      <c r="I27" s="924"/>
    </row>
    <row r="28" spans="1:9" s="818" customFormat="1" ht="12.75" x14ac:dyDescent="0.2">
      <c r="A28" s="1075"/>
      <c r="B28" s="815" t="s">
        <v>1835</v>
      </c>
      <c r="C28" s="816" t="s">
        <v>2665</v>
      </c>
      <c r="D28" s="134" t="s">
        <v>411</v>
      </c>
      <c r="E28" s="704">
        <v>2</v>
      </c>
      <c r="F28" s="256">
        <f>VLOOKUP(B28,'[1]BASE DE DATOS'!$A$5:$E$964,5,FALSE)</f>
        <v>59900</v>
      </c>
      <c r="G28" s="708">
        <v>0</v>
      </c>
      <c r="H28" s="252">
        <f t="shared" si="0"/>
        <v>119800</v>
      </c>
      <c r="I28" s="924"/>
    </row>
    <row r="29" spans="1:9" s="818" customFormat="1" ht="12.75" x14ac:dyDescent="0.2">
      <c r="A29" s="63" t="s">
        <v>2555</v>
      </c>
      <c r="B29" s="819" t="s">
        <v>2666</v>
      </c>
      <c r="C29" s="180" t="s">
        <v>2599</v>
      </c>
      <c r="D29" s="177" t="s">
        <v>585</v>
      </c>
      <c r="E29" s="705">
        <v>1</v>
      </c>
      <c r="F29" s="256">
        <f>VLOOKUP(B29,'[1]BASE DE DATOS'!$A$5:$E$964,5,FALSE)</f>
        <v>1170568</v>
      </c>
      <c r="G29" s="709">
        <v>2.5</v>
      </c>
      <c r="H29" s="252">
        <f t="shared" si="0"/>
        <v>2926420</v>
      </c>
      <c r="I29" s="924"/>
    </row>
    <row r="30" spans="1:9" s="818" customFormat="1" ht="13.5" thickBot="1" x14ac:dyDescent="0.25">
      <c r="A30" s="246" t="s">
        <v>293</v>
      </c>
      <c r="B30" s="535" t="s">
        <v>269</v>
      </c>
      <c r="C30" s="235" t="s">
        <v>284</v>
      </c>
      <c r="D30" s="177" t="s">
        <v>586</v>
      </c>
      <c r="E30" s="705">
        <v>0.03</v>
      </c>
      <c r="F30" s="253">
        <f>H29</f>
        <v>2926420</v>
      </c>
      <c r="G30" s="709">
        <v>0</v>
      </c>
      <c r="H30" s="252">
        <f t="shared" si="0"/>
        <v>87792.599999999991</v>
      </c>
      <c r="I30" s="924"/>
    </row>
    <row r="31" spans="1:9" s="814" customFormat="1" ht="30" x14ac:dyDescent="0.2">
      <c r="A31" s="523" t="s">
        <v>2593</v>
      </c>
      <c r="B31" s="868"/>
      <c r="C31" s="178" t="s">
        <v>2430</v>
      </c>
      <c r="D31" s="179" t="s">
        <v>411</v>
      </c>
      <c r="E31" s="706"/>
      <c r="F31" s="259">
        <f>ROUND(SUM(H31:H41),0)</f>
        <v>4261076</v>
      </c>
      <c r="G31" s="710"/>
      <c r="H31" s="254"/>
      <c r="I31" s="923"/>
    </row>
    <row r="32" spans="1:9" ht="12.75" x14ac:dyDescent="0.2">
      <c r="A32" s="1098" t="s">
        <v>295</v>
      </c>
      <c r="B32" s="533" t="s">
        <v>1340</v>
      </c>
      <c r="C32" s="816" t="s">
        <v>2577</v>
      </c>
      <c r="D32" s="177" t="s">
        <v>411</v>
      </c>
      <c r="E32" s="705">
        <v>32</v>
      </c>
      <c r="F32" s="256">
        <f>VLOOKUP(B32,'[1]BASE DE DATOS'!$A$5:$E$964,5,FALSE)</f>
        <v>800</v>
      </c>
      <c r="G32" s="709">
        <v>0</v>
      </c>
      <c r="H32" s="252">
        <f t="shared" si="0"/>
        <v>25600</v>
      </c>
    </row>
    <row r="33" spans="1:9" ht="12.75" x14ac:dyDescent="0.2">
      <c r="A33" s="1099"/>
      <c r="B33" s="533" t="s">
        <v>1348</v>
      </c>
      <c r="C33" s="816" t="s">
        <v>2578</v>
      </c>
      <c r="D33" s="177" t="s">
        <v>411</v>
      </c>
      <c r="E33" s="705">
        <v>24</v>
      </c>
      <c r="F33" s="256">
        <f>VLOOKUP(B33,'[1]BASE DE DATOS'!$A$5:$E$964,5,FALSE)</f>
        <v>550</v>
      </c>
      <c r="G33" s="709">
        <v>0</v>
      </c>
      <c r="H33" s="252">
        <f t="shared" si="0"/>
        <v>13200</v>
      </c>
    </row>
    <row r="34" spans="1:9" ht="12.75" x14ac:dyDescent="0.2">
      <c r="A34" s="1099"/>
      <c r="B34" s="533" t="s">
        <v>1359</v>
      </c>
      <c r="C34" s="816" t="s">
        <v>2579</v>
      </c>
      <c r="D34" s="177" t="s">
        <v>411</v>
      </c>
      <c r="E34" s="705">
        <v>32</v>
      </c>
      <c r="F34" s="256">
        <f>VLOOKUP(B34,'[1]BASE DE DATOS'!$A$5:$E$964,5,FALSE)</f>
        <v>250</v>
      </c>
      <c r="G34" s="709">
        <v>0</v>
      </c>
      <c r="H34" s="252">
        <f t="shared" si="0"/>
        <v>8000</v>
      </c>
    </row>
    <row r="35" spans="1:9" ht="12.75" x14ac:dyDescent="0.2">
      <c r="A35" s="1099"/>
      <c r="B35" s="533" t="s">
        <v>1604</v>
      </c>
      <c r="C35" s="816" t="s">
        <v>2594</v>
      </c>
      <c r="D35" s="177" t="s">
        <v>411</v>
      </c>
      <c r="E35" s="705">
        <v>4</v>
      </c>
      <c r="F35" s="256">
        <f>VLOOKUP(B35,'[1]BASE DE DATOS'!$A$5:$E$964,5,FALSE)</f>
        <v>20400</v>
      </c>
      <c r="G35" s="709">
        <v>0</v>
      </c>
      <c r="H35" s="252">
        <f t="shared" si="0"/>
        <v>81600</v>
      </c>
    </row>
    <row r="36" spans="1:9" ht="12.75" x14ac:dyDescent="0.2">
      <c r="A36" s="1099"/>
      <c r="B36" s="533" t="s">
        <v>2875</v>
      </c>
      <c r="C36" s="821" t="s">
        <v>2595</v>
      </c>
      <c r="D36" s="177" t="s">
        <v>411</v>
      </c>
      <c r="E36" s="705">
        <v>4</v>
      </c>
      <c r="F36" s="256">
        <f>VLOOKUP(B36,'[1]BASE DE DATOS'!$A$5:$E$964,5,FALSE)</f>
        <v>301681</v>
      </c>
      <c r="G36" s="709">
        <v>0</v>
      </c>
      <c r="H36" s="252">
        <f t="shared" si="0"/>
        <v>1206724</v>
      </c>
    </row>
    <row r="37" spans="1:9" ht="12.75" x14ac:dyDescent="0.2">
      <c r="A37" s="1099"/>
      <c r="B37" s="533" t="s">
        <v>2981</v>
      </c>
      <c r="C37" s="180" t="s">
        <v>2596</v>
      </c>
      <c r="D37" s="177" t="s">
        <v>411</v>
      </c>
      <c r="E37" s="705">
        <v>12</v>
      </c>
      <c r="F37" s="256">
        <f>VLOOKUP(B37,'[1]BASE DE DATOS'!$A$5:$E$964,5,FALSE)</f>
        <v>64540</v>
      </c>
      <c r="G37" s="709">
        <v>1.03</v>
      </c>
      <c r="H37" s="252">
        <f t="shared" si="0"/>
        <v>797714.39999999991</v>
      </c>
    </row>
    <row r="38" spans="1:9" ht="12.75" x14ac:dyDescent="0.2">
      <c r="A38" s="1099"/>
      <c r="B38" s="533" t="s">
        <v>2662</v>
      </c>
      <c r="C38" s="816" t="s">
        <v>2591</v>
      </c>
      <c r="D38" s="177" t="s">
        <v>411</v>
      </c>
      <c r="E38" s="705">
        <v>16</v>
      </c>
      <c r="F38" s="256">
        <f>VLOOKUP(B38,'[1]BASE DE DATOS'!$A$5:$E$964,5,FALSE)</f>
        <v>7800</v>
      </c>
      <c r="G38" s="709">
        <v>0</v>
      </c>
      <c r="H38" s="252">
        <f t="shared" si="0"/>
        <v>124800</v>
      </c>
    </row>
    <row r="39" spans="1:9" ht="12.75" x14ac:dyDescent="0.2">
      <c r="A39" s="1099"/>
      <c r="B39" s="533" t="s">
        <v>3044</v>
      </c>
      <c r="C39" s="821" t="s">
        <v>2597</v>
      </c>
      <c r="D39" s="177" t="s">
        <v>411</v>
      </c>
      <c r="E39" s="705">
        <v>24</v>
      </c>
      <c r="F39" s="256">
        <f>VLOOKUP(B39,'[1]BASE DE DATOS'!$A$5:$E$964,5,FALSE)</f>
        <v>3000</v>
      </c>
      <c r="G39" s="709">
        <v>0</v>
      </c>
      <c r="H39" s="252">
        <f t="shared" si="0"/>
        <v>72000</v>
      </c>
    </row>
    <row r="40" spans="1:9" ht="15" x14ac:dyDescent="0.2">
      <c r="A40" s="247" t="s">
        <v>2555</v>
      </c>
      <c r="B40" s="534" t="s">
        <v>2666</v>
      </c>
      <c r="C40" s="180" t="s">
        <v>2599</v>
      </c>
      <c r="D40" s="177" t="s">
        <v>585</v>
      </c>
      <c r="E40" s="705">
        <v>1</v>
      </c>
      <c r="F40" s="256">
        <f>VLOOKUP(B40,'[1]BASE DE DATOS'!$A$5:$E$964,5,FALSE)</f>
        <v>1170568</v>
      </c>
      <c r="G40" s="709">
        <v>1.5</v>
      </c>
      <c r="H40" s="252">
        <f t="shared" si="0"/>
        <v>1755852</v>
      </c>
    </row>
    <row r="41" spans="1:9" ht="15.75" thickBot="1" x14ac:dyDescent="0.25">
      <c r="A41" s="245" t="s">
        <v>293</v>
      </c>
      <c r="B41" s="535" t="s">
        <v>269</v>
      </c>
      <c r="C41" s="235" t="s">
        <v>284</v>
      </c>
      <c r="D41" s="177" t="s">
        <v>2199</v>
      </c>
      <c r="E41" s="705">
        <v>0.1</v>
      </c>
      <c r="F41" s="253">
        <f>H40</f>
        <v>1755852</v>
      </c>
      <c r="G41" s="709">
        <v>0</v>
      </c>
      <c r="H41" s="252">
        <f t="shared" si="0"/>
        <v>175585.2</v>
      </c>
    </row>
    <row r="42" spans="1:9" ht="45" x14ac:dyDescent="0.2">
      <c r="A42" s="292" t="s">
        <v>2227</v>
      </c>
      <c r="B42" s="868"/>
      <c r="C42" s="178" t="s">
        <v>2431</v>
      </c>
      <c r="D42" s="179" t="s">
        <v>411</v>
      </c>
      <c r="E42" s="706"/>
      <c r="F42" s="259">
        <f>ROUND(SUM(H42:H52),0)</f>
        <v>4436661</v>
      </c>
      <c r="G42" s="710"/>
      <c r="H42" s="254"/>
    </row>
    <row r="43" spans="1:9" s="818" customFormat="1" ht="12.75" x14ac:dyDescent="0.2">
      <c r="A43" s="1100" t="s">
        <v>295</v>
      </c>
      <c r="B43" s="533" t="s">
        <v>1340</v>
      </c>
      <c r="C43" s="816" t="s">
        <v>2577</v>
      </c>
      <c r="D43" s="177" t="s">
        <v>411</v>
      </c>
      <c r="E43" s="705">
        <v>32</v>
      </c>
      <c r="F43" s="256">
        <f>VLOOKUP(B43,'[1]BASE DE DATOS'!$A$5:$E$964,5,FALSE)</f>
        <v>800</v>
      </c>
      <c r="G43" s="709">
        <v>0</v>
      </c>
      <c r="H43" s="252">
        <f t="shared" si="0"/>
        <v>25600</v>
      </c>
      <c r="I43" s="924"/>
    </row>
    <row r="44" spans="1:9" s="818" customFormat="1" ht="12.75" x14ac:dyDescent="0.2">
      <c r="A44" s="1075"/>
      <c r="B44" s="533" t="s">
        <v>1348</v>
      </c>
      <c r="C44" s="816" t="s">
        <v>2578</v>
      </c>
      <c r="D44" s="177" t="s">
        <v>411</v>
      </c>
      <c r="E44" s="705">
        <v>24</v>
      </c>
      <c r="F44" s="256">
        <f>VLOOKUP(B44,'[1]BASE DE DATOS'!$A$5:$E$964,5,FALSE)</f>
        <v>550</v>
      </c>
      <c r="G44" s="709">
        <v>0</v>
      </c>
      <c r="H44" s="252">
        <f t="shared" si="0"/>
        <v>13200</v>
      </c>
      <c r="I44" s="924"/>
    </row>
    <row r="45" spans="1:9" s="818" customFormat="1" ht="12.75" x14ac:dyDescent="0.2">
      <c r="A45" s="1075"/>
      <c r="B45" s="533" t="s">
        <v>1359</v>
      </c>
      <c r="C45" s="816" t="s">
        <v>2579</v>
      </c>
      <c r="D45" s="177" t="s">
        <v>411</v>
      </c>
      <c r="E45" s="705">
        <v>32</v>
      </c>
      <c r="F45" s="256">
        <f>VLOOKUP(B45,'[1]BASE DE DATOS'!$A$5:$E$964,5,FALSE)</f>
        <v>250</v>
      </c>
      <c r="G45" s="709">
        <v>0</v>
      </c>
      <c r="H45" s="252">
        <f t="shared" si="0"/>
        <v>8000</v>
      </c>
      <c r="I45" s="924"/>
    </row>
    <row r="46" spans="1:9" s="818" customFormat="1" ht="12.75" x14ac:dyDescent="0.2">
      <c r="A46" s="1075"/>
      <c r="B46" s="533" t="s">
        <v>1604</v>
      </c>
      <c r="C46" s="816" t="s">
        <v>2594</v>
      </c>
      <c r="D46" s="177" t="s">
        <v>411</v>
      </c>
      <c r="E46" s="705">
        <v>4</v>
      </c>
      <c r="F46" s="256">
        <f>VLOOKUP(B46,'[1]BASE DE DATOS'!$A$5:$E$964,5,FALSE)</f>
        <v>20400</v>
      </c>
      <c r="G46" s="709">
        <v>0</v>
      </c>
      <c r="H46" s="252">
        <f t="shared" si="0"/>
        <v>81600</v>
      </c>
      <c r="I46" s="924"/>
    </row>
    <row r="47" spans="1:9" s="818" customFormat="1" ht="12.75" x14ac:dyDescent="0.2">
      <c r="A47" s="1075"/>
      <c r="B47" s="533" t="s">
        <v>2875</v>
      </c>
      <c r="C47" s="821" t="s">
        <v>2595</v>
      </c>
      <c r="D47" s="177" t="s">
        <v>411</v>
      </c>
      <c r="E47" s="705">
        <v>4</v>
      </c>
      <c r="F47" s="256">
        <f>VLOOKUP(B47,'[1]BASE DE DATOS'!$A$5:$E$964,5,FALSE)</f>
        <v>301681</v>
      </c>
      <c r="G47" s="709">
        <v>0</v>
      </c>
      <c r="H47" s="252">
        <f t="shared" si="0"/>
        <v>1206724</v>
      </c>
      <c r="I47" s="924"/>
    </row>
    <row r="48" spans="1:9" s="818" customFormat="1" ht="12.75" x14ac:dyDescent="0.2">
      <c r="A48" s="1075"/>
      <c r="B48" s="533" t="s">
        <v>2981</v>
      </c>
      <c r="C48" s="180" t="s">
        <v>2596</v>
      </c>
      <c r="D48" s="177" t="s">
        <v>411</v>
      </c>
      <c r="E48" s="705">
        <v>12</v>
      </c>
      <c r="F48" s="256">
        <f>VLOOKUP(B48,'[1]BASE DE DATOS'!$A$5:$E$964,5,FALSE)</f>
        <v>64540</v>
      </c>
      <c r="G48" s="709">
        <v>1.03</v>
      </c>
      <c r="H48" s="252">
        <f t="shared" si="0"/>
        <v>797714.39999999991</v>
      </c>
      <c r="I48" s="924"/>
    </row>
    <row r="49" spans="1:9" s="818" customFormat="1" ht="12.75" x14ac:dyDescent="0.2">
      <c r="A49" s="1075"/>
      <c r="B49" s="533" t="s">
        <v>2662</v>
      </c>
      <c r="C49" s="816" t="s">
        <v>2591</v>
      </c>
      <c r="D49" s="177" t="s">
        <v>411</v>
      </c>
      <c r="E49" s="705">
        <v>16</v>
      </c>
      <c r="F49" s="256">
        <f>VLOOKUP(B49,'[1]BASE DE DATOS'!$A$5:$E$964,5,FALSE)</f>
        <v>7800</v>
      </c>
      <c r="G49" s="709">
        <v>0</v>
      </c>
      <c r="H49" s="252">
        <f t="shared" si="0"/>
        <v>124800</v>
      </c>
      <c r="I49" s="924"/>
    </row>
    <row r="50" spans="1:9" s="818" customFormat="1" ht="12.75" x14ac:dyDescent="0.2">
      <c r="A50" s="1075"/>
      <c r="B50" s="533" t="s">
        <v>3044</v>
      </c>
      <c r="C50" s="821" t="s">
        <v>2597</v>
      </c>
      <c r="D50" s="177" t="s">
        <v>411</v>
      </c>
      <c r="E50" s="705">
        <v>24</v>
      </c>
      <c r="F50" s="256">
        <f>VLOOKUP(B50,'[1]BASE DE DATOS'!$A$5:$E$964,5,FALSE)</f>
        <v>3000</v>
      </c>
      <c r="G50" s="709">
        <v>0</v>
      </c>
      <c r="H50" s="252">
        <f t="shared" si="0"/>
        <v>72000</v>
      </c>
      <c r="I50" s="924"/>
    </row>
    <row r="51" spans="1:9" s="818" customFormat="1" ht="12.75" x14ac:dyDescent="0.2">
      <c r="A51" s="63" t="s">
        <v>2555</v>
      </c>
      <c r="B51" s="534" t="s">
        <v>2666</v>
      </c>
      <c r="C51" s="180" t="s">
        <v>2599</v>
      </c>
      <c r="D51" s="134" t="s">
        <v>585</v>
      </c>
      <c r="E51" s="704">
        <v>1</v>
      </c>
      <c r="F51" s="256">
        <f>VLOOKUP(B51,'[1]BASE DE DATOS'!$A$5:$E$964,5,FALSE)</f>
        <v>1170568</v>
      </c>
      <c r="G51" s="708">
        <v>1.5</v>
      </c>
      <c r="H51" s="252">
        <f t="shared" si="0"/>
        <v>1755852</v>
      </c>
      <c r="I51" s="924"/>
    </row>
    <row r="52" spans="1:9" s="818" customFormat="1" ht="13.5" thickBot="1" x14ac:dyDescent="0.25">
      <c r="A52" s="246" t="s">
        <v>293</v>
      </c>
      <c r="B52" s="535" t="s">
        <v>269</v>
      </c>
      <c r="C52" s="235" t="s">
        <v>284</v>
      </c>
      <c r="D52" s="177" t="s">
        <v>2199</v>
      </c>
      <c r="E52" s="704">
        <v>0.2</v>
      </c>
      <c r="F52" s="251">
        <f>H51</f>
        <v>1755852</v>
      </c>
      <c r="G52" s="708">
        <v>0</v>
      </c>
      <c r="H52" s="252">
        <f t="shared" si="0"/>
        <v>351170.4</v>
      </c>
      <c r="I52" s="924"/>
    </row>
    <row r="53" spans="1:9" ht="45" x14ac:dyDescent="0.2">
      <c r="A53" s="523" t="s">
        <v>2228</v>
      </c>
      <c r="B53" s="868"/>
      <c r="C53" s="135" t="s">
        <v>3163</v>
      </c>
      <c r="D53" s="133" t="s">
        <v>411</v>
      </c>
      <c r="E53" s="707"/>
      <c r="F53" s="259">
        <f>ROUND(SUM(H53:H67),0)</f>
        <v>3303000</v>
      </c>
      <c r="G53" s="711"/>
      <c r="H53" s="250"/>
    </row>
    <row r="54" spans="1:9" s="818" customFormat="1" ht="12.75" x14ac:dyDescent="0.2">
      <c r="A54" s="1100" t="s">
        <v>295</v>
      </c>
      <c r="B54" s="533" t="s">
        <v>1340</v>
      </c>
      <c r="C54" s="816" t="s">
        <v>2577</v>
      </c>
      <c r="D54" s="134" t="s">
        <v>411</v>
      </c>
      <c r="E54" s="704">
        <v>24</v>
      </c>
      <c r="F54" s="256">
        <f>VLOOKUP(B54,'[1]BASE DE DATOS'!$A$5:$E$964,5,FALSE)</f>
        <v>800</v>
      </c>
      <c r="G54" s="708">
        <v>0</v>
      </c>
      <c r="H54" s="252">
        <f t="shared" si="0"/>
        <v>19200</v>
      </c>
      <c r="I54" s="924"/>
    </row>
    <row r="55" spans="1:9" s="818" customFormat="1" ht="12.75" x14ac:dyDescent="0.2">
      <c r="A55" s="1075"/>
      <c r="B55" s="533" t="s">
        <v>1597</v>
      </c>
      <c r="C55" s="816" t="s">
        <v>2581</v>
      </c>
      <c r="D55" s="134" t="s">
        <v>405</v>
      </c>
      <c r="E55" s="704">
        <v>6</v>
      </c>
      <c r="F55" s="256">
        <f>VLOOKUP(B55,'[1]BASE DE DATOS'!$A$5:$E$964,5,FALSE)</f>
        <v>4033</v>
      </c>
      <c r="G55" s="708">
        <v>1.05</v>
      </c>
      <c r="H55" s="252">
        <f t="shared" si="0"/>
        <v>25407.9</v>
      </c>
      <c r="I55" s="924"/>
    </row>
    <row r="56" spans="1:9" s="818" customFormat="1" ht="12.75" x14ac:dyDescent="0.2">
      <c r="A56" s="1075"/>
      <c r="B56" s="533" t="s">
        <v>1605</v>
      </c>
      <c r="C56" s="816" t="s">
        <v>2582</v>
      </c>
      <c r="D56" s="134" t="s">
        <v>411</v>
      </c>
      <c r="E56" s="704">
        <v>1</v>
      </c>
      <c r="F56" s="256">
        <f>VLOOKUP(B56,'[1]BASE DE DATOS'!$A$5:$E$964,5,FALSE)</f>
        <v>19750</v>
      </c>
      <c r="G56" s="708">
        <v>0</v>
      </c>
      <c r="H56" s="252">
        <f t="shared" si="0"/>
        <v>19750</v>
      </c>
      <c r="I56" s="924"/>
    </row>
    <row r="57" spans="1:9" s="818" customFormat="1" ht="12.75" x14ac:dyDescent="0.2">
      <c r="A57" s="1075"/>
      <c r="B57" s="533" t="s">
        <v>1657</v>
      </c>
      <c r="C57" s="816" t="s">
        <v>2865</v>
      </c>
      <c r="D57" s="134" t="s">
        <v>411</v>
      </c>
      <c r="E57" s="704">
        <v>2</v>
      </c>
      <c r="F57" s="256">
        <f>VLOOKUP(B57,'[1]BASE DE DATOS'!$A$5:$E$964,5,FALSE)</f>
        <v>17948</v>
      </c>
      <c r="G57" s="708">
        <v>0</v>
      </c>
      <c r="H57" s="252">
        <f t="shared" si="0"/>
        <v>35896</v>
      </c>
      <c r="I57" s="924"/>
    </row>
    <row r="58" spans="1:9" s="818" customFormat="1" ht="12.75" x14ac:dyDescent="0.2">
      <c r="A58" s="1075"/>
      <c r="B58" s="533" t="s">
        <v>1759</v>
      </c>
      <c r="C58" s="816" t="s">
        <v>3126</v>
      </c>
      <c r="D58" s="134" t="s">
        <v>411</v>
      </c>
      <c r="E58" s="704">
        <v>1</v>
      </c>
      <c r="F58" s="256">
        <f>VLOOKUP(B58,'[1]BASE DE DATOS'!$A$5:$E$964,5,FALSE)</f>
        <v>7300</v>
      </c>
      <c r="G58" s="708">
        <v>0</v>
      </c>
      <c r="H58" s="252">
        <f t="shared" si="0"/>
        <v>7300</v>
      </c>
      <c r="I58" s="924"/>
    </row>
    <row r="59" spans="1:9" s="818" customFormat="1" ht="12.75" x14ac:dyDescent="0.2">
      <c r="A59" s="1075"/>
      <c r="B59" s="533" t="s">
        <v>1771</v>
      </c>
      <c r="C59" s="816" t="s">
        <v>3127</v>
      </c>
      <c r="D59" s="134" t="s">
        <v>411</v>
      </c>
      <c r="E59" s="704">
        <v>6</v>
      </c>
      <c r="F59" s="256">
        <f>VLOOKUP(B59,'[1]BASE DE DATOS'!$A$5:$E$964,5,FALSE)</f>
        <v>7850</v>
      </c>
      <c r="G59" s="708">
        <v>0</v>
      </c>
      <c r="H59" s="252">
        <f t="shared" si="0"/>
        <v>47100</v>
      </c>
      <c r="I59" s="924"/>
    </row>
    <row r="60" spans="1:9" s="818" customFormat="1" ht="12.75" x14ac:dyDescent="0.2">
      <c r="A60" s="1075"/>
      <c r="B60" s="533" t="s">
        <v>2872</v>
      </c>
      <c r="C60" s="816" t="s">
        <v>3129</v>
      </c>
      <c r="D60" s="134" t="s">
        <v>405</v>
      </c>
      <c r="E60" s="704">
        <v>2</v>
      </c>
      <c r="F60" s="256">
        <f>VLOOKUP(B60,'[1]BASE DE DATOS'!$A$5:$E$964,5,FALSE)</f>
        <v>8745</v>
      </c>
      <c r="G60" s="708">
        <v>0</v>
      </c>
      <c r="H60" s="252">
        <f t="shared" si="0"/>
        <v>17490</v>
      </c>
      <c r="I60" s="924"/>
    </row>
    <row r="61" spans="1:9" s="818" customFormat="1" ht="12.75" x14ac:dyDescent="0.2">
      <c r="A61" s="1075"/>
      <c r="B61" s="533" t="s">
        <v>1794</v>
      </c>
      <c r="C61" s="816" t="s">
        <v>2874</v>
      </c>
      <c r="D61" s="134" t="s">
        <v>411</v>
      </c>
      <c r="E61" s="704">
        <v>2</v>
      </c>
      <c r="F61" s="256">
        <f>VLOOKUP(B61,'[1]BASE DE DATOS'!$A$5:$E$964,5,FALSE)</f>
        <v>182850</v>
      </c>
      <c r="G61" s="708">
        <v>0</v>
      </c>
      <c r="H61" s="252">
        <f t="shared" si="0"/>
        <v>365700</v>
      </c>
      <c r="I61" s="924"/>
    </row>
    <row r="62" spans="1:9" s="818" customFormat="1" ht="12.75" x14ac:dyDescent="0.2">
      <c r="A62" s="1075"/>
      <c r="B62" s="533" t="s">
        <v>2658</v>
      </c>
      <c r="C62" s="816" t="s">
        <v>2588</v>
      </c>
      <c r="D62" s="134" t="s">
        <v>411</v>
      </c>
      <c r="E62" s="704">
        <v>4</v>
      </c>
      <c r="F62" s="256">
        <f>VLOOKUP(B62,'[1]BASE DE DATOS'!$A$5:$E$964,5,FALSE)</f>
        <v>750</v>
      </c>
      <c r="G62" s="708">
        <v>0</v>
      </c>
      <c r="H62" s="252">
        <f t="shared" si="0"/>
        <v>3000</v>
      </c>
      <c r="I62" s="924"/>
    </row>
    <row r="63" spans="1:9" s="818" customFormat="1" ht="12.75" x14ac:dyDescent="0.2">
      <c r="A63" s="1075"/>
      <c r="B63" s="533" t="s">
        <v>2981</v>
      </c>
      <c r="C63" s="816" t="s">
        <v>2596</v>
      </c>
      <c r="D63" s="134" t="s">
        <v>411</v>
      </c>
      <c r="E63" s="704">
        <v>6</v>
      </c>
      <c r="F63" s="256">
        <f>VLOOKUP(B63,'[1]BASE DE DATOS'!$A$5:$E$964,5,FALSE)</f>
        <v>64540</v>
      </c>
      <c r="G63" s="708">
        <v>1.03</v>
      </c>
      <c r="H63" s="252">
        <f t="shared" si="0"/>
        <v>398857.19999999995</v>
      </c>
      <c r="I63" s="924"/>
    </row>
    <row r="64" spans="1:9" s="818" customFormat="1" ht="12.75" x14ac:dyDescent="0.2">
      <c r="A64" s="1075"/>
      <c r="B64" s="533" t="s">
        <v>3045</v>
      </c>
      <c r="C64" s="816" t="s">
        <v>3046</v>
      </c>
      <c r="D64" s="134" t="s">
        <v>411</v>
      </c>
      <c r="E64" s="704">
        <v>24</v>
      </c>
      <c r="F64" s="256">
        <f>VLOOKUP(B64,'[1]BASE DE DATOS'!$A$5:$E$964,5,FALSE)</f>
        <v>1700</v>
      </c>
      <c r="G64" s="708">
        <v>0</v>
      </c>
      <c r="H64" s="252">
        <f t="shared" si="0"/>
        <v>40800</v>
      </c>
      <c r="I64" s="924"/>
    </row>
    <row r="65" spans="1:9" s="818" customFormat="1" ht="12.75" x14ac:dyDescent="0.2">
      <c r="A65" s="1075"/>
      <c r="B65" s="533" t="s">
        <v>1818</v>
      </c>
      <c r="C65" s="816" t="s">
        <v>3068</v>
      </c>
      <c r="D65" s="134" t="s">
        <v>405</v>
      </c>
      <c r="E65" s="704">
        <v>8</v>
      </c>
      <c r="F65" s="256">
        <f>VLOOKUP(B65,'[1]BASE DE DATOS'!$A$5:$E$964,5,FALSE)</f>
        <v>26150</v>
      </c>
      <c r="G65" s="708">
        <v>1.03</v>
      </c>
      <c r="H65" s="252">
        <f t="shared" si="0"/>
        <v>215476</v>
      </c>
      <c r="I65" s="924"/>
    </row>
    <row r="66" spans="1:9" s="818" customFormat="1" ht="12.75" x14ac:dyDescent="0.2">
      <c r="A66" s="63" t="s">
        <v>2555</v>
      </c>
      <c r="B66" s="534" t="s">
        <v>2666</v>
      </c>
      <c r="C66" s="180" t="s">
        <v>2599</v>
      </c>
      <c r="D66" s="134" t="s">
        <v>585</v>
      </c>
      <c r="E66" s="704">
        <v>1</v>
      </c>
      <c r="F66" s="256">
        <f>VLOOKUP(B66,'[1]BASE DE DATOS'!$A$5:$E$964,5,FALSE)</f>
        <v>1170568</v>
      </c>
      <c r="G66" s="708">
        <v>1.2</v>
      </c>
      <c r="H66" s="252">
        <f t="shared" si="0"/>
        <v>1404681.5999999999</v>
      </c>
      <c r="I66" s="924"/>
    </row>
    <row r="67" spans="1:9" s="818" customFormat="1" ht="13.5" thickBot="1" x14ac:dyDescent="0.25">
      <c r="A67" s="246" t="s">
        <v>293</v>
      </c>
      <c r="B67" s="535" t="s">
        <v>269</v>
      </c>
      <c r="C67" s="235" t="s">
        <v>284</v>
      </c>
      <c r="D67" s="177" t="s">
        <v>2199</v>
      </c>
      <c r="E67" s="704">
        <v>0.5</v>
      </c>
      <c r="F67" s="251">
        <f>H66</f>
        <v>1404681.5999999999</v>
      </c>
      <c r="G67" s="708">
        <v>0</v>
      </c>
      <c r="H67" s="252">
        <f t="shared" si="0"/>
        <v>702340.79999999993</v>
      </c>
      <c r="I67" s="924"/>
    </row>
    <row r="68" spans="1:9" ht="45" x14ac:dyDescent="0.2">
      <c r="A68" s="523" t="s">
        <v>2229</v>
      </c>
      <c r="B68" s="868"/>
      <c r="C68" s="135" t="s">
        <v>2230</v>
      </c>
      <c r="D68" s="133" t="s">
        <v>405</v>
      </c>
      <c r="E68" s="707"/>
      <c r="F68" s="259">
        <f>ROUND(SUM(H68:H71),0)</f>
        <v>32270</v>
      </c>
      <c r="G68" s="711"/>
      <c r="H68" s="250"/>
    </row>
    <row r="69" spans="1:9" s="818" customFormat="1" ht="12.75" x14ac:dyDescent="0.2">
      <c r="A69" s="514" t="s">
        <v>382</v>
      </c>
      <c r="B69" s="533" t="s">
        <v>1417</v>
      </c>
      <c r="C69" s="816" t="s">
        <v>2810</v>
      </c>
      <c r="D69" s="134" t="s">
        <v>405</v>
      </c>
      <c r="E69" s="704">
        <v>1</v>
      </c>
      <c r="F69" s="256">
        <f>VLOOKUP(B69,'[1]BASE DE DATOS'!$A$5:$E$964,5,FALSE)</f>
        <v>9450</v>
      </c>
      <c r="G69" s="708">
        <v>1.05</v>
      </c>
      <c r="H69" s="252">
        <f t="shared" si="0"/>
        <v>9922.5</v>
      </c>
      <c r="I69" s="924"/>
    </row>
    <row r="70" spans="1:9" s="818" customFormat="1" ht="12.75" x14ac:dyDescent="0.2">
      <c r="A70" s="63" t="s">
        <v>2555</v>
      </c>
      <c r="B70" s="534" t="s">
        <v>2667</v>
      </c>
      <c r="C70" s="816" t="s">
        <v>2600</v>
      </c>
      <c r="D70" s="134" t="s">
        <v>585</v>
      </c>
      <c r="E70" s="704">
        <v>1</v>
      </c>
      <c r="F70" s="256">
        <f>VLOOKUP(B70,'[1]BASE DE DATOS'!$A$5:$E$964,5,FALSE)</f>
        <v>319246</v>
      </c>
      <c r="G70" s="708">
        <f>1/15</f>
        <v>6.6666666666666666E-2</v>
      </c>
      <c r="H70" s="252">
        <f t="shared" si="0"/>
        <v>21283.066666666666</v>
      </c>
      <c r="I70" s="924"/>
    </row>
    <row r="71" spans="1:9" s="818" customFormat="1" ht="13.5" thickBot="1" x14ac:dyDescent="0.25">
      <c r="A71" s="246" t="s">
        <v>293</v>
      </c>
      <c r="B71" s="535" t="s">
        <v>269</v>
      </c>
      <c r="C71" s="235" t="s">
        <v>284</v>
      </c>
      <c r="D71" s="177" t="s">
        <v>2199</v>
      </c>
      <c r="E71" s="704">
        <v>0.05</v>
      </c>
      <c r="F71" s="251">
        <f>H70</f>
        <v>21283.066666666666</v>
      </c>
      <c r="G71" s="708">
        <v>0</v>
      </c>
      <c r="H71" s="252">
        <f t="shared" si="0"/>
        <v>1064.1533333333334</v>
      </c>
      <c r="I71" s="924"/>
    </row>
    <row r="72" spans="1:9" ht="30" x14ac:dyDescent="0.2">
      <c r="A72" s="523" t="s">
        <v>2232</v>
      </c>
      <c r="B72" s="868"/>
      <c r="C72" s="135" t="s">
        <v>2432</v>
      </c>
      <c r="D72" s="133" t="s">
        <v>411</v>
      </c>
      <c r="E72" s="707"/>
      <c r="F72" s="259">
        <f>ROUND(SUM(H72:H75),0)</f>
        <v>26560391</v>
      </c>
      <c r="G72" s="711"/>
      <c r="H72" s="250"/>
    </row>
    <row r="73" spans="1:9" s="818" customFormat="1" ht="12.75" x14ac:dyDescent="0.2">
      <c r="A73" s="514" t="s">
        <v>382</v>
      </c>
      <c r="B73" s="533" t="s">
        <v>3047</v>
      </c>
      <c r="C73" s="816" t="s">
        <v>3048</v>
      </c>
      <c r="D73" s="134" t="s">
        <v>411</v>
      </c>
      <c r="E73" s="704">
        <v>1</v>
      </c>
      <c r="F73" s="256">
        <f>VLOOKUP(B73,'[1]BASE DE DATOS'!$A$5:$E$964,5,FALSE)</f>
        <v>23487650</v>
      </c>
      <c r="G73" s="708">
        <v>0</v>
      </c>
      <c r="H73" s="252">
        <f t="shared" si="0"/>
        <v>23487650</v>
      </c>
      <c r="I73" s="924"/>
    </row>
    <row r="74" spans="1:9" s="818" customFormat="1" ht="12.75" x14ac:dyDescent="0.2">
      <c r="A74" s="63" t="s">
        <v>2555</v>
      </c>
      <c r="B74" s="534" t="s">
        <v>2666</v>
      </c>
      <c r="C74" s="180" t="s">
        <v>2599</v>
      </c>
      <c r="D74" s="134" t="s">
        <v>585</v>
      </c>
      <c r="E74" s="704">
        <v>1</v>
      </c>
      <c r="F74" s="256">
        <f>VLOOKUP(B74,'[1]BASE DE DATOS'!$A$5:$E$964,5,FALSE)</f>
        <v>1170568</v>
      </c>
      <c r="G74" s="708">
        <v>2.5</v>
      </c>
      <c r="H74" s="252">
        <f t="shared" si="0"/>
        <v>2926420</v>
      </c>
      <c r="I74" s="924"/>
    </row>
    <row r="75" spans="1:9" s="818" customFormat="1" ht="13.5" thickBot="1" x14ac:dyDescent="0.25">
      <c r="A75" s="246" t="s">
        <v>293</v>
      </c>
      <c r="B75" s="535" t="s">
        <v>269</v>
      </c>
      <c r="C75" s="235" t="s">
        <v>284</v>
      </c>
      <c r="D75" s="177" t="s">
        <v>2199</v>
      </c>
      <c r="E75" s="704">
        <v>0.05</v>
      </c>
      <c r="F75" s="251">
        <f>H74</f>
        <v>2926420</v>
      </c>
      <c r="G75" s="708">
        <v>0</v>
      </c>
      <c r="H75" s="252">
        <f t="shared" ref="H75" si="1">IF(G75&gt;0,(G75*F75*E75),(F75*E75))</f>
        <v>146321</v>
      </c>
      <c r="I75" s="924"/>
    </row>
    <row r="76" spans="1:9" ht="30" x14ac:dyDescent="0.2">
      <c r="A76" s="523" t="s">
        <v>2231</v>
      </c>
      <c r="B76" s="868"/>
      <c r="C76" s="135" t="s">
        <v>2233</v>
      </c>
      <c r="D76" s="133" t="s">
        <v>411</v>
      </c>
      <c r="E76" s="707"/>
      <c r="F76" s="259">
        <f>ROUND(SUM(H76:H79),0)</f>
        <v>5155852</v>
      </c>
      <c r="G76" s="711"/>
      <c r="H76" s="250"/>
    </row>
    <row r="77" spans="1:9" s="818" customFormat="1" ht="12.75" x14ac:dyDescent="0.2">
      <c r="A77" s="514" t="s">
        <v>382</v>
      </c>
      <c r="B77" s="533" t="s">
        <v>3049</v>
      </c>
      <c r="C77" s="816" t="s">
        <v>3050</v>
      </c>
      <c r="D77" s="134" t="s">
        <v>411</v>
      </c>
      <c r="E77" s="704">
        <v>1</v>
      </c>
      <c r="F77" s="256">
        <f>VLOOKUP(B77,'[1]BASE DE DATOS'!$A$5:$E$964,5,FALSE)</f>
        <v>3400000</v>
      </c>
      <c r="G77" s="708">
        <v>0</v>
      </c>
      <c r="H77" s="252">
        <f t="shared" ref="H77:H83" si="2">IF(G77&gt;0,(G77*F77*E77),(F77*E77))</f>
        <v>3400000</v>
      </c>
      <c r="I77" s="924"/>
    </row>
    <row r="78" spans="1:9" s="818" customFormat="1" ht="12.75" x14ac:dyDescent="0.2">
      <c r="A78" s="63" t="s">
        <v>2555</v>
      </c>
      <c r="B78" s="534" t="s">
        <v>2666</v>
      </c>
      <c r="C78" s="180" t="s">
        <v>2599</v>
      </c>
      <c r="D78" s="134" t="s">
        <v>585</v>
      </c>
      <c r="E78" s="704">
        <v>1</v>
      </c>
      <c r="F78" s="256">
        <f>VLOOKUP(B78,'[1]BASE DE DATOS'!$A$5:$E$964,5,FALSE)</f>
        <v>1170568</v>
      </c>
      <c r="G78" s="708">
        <v>0</v>
      </c>
      <c r="H78" s="252">
        <f t="shared" si="2"/>
        <v>1170568</v>
      </c>
      <c r="I78" s="924"/>
    </row>
    <row r="79" spans="1:9" s="818" customFormat="1" ht="13.5" thickBot="1" x14ac:dyDescent="0.25">
      <c r="A79" s="246" t="s">
        <v>293</v>
      </c>
      <c r="B79" s="535" t="s">
        <v>269</v>
      </c>
      <c r="C79" s="235" t="s">
        <v>284</v>
      </c>
      <c r="D79" s="177" t="s">
        <v>2199</v>
      </c>
      <c r="E79" s="704">
        <v>0.5</v>
      </c>
      <c r="F79" s="251">
        <f>H78</f>
        <v>1170568</v>
      </c>
      <c r="G79" s="708">
        <v>0</v>
      </c>
      <c r="H79" s="252">
        <f t="shared" si="2"/>
        <v>585284</v>
      </c>
      <c r="I79" s="924"/>
    </row>
    <row r="80" spans="1:9" ht="30" x14ac:dyDescent="0.2">
      <c r="A80" s="523" t="s">
        <v>2234</v>
      </c>
      <c r="B80" s="868"/>
      <c r="C80" s="135" t="s">
        <v>2235</v>
      </c>
      <c r="D80" s="133" t="s">
        <v>411</v>
      </c>
      <c r="E80" s="707"/>
      <c r="F80" s="259">
        <f>ROUND(SUM(H80:H83),0)</f>
        <v>5349926</v>
      </c>
      <c r="G80" s="711"/>
      <c r="H80" s="250"/>
      <c r="I80" s="924">
        <v>8</v>
      </c>
    </row>
    <row r="81" spans="1:11" s="818" customFormat="1" ht="12.75" x14ac:dyDescent="0.2">
      <c r="A81" s="514" t="s">
        <v>382</v>
      </c>
      <c r="B81" s="533" t="s">
        <v>3051</v>
      </c>
      <c r="C81" s="816" t="s">
        <v>3052</v>
      </c>
      <c r="D81" s="134" t="s">
        <v>411</v>
      </c>
      <c r="E81" s="704">
        <v>1</v>
      </c>
      <c r="F81" s="256">
        <f>VLOOKUP(B81,'[1]BASE DE DATOS'!$A$5:$E$964,5,FALSE)</f>
        <v>4472000</v>
      </c>
      <c r="G81" s="708">
        <v>0</v>
      </c>
      <c r="H81" s="252">
        <f t="shared" si="2"/>
        <v>4472000</v>
      </c>
      <c r="I81" s="924"/>
    </row>
    <row r="82" spans="1:11" s="818" customFormat="1" ht="12.75" x14ac:dyDescent="0.2">
      <c r="A82" s="63" t="s">
        <v>2555</v>
      </c>
      <c r="B82" s="534" t="s">
        <v>2666</v>
      </c>
      <c r="C82" s="180" t="s">
        <v>2599</v>
      </c>
      <c r="D82" s="134" t="s">
        <v>585</v>
      </c>
      <c r="E82" s="704">
        <v>1</v>
      </c>
      <c r="F82" s="256">
        <f>VLOOKUP(B82,'[1]BASE DE DATOS'!$A$5:$E$964,5,FALSE)</f>
        <v>1170568</v>
      </c>
      <c r="G82" s="708">
        <f>1/2</f>
        <v>0.5</v>
      </c>
      <c r="H82" s="252">
        <f t="shared" si="2"/>
        <v>585284</v>
      </c>
      <c r="I82" s="924"/>
    </row>
    <row r="83" spans="1:11" s="818" customFormat="1" ht="13.5" thickBot="1" x14ac:dyDescent="0.25">
      <c r="A83" s="246" t="s">
        <v>293</v>
      </c>
      <c r="B83" s="535" t="s">
        <v>269</v>
      </c>
      <c r="C83" s="235" t="s">
        <v>284</v>
      </c>
      <c r="D83" s="177" t="s">
        <v>2199</v>
      </c>
      <c r="E83" s="704">
        <v>0.5</v>
      </c>
      <c r="F83" s="256">
        <f>H82</f>
        <v>585284</v>
      </c>
      <c r="G83" s="708">
        <v>0</v>
      </c>
      <c r="H83" s="252">
        <f t="shared" si="2"/>
        <v>292642</v>
      </c>
      <c r="I83" s="924"/>
    </row>
    <row r="84" spans="1:11" s="41" customFormat="1" ht="15.75" thickBot="1" x14ac:dyDescent="0.25">
      <c r="A84" s="950" t="s">
        <v>2236</v>
      </c>
      <c r="B84" s="951"/>
      <c r="C84" s="951"/>
      <c r="D84" s="951"/>
      <c r="E84" s="951"/>
      <c r="F84" s="951"/>
      <c r="G84" s="951"/>
      <c r="H84" s="952"/>
      <c r="I84" s="914"/>
    </row>
    <row r="85" spans="1:11" s="41" customFormat="1" ht="45.75" thickBot="1" x14ac:dyDescent="0.25">
      <c r="A85" s="798" t="s">
        <v>2044</v>
      </c>
      <c r="B85" s="866" t="s">
        <v>265</v>
      </c>
      <c r="C85" s="798" t="s">
        <v>402</v>
      </c>
      <c r="D85" s="798" t="s">
        <v>346</v>
      </c>
      <c r="E85" s="192" t="s">
        <v>1913</v>
      </c>
      <c r="F85" s="73" t="s">
        <v>3165</v>
      </c>
      <c r="G85" s="290" t="s">
        <v>281</v>
      </c>
      <c r="H85" s="74" t="s">
        <v>3164</v>
      </c>
      <c r="I85" s="914"/>
    </row>
    <row r="86" spans="1:11" ht="45" x14ac:dyDescent="0.2">
      <c r="A86" s="292" t="s">
        <v>2237</v>
      </c>
      <c r="B86" s="867"/>
      <c r="C86" s="264" t="s">
        <v>2271</v>
      </c>
      <c r="D86" s="265" t="s">
        <v>405</v>
      </c>
      <c r="E86" s="707"/>
      <c r="F86" s="259">
        <f>ROUND(SUM(H86:H90),0)</f>
        <v>136035</v>
      </c>
      <c r="G86" s="711"/>
      <c r="H86" s="250"/>
    </row>
    <row r="87" spans="1:11" s="818" customFormat="1" ht="12.75" x14ac:dyDescent="0.2">
      <c r="A87" s="1070" t="s">
        <v>382</v>
      </c>
      <c r="B87" s="535" t="s">
        <v>1738</v>
      </c>
      <c r="C87" s="822" t="s">
        <v>2823</v>
      </c>
      <c r="D87" s="266" t="s">
        <v>405</v>
      </c>
      <c r="E87" s="704">
        <v>4</v>
      </c>
      <c r="F87" s="256">
        <f>VLOOKUP(B87,'[1]BASE DE DATOS'!$A$5:$E$964,5,FALSE)</f>
        <v>16800</v>
      </c>
      <c r="G87" s="708">
        <v>1.06</v>
      </c>
      <c r="H87" s="252">
        <f t="shared" ref="H87:H149" si="3">IF(G87&gt;0,(G87*F87*E87),(F87*E87))</f>
        <v>71232</v>
      </c>
      <c r="I87" s="924"/>
    </row>
    <row r="88" spans="1:11" s="818" customFormat="1" ht="12.75" x14ac:dyDescent="0.2">
      <c r="A88" s="1071"/>
      <c r="B88" s="535" t="s">
        <v>1813</v>
      </c>
      <c r="C88" s="822" t="s">
        <v>3121</v>
      </c>
      <c r="D88" s="266" t="s">
        <v>405</v>
      </c>
      <c r="E88" s="704">
        <v>1</v>
      </c>
      <c r="F88" s="256">
        <f>VLOOKUP(B88,'[1]BASE DE DATOS'!$A$5:$E$964,5,FALSE)</f>
        <v>6950</v>
      </c>
      <c r="G88" s="708">
        <v>1.06</v>
      </c>
      <c r="H88" s="252">
        <f t="shared" si="3"/>
        <v>7367</v>
      </c>
      <c r="I88" s="924"/>
    </row>
    <row r="89" spans="1:11" s="818" customFormat="1" ht="12.75" x14ac:dyDescent="0.2">
      <c r="A89" s="280" t="s">
        <v>2555</v>
      </c>
      <c r="B89" s="534" t="s">
        <v>2667</v>
      </c>
      <c r="C89" s="822" t="s">
        <v>2600</v>
      </c>
      <c r="D89" s="266" t="s">
        <v>585</v>
      </c>
      <c r="E89" s="704">
        <v>1</v>
      </c>
      <c r="F89" s="256">
        <f>VLOOKUP(B89,'[1]BASE DE DATOS'!$A$5:$E$964,5,FALSE)</f>
        <v>319246</v>
      </c>
      <c r="G89" s="708">
        <f>1/6.67</f>
        <v>0.14992503748125938</v>
      </c>
      <c r="H89" s="252">
        <f t="shared" si="3"/>
        <v>47862.968515742134</v>
      </c>
      <c r="I89" s="924"/>
      <c r="J89" s="671"/>
    </row>
    <row r="90" spans="1:11" s="818" customFormat="1" ht="13.5" thickBot="1" x14ac:dyDescent="0.25">
      <c r="A90" s="287" t="s">
        <v>293</v>
      </c>
      <c r="B90" s="536" t="s">
        <v>269</v>
      </c>
      <c r="C90" s="268" t="s">
        <v>284</v>
      </c>
      <c r="D90" s="269" t="s">
        <v>2199</v>
      </c>
      <c r="E90" s="704">
        <v>0.2</v>
      </c>
      <c r="F90" s="256">
        <f>H89</f>
        <v>47862.968515742134</v>
      </c>
      <c r="G90" s="708">
        <v>0</v>
      </c>
      <c r="H90" s="252">
        <f t="shared" si="3"/>
        <v>9572.5937031484264</v>
      </c>
      <c r="I90" s="924"/>
      <c r="J90" s="671"/>
      <c r="K90" s="671"/>
    </row>
    <row r="91" spans="1:11" ht="45" x14ac:dyDescent="0.2">
      <c r="A91" s="292" t="s">
        <v>2238</v>
      </c>
      <c r="B91" s="869"/>
      <c r="C91" s="264" t="s">
        <v>2270</v>
      </c>
      <c r="D91" s="265" t="s">
        <v>405</v>
      </c>
      <c r="E91" s="707"/>
      <c r="F91" s="259">
        <f>ROUND(SUM(H91:H95),0)</f>
        <v>193990</v>
      </c>
      <c r="G91" s="711"/>
      <c r="H91" s="250"/>
      <c r="J91" s="672"/>
    </row>
    <row r="92" spans="1:11" s="818" customFormat="1" ht="12.75" x14ac:dyDescent="0.2">
      <c r="A92" s="1070" t="s">
        <v>382</v>
      </c>
      <c r="B92" s="533" t="s">
        <v>1450</v>
      </c>
      <c r="C92" s="822" t="s">
        <v>2819</v>
      </c>
      <c r="D92" s="266" t="s">
        <v>405</v>
      </c>
      <c r="E92" s="704">
        <v>4</v>
      </c>
      <c r="F92" s="256">
        <f>VLOOKUP(B92,'[1]BASE DE DATOS'!$A$5:$E$964,5,FALSE)</f>
        <v>28200</v>
      </c>
      <c r="G92" s="708">
        <v>1.06</v>
      </c>
      <c r="H92" s="252">
        <f t="shared" si="3"/>
        <v>119568</v>
      </c>
      <c r="I92" s="924"/>
    </row>
    <row r="93" spans="1:11" s="818" customFormat="1" ht="12.75" x14ac:dyDescent="0.2">
      <c r="A93" s="1071"/>
      <c r="B93" s="533" t="s">
        <v>1518</v>
      </c>
      <c r="C93" s="822" t="s">
        <v>2825</v>
      </c>
      <c r="D93" s="266" t="s">
        <v>405</v>
      </c>
      <c r="E93" s="704">
        <v>1</v>
      </c>
      <c r="F93" s="256">
        <f>VLOOKUP(B93,'[1]BASE DE DATOS'!$A$5:$E$964,5,FALSE)</f>
        <v>11300</v>
      </c>
      <c r="G93" s="708">
        <v>1.06</v>
      </c>
      <c r="H93" s="252">
        <f t="shared" si="3"/>
        <v>11978</v>
      </c>
      <c r="I93" s="924"/>
    </row>
    <row r="94" spans="1:11" s="818" customFormat="1" ht="12.75" x14ac:dyDescent="0.2">
      <c r="A94" s="280" t="s">
        <v>2555</v>
      </c>
      <c r="B94" s="534" t="s">
        <v>2667</v>
      </c>
      <c r="C94" s="822" t="s">
        <v>2600</v>
      </c>
      <c r="D94" s="266" t="s">
        <v>585</v>
      </c>
      <c r="E94" s="704">
        <v>1</v>
      </c>
      <c r="F94" s="256">
        <f>VLOOKUP(B94,'[1]BASE DE DATOS'!$A$5:$E$964,5,FALSE)</f>
        <v>319246</v>
      </c>
      <c r="G94" s="708">
        <f>1/6.135</f>
        <v>0.16299918500407498</v>
      </c>
      <c r="H94" s="252">
        <f t="shared" si="3"/>
        <v>52036.837815810919</v>
      </c>
      <c r="I94" s="924"/>
    </row>
    <row r="95" spans="1:11" s="818" customFormat="1" ht="13.5" thickBot="1" x14ac:dyDescent="0.25">
      <c r="A95" s="287" t="s">
        <v>293</v>
      </c>
      <c r="B95" s="535" t="s">
        <v>269</v>
      </c>
      <c r="C95" s="268" t="s">
        <v>284</v>
      </c>
      <c r="D95" s="266" t="s">
        <v>2199</v>
      </c>
      <c r="E95" s="704">
        <v>0.2</v>
      </c>
      <c r="F95" s="251">
        <f>H94</f>
        <v>52036.837815810919</v>
      </c>
      <c r="G95" s="708">
        <v>0</v>
      </c>
      <c r="H95" s="252">
        <f t="shared" si="3"/>
        <v>10407.367563162185</v>
      </c>
      <c r="I95" s="924"/>
    </row>
    <row r="96" spans="1:11" ht="45" x14ac:dyDescent="0.2">
      <c r="A96" s="292" t="s">
        <v>2239</v>
      </c>
      <c r="B96" s="868"/>
      <c r="C96" s="264" t="s">
        <v>2269</v>
      </c>
      <c r="D96" s="265" t="s">
        <v>405</v>
      </c>
      <c r="E96" s="707"/>
      <c r="F96" s="259">
        <f>ROUND(SUM(H96:H100),0)</f>
        <v>91188</v>
      </c>
      <c r="G96" s="711"/>
      <c r="H96" s="250"/>
    </row>
    <row r="97" spans="1:9" s="818" customFormat="1" ht="12.75" x14ac:dyDescent="0.2">
      <c r="A97" s="1070" t="s">
        <v>382</v>
      </c>
      <c r="B97" s="533" t="s">
        <v>1518</v>
      </c>
      <c r="C97" s="822" t="s">
        <v>2825</v>
      </c>
      <c r="D97" s="266" t="s">
        <v>405</v>
      </c>
      <c r="E97" s="704">
        <v>3</v>
      </c>
      <c r="F97" s="256">
        <f>VLOOKUP(B97,'[1]BASE DE DATOS'!$A$5:$E$964,5,FALSE)</f>
        <v>11300</v>
      </c>
      <c r="G97" s="708">
        <v>1.06</v>
      </c>
      <c r="H97" s="252">
        <f t="shared" si="3"/>
        <v>35934</v>
      </c>
      <c r="I97" s="924"/>
    </row>
    <row r="98" spans="1:9" s="818" customFormat="1" ht="12.75" x14ac:dyDescent="0.2">
      <c r="A98" s="1071"/>
      <c r="B98" s="533" t="s">
        <v>1813</v>
      </c>
      <c r="C98" s="822" t="s">
        <v>3121</v>
      </c>
      <c r="D98" s="266" t="s">
        <v>405</v>
      </c>
      <c r="E98" s="704">
        <v>1</v>
      </c>
      <c r="F98" s="256">
        <f>VLOOKUP(B98,'[1]BASE DE DATOS'!$A$5:$E$964,5,FALSE)</f>
        <v>6950</v>
      </c>
      <c r="G98" s="708">
        <v>1.06</v>
      </c>
      <c r="H98" s="252">
        <f t="shared" si="3"/>
        <v>7367</v>
      </c>
      <c r="I98" s="924"/>
    </row>
    <row r="99" spans="1:9" s="818" customFormat="1" ht="12.75" x14ac:dyDescent="0.2">
      <c r="A99" s="280" t="s">
        <v>2555</v>
      </c>
      <c r="B99" s="534" t="s">
        <v>2667</v>
      </c>
      <c r="C99" s="822" t="s">
        <v>2600</v>
      </c>
      <c r="D99" s="266" t="s">
        <v>585</v>
      </c>
      <c r="E99" s="704">
        <v>1</v>
      </c>
      <c r="F99" s="256">
        <f>VLOOKUP(B99,'[1]BASE DE DATOS'!$A$5:$E$964,5,FALSE)</f>
        <v>319246</v>
      </c>
      <c r="G99" s="708">
        <f>1/10</f>
        <v>0.1</v>
      </c>
      <c r="H99" s="252">
        <f t="shared" si="3"/>
        <v>31924.600000000002</v>
      </c>
      <c r="I99" s="924"/>
    </row>
    <row r="100" spans="1:9" s="818" customFormat="1" ht="13.5" thickBot="1" x14ac:dyDescent="0.25">
      <c r="A100" s="287" t="s">
        <v>293</v>
      </c>
      <c r="B100" s="536" t="s">
        <v>269</v>
      </c>
      <c r="C100" s="268" t="s">
        <v>284</v>
      </c>
      <c r="D100" s="269" t="s">
        <v>2199</v>
      </c>
      <c r="E100" s="704">
        <v>0.5</v>
      </c>
      <c r="F100" s="256">
        <f>H99</f>
        <v>31924.600000000002</v>
      </c>
      <c r="G100" s="708">
        <v>0</v>
      </c>
      <c r="H100" s="252">
        <f t="shared" si="3"/>
        <v>15962.300000000001</v>
      </c>
      <c r="I100" s="924"/>
    </row>
    <row r="101" spans="1:9" ht="15" x14ac:dyDescent="0.2">
      <c r="A101" s="270" t="s">
        <v>2240</v>
      </c>
      <c r="B101" s="870"/>
      <c r="C101" s="264" t="s">
        <v>2241</v>
      </c>
      <c r="D101" s="265" t="s">
        <v>411</v>
      </c>
      <c r="E101" s="707"/>
      <c r="F101" s="259">
        <f>ROUND(SUM(H101:H108),0)</f>
        <v>2592327</v>
      </c>
      <c r="G101" s="711"/>
      <c r="H101" s="250"/>
    </row>
    <row r="102" spans="1:9" s="818" customFormat="1" ht="12.75" x14ac:dyDescent="0.2">
      <c r="A102" s="1070" t="s">
        <v>382</v>
      </c>
      <c r="B102" s="533" t="s">
        <v>1579</v>
      </c>
      <c r="C102" s="822" t="s">
        <v>3818</v>
      </c>
      <c r="D102" s="266" t="s">
        <v>411</v>
      </c>
      <c r="E102" s="704">
        <v>1</v>
      </c>
      <c r="F102" s="256">
        <f>VLOOKUP(B102,'[1]BASE DE DATOS'!$A$5:$E$964,5,FALSE)</f>
        <v>62700</v>
      </c>
      <c r="G102" s="708">
        <v>0</v>
      </c>
      <c r="H102" s="252">
        <f t="shared" si="3"/>
        <v>62700</v>
      </c>
      <c r="I102" s="924"/>
    </row>
    <row r="103" spans="1:9" s="818" customFormat="1" ht="12.75" x14ac:dyDescent="0.2">
      <c r="A103" s="1071"/>
      <c r="B103" s="533" t="s">
        <v>1597</v>
      </c>
      <c r="C103" s="822" t="s">
        <v>2581</v>
      </c>
      <c r="D103" s="266" t="s">
        <v>405</v>
      </c>
      <c r="E103" s="704">
        <v>2</v>
      </c>
      <c r="F103" s="256">
        <f>VLOOKUP(B103,'[1]BASE DE DATOS'!$A$5:$E$964,5,FALSE)</f>
        <v>4033</v>
      </c>
      <c r="G103" s="708">
        <v>1.03</v>
      </c>
      <c r="H103" s="252">
        <f t="shared" si="3"/>
        <v>8307.98</v>
      </c>
      <c r="I103" s="924"/>
    </row>
    <row r="104" spans="1:9" s="818" customFormat="1" ht="12.75" x14ac:dyDescent="0.2">
      <c r="A104" s="1071"/>
      <c r="B104" s="533" t="s">
        <v>2882</v>
      </c>
      <c r="C104" s="822" t="s">
        <v>2883</v>
      </c>
      <c r="D104" s="266" t="s">
        <v>411</v>
      </c>
      <c r="E104" s="704">
        <v>1</v>
      </c>
      <c r="F104" s="256">
        <f>VLOOKUP(B104,'[1]BASE DE DATOS'!$A$5:$E$964,5,FALSE)</f>
        <v>37250</v>
      </c>
      <c r="G104" s="708">
        <v>0</v>
      </c>
      <c r="H104" s="252">
        <f t="shared" si="3"/>
        <v>37250</v>
      </c>
      <c r="I104" s="924"/>
    </row>
    <row r="105" spans="1:9" s="818" customFormat="1" ht="12.75" x14ac:dyDescent="0.2">
      <c r="A105" s="1071"/>
      <c r="B105" s="533" t="s">
        <v>2658</v>
      </c>
      <c r="C105" s="822" t="s">
        <v>2588</v>
      </c>
      <c r="D105" s="266" t="s">
        <v>411</v>
      </c>
      <c r="E105" s="704">
        <v>2</v>
      </c>
      <c r="F105" s="256">
        <f>VLOOKUP(B105,'[1]BASE DE DATOS'!$A$5:$E$964,5,FALSE)</f>
        <v>750</v>
      </c>
      <c r="G105" s="708">
        <v>0</v>
      </c>
      <c r="H105" s="252">
        <f t="shared" si="3"/>
        <v>1500</v>
      </c>
      <c r="I105" s="924"/>
    </row>
    <row r="106" spans="1:9" s="818" customFormat="1" ht="12.75" x14ac:dyDescent="0.2">
      <c r="A106" s="1071"/>
      <c r="B106" s="533" t="s">
        <v>3071</v>
      </c>
      <c r="C106" s="822" t="s">
        <v>3072</v>
      </c>
      <c r="D106" s="266" t="s">
        <v>405</v>
      </c>
      <c r="E106" s="704">
        <v>8</v>
      </c>
      <c r="F106" s="256">
        <f>VLOOKUP(B106,'[1]BASE DE DATOS'!$A$5:$E$964,5,FALSE)</f>
        <v>162733.33333333334</v>
      </c>
      <c r="G106" s="708">
        <v>1.03</v>
      </c>
      <c r="H106" s="252">
        <f t="shared" si="3"/>
        <v>1340922.6666666667</v>
      </c>
      <c r="I106" s="924"/>
    </row>
    <row r="107" spans="1:9" s="818" customFormat="1" ht="12.75" x14ac:dyDescent="0.2">
      <c r="A107" s="280" t="s">
        <v>2555</v>
      </c>
      <c r="B107" s="534" t="s">
        <v>2666</v>
      </c>
      <c r="C107" s="271" t="s">
        <v>2599</v>
      </c>
      <c r="D107" s="266" t="s">
        <v>585</v>
      </c>
      <c r="E107" s="704">
        <v>1</v>
      </c>
      <c r="F107" s="256">
        <f>VLOOKUP(B107,'[1]BASE DE DATOS'!$A$5:$E$964,5,FALSE)</f>
        <v>1170568</v>
      </c>
      <c r="G107" s="708">
        <f>1/1.538</f>
        <v>0.65019505851755521</v>
      </c>
      <c r="H107" s="252">
        <f t="shared" si="3"/>
        <v>761097.52925877762</v>
      </c>
      <c r="I107" s="924"/>
    </row>
    <row r="108" spans="1:9" s="818" customFormat="1" ht="13.5" thickBot="1" x14ac:dyDescent="0.25">
      <c r="A108" s="287" t="s">
        <v>293</v>
      </c>
      <c r="B108" s="536" t="s">
        <v>269</v>
      </c>
      <c r="C108" s="268" t="s">
        <v>284</v>
      </c>
      <c r="D108" s="269" t="s">
        <v>2199</v>
      </c>
      <c r="E108" s="704">
        <v>0.5</v>
      </c>
      <c r="F108" s="256">
        <f>H107</f>
        <v>761097.52925877762</v>
      </c>
      <c r="G108" s="708">
        <v>0</v>
      </c>
      <c r="H108" s="252">
        <f t="shared" si="3"/>
        <v>380548.76462938881</v>
      </c>
      <c r="I108" s="924"/>
    </row>
    <row r="109" spans="1:9" s="814" customFormat="1" ht="45" x14ac:dyDescent="0.2">
      <c r="A109" s="292" t="s">
        <v>2242</v>
      </c>
      <c r="B109" s="868"/>
      <c r="C109" s="264" t="s">
        <v>2259</v>
      </c>
      <c r="D109" s="265" t="s">
        <v>405</v>
      </c>
      <c r="E109" s="707"/>
      <c r="F109" s="259">
        <f>ROUND(SUM(H109:H113),0)</f>
        <v>84362</v>
      </c>
      <c r="G109" s="711"/>
      <c r="H109" s="250"/>
      <c r="I109" s="923"/>
    </row>
    <row r="110" spans="1:9" s="818" customFormat="1" ht="12.75" x14ac:dyDescent="0.2">
      <c r="A110" s="1070" t="s">
        <v>382</v>
      </c>
      <c r="B110" s="533" t="s">
        <v>1518</v>
      </c>
      <c r="C110" s="822" t="s">
        <v>2825</v>
      </c>
      <c r="D110" s="266" t="s">
        <v>405</v>
      </c>
      <c r="E110" s="704">
        <v>4</v>
      </c>
      <c r="F110" s="256">
        <f>VLOOKUP(B110,'[1]BASE DE DATOS'!$A$5:$E$964,5,FALSE)</f>
        <v>11300</v>
      </c>
      <c r="G110" s="708">
        <v>1.03</v>
      </c>
      <c r="H110" s="252">
        <f t="shared" si="3"/>
        <v>46556</v>
      </c>
      <c r="I110" s="924"/>
    </row>
    <row r="111" spans="1:9" s="818" customFormat="1" ht="12.75" x14ac:dyDescent="0.2">
      <c r="A111" s="1071"/>
      <c r="B111" s="533" t="s">
        <v>1813</v>
      </c>
      <c r="C111" s="822" t="s">
        <v>3121</v>
      </c>
      <c r="D111" s="266" t="s">
        <v>405</v>
      </c>
      <c r="E111" s="704">
        <v>1</v>
      </c>
      <c r="F111" s="256">
        <f>VLOOKUP(B111,'[1]BASE DE DATOS'!$A$5:$E$964,5,FALSE)</f>
        <v>6950</v>
      </c>
      <c r="G111" s="708">
        <v>1.03</v>
      </c>
      <c r="H111" s="252">
        <f t="shared" si="3"/>
        <v>7158.5</v>
      </c>
      <c r="I111" s="924"/>
    </row>
    <row r="112" spans="1:9" s="818" customFormat="1" ht="12.75" x14ac:dyDescent="0.2">
      <c r="A112" s="280" t="s">
        <v>2555</v>
      </c>
      <c r="B112" s="534" t="s">
        <v>2667</v>
      </c>
      <c r="C112" s="822" t="s">
        <v>2600</v>
      </c>
      <c r="D112" s="266" t="s">
        <v>585</v>
      </c>
      <c r="E112" s="704">
        <v>1</v>
      </c>
      <c r="F112" s="256">
        <f>VLOOKUP(B112,'[1]BASE DE DATOS'!$A$5:$E$964,5,FALSE)</f>
        <v>319246</v>
      </c>
      <c r="G112" s="708">
        <f>1/12.5</f>
        <v>0.08</v>
      </c>
      <c r="H112" s="252">
        <f t="shared" si="3"/>
        <v>25539.68</v>
      </c>
      <c r="I112" s="924"/>
    </row>
    <row r="113" spans="1:9" s="818" customFormat="1" ht="13.5" thickBot="1" x14ac:dyDescent="0.25">
      <c r="A113" s="287" t="s">
        <v>293</v>
      </c>
      <c r="B113" s="536" t="s">
        <v>269</v>
      </c>
      <c r="C113" s="268" t="s">
        <v>284</v>
      </c>
      <c r="D113" s="269" t="s">
        <v>2199</v>
      </c>
      <c r="E113" s="704">
        <v>0.2</v>
      </c>
      <c r="F113" s="256">
        <f>H112</f>
        <v>25539.68</v>
      </c>
      <c r="G113" s="708">
        <v>0</v>
      </c>
      <c r="H113" s="252">
        <f t="shared" si="3"/>
        <v>5107.9360000000006</v>
      </c>
      <c r="I113" s="924"/>
    </row>
    <row r="114" spans="1:9" ht="30" x14ac:dyDescent="0.2">
      <c r="A114" s="292" t="s">
        <v>2243</v>
      </c>
      <c r="B114" s="868"/>
      <c r="C114" s="275" t="s">
        <v>2612</v>
      </c>
      <c r="D114" s="265" t="s">
        <v>405</v>
      </c>
      <c r="E114" s="707"/>
      <c r="F114" s="259">
        <f>ROUND(SUM(H114:H118),0)</f>
        <v>257756</v>
      </c>
      <c r="G114" s="711"/>
      <c r="H114" s="250"/>
    </row>
    <row r="115" spans="1:9" s="818" customFormat="1" ht="12.75" x14ac:dyDescent="0.2">
      <c r="A115" s="1070" t="s">
        <v>382</v>
      </c>
      <c r="B115" s="533" t="s">
        <v>1498</v>
      </c>
      <c r="C115" s="822" t="s">
        <v>3120</v>
      </c>
      <c r="D115" s="266" t="s">
        <v>405</v>
      </c>
      <c r="E115" s="704">
        <v>3</v>
      </c>
      <c r="F115" s="256">
        <f>VLOOKUP(B115,'[1]BASE DE DATOS'!$A$5:$E$964,5,FALSE)</f>
        <v>55500</v>
      </c>
      <c r="G115" s="708">
        <v>1.03</v>
      </c>
      <c r="H115" s="252">
        <f t="shared" si="3"/>
        <v>171495</v>
      </c>
      <c r="I115" s="924"/>
    </row>
    <row r="116" spans="1:9" s="818" customFormat="1" ht="12.75" x14ac:dyDescent="0.2">
      <c r="A116" s="1071"/>
      <c r="B116" s="533" t="s">
        <v>1738</v>
      </c>
      <c r="C116" s="822" t="s">
        <v>2824</v>
      </c>
      <c r="D116" s="266" t="s">
        <v>405</v>
      </c>
      <c r="E116" s="704">
        <v>1</v>
      </c>
      <c r="F116" s="256">
        <f>VLOOKUP(B116,'[1]BASE DE DATOS'!$A$5:$E$964,5,FALSE)</f>
        <v>16800</v>
      </c>
      <c r="G116" s="708">
        <v>1.03</v>
      </c>
      <c r="H116" s="252">
        <f t="shared" si="3"/>
        <v>17304</v>
      </c>
      <c r="I116" s="924"/>
    </row>
    <row r="117" spans="1:9" s="818" customFormat="1" ht="12.75" x14ac:dyDescent="0.2">
      <c r="A117" s="280" t="s">
        <v>2555</v>
      </c>
      <c r="B117" s="534" t="s">
        <v>2667</v>
      </c>
      <c r="C117" s="822" t="s">
        <v>2600</v>
      </c>
      <c r="D117" s="266" t="s">
        <v>585</v>
      </c>
      <c r="E117" s="704">
        <v>1</v>
      </c>
      <c r="F117" s="256">
        <f>VLOOKUP(B117,'[1]BASE DE DATOS'!$A$5:$E$964,5,FALSE)</f>
        <v>319246</v>
      </c>
      <c r="G117" s="708">
        <f>1/5.55556</f>
        <v>0.1799998560001152</v>
      </c>
      <c r="H117" s="252">
        <f t="shared" si="3"/>
        <v>57464.23402861278</v>
      </c>
      <c r="I117" s="924"/>
    </row>
    <row r="118" spans="1:9" s="818" customFormat="1" ht="13.5" thickBot="1" x14ac:dyDescent="0.25">
      <c r="A118" s="287" t="s">
        <v>293</v>
      </c>
      <c r="B118" s="536" t="s">
        <v>269</v>
      </c>
      <c r="C118" s="268" t="s">
        <v>284</v>
      </c>
      <c r="D118" s="269" t="s">
        <v>2199</v>
      </c>
      <c r="E118" s="704">
        <v>0.2</v>
      </c>
      <c r="F118" s="256">
        <f>H117</f>
        <v>57464.23402861278</v>
      </c>
      <c r="G118" s="708">
        <v>0</v>
      </c>
      <c r="H118" s="252">
        <f t="shared" si="3"/>
        <v>11492.846805722556</v>
      </c>
      <c r="I118" s="924"/>
    </row>
    <row r="119" spans="1:9" ht="45" x14ac:dyDescent="0.2">
      <c r="A119" s="292" t="s">
        <v>2244</v>
      </c>
      <c r="B119" s="868"/>
      <c r="C119" s="264" t="s">
        <v>2268</v>
      </c>
      <c r="D119" s="265" t="s">
        <v>405</v>
      </c>
      <c r="E119" s="707"/>
      <c r="F119" s="259">
        <f>ROUND(SUM(H119:H123),0)</f>
        <v>103532</v>
      </c>
      <c r="G119" s="711"/>
      <c r="H119" s="250"/>
    </row>
    <row r="120" spans="1:9" s="818" customFormat="1" ht="12.75" x14ac:dyDescent="0.2">
      <c r="A120" s="1070" t="s">
        <v>382</v>
      </c>
      <c r="B120" s="533" t="s">
        <v>1518</v>
      </c>
      <c r="C120" s="822" t="s">
        <v>2825</v>
      </c>
      <c r="D120" s="266" t="s">
        <v>405</v>
      </c>
      <c r="E120" s="704">
        <v>4</v>
      </c>
      <c r="F120" s="256">
        <f>VLOOKUP(B120,'[1]BASE DE DATOS'!$A$5:$E$964,5,FALSE)</f>
        <v>11300</v>
      </c>
      <c r="G120" s="708">
        <v>1.03</v>
      </c>
      <c r="H120" s="252">
        <f t="shared" si="3"/>
        <v>46556</v>
      </c>
      <c r="I120" s="924"/>
    </row>
    <row r="121" spans="1:9" s="818" customFormat="1" ht="12.75" x14ac:dyDescent="0.2">
      <c r="A121" s="1071"/>
      <c r="B121" s="533" t="s">
        <v>1813</v>
      </c>
      <c r="C121" s="822" t="s">
        <v>3121</v>
      </c>
      <c r="D121" s="266" t="s">
        <v>405</v>
      </c>
      <c r="E121" s="704">
        <v>1</v>
      </c>
      <c r="F121" s="256">
        <f>VLOOKUP(B121,'[1]BASE DE DATOS'!$A$5:$E$964,5,FALSE)</f>
        <v>6950</v>
      </c>
      <c r="G121" s="708">
        <v>1.03</v>
      </c>
      <c r="H121" s="252">
        <f t="shared" si="3"/>
        <v>7158.5</v>
      </c>
      <c r="I121" s="924"/>
    </row>
    <row r="122" spans="1:9" s="818" customFormat="1" ht="12.75" x14ac:dyDescent="0.2">
      <c r="A122" s="280" t="s">
        <v>2555</v>
      </c>
      <c r="B122" s="534" t="s">
        <v>2667</v>
      </c>
      <c r="C122" s="822" t="s">
        <v>2600</v>
      </c>
      <c r="D122" s="266" t="s">
        <v>585</v>
      </c>
      <c r="E122" s="704">
        <v>1</v>
      </c>
      <c r="F122" s="256">
        <f>VLOOKUP(B122,'[1]BASE DE DATOS'!$A$5:$E$964,5,FALSE)</f>
        <v>319246</v>
      </c>
      <c r="G122" s="708">
        <f>1/7.69</f>
        <v>0.13003901170351104</v>
      </c>
      <c r="H122" s="252">
        <f t="shared" si="3"/>
        <v>41514.434330299082</v>
      </c>
      <c r="I122" s="924"/>
    </row>
    <row r="123" spans="1:9" s="818" customFormat="1" ht="13.5" thickBot="1" x14ac:dyDescent="0.25">
      <c r="A123" s="287" t="s">
        <v>293</v>
      </c>
      <c r="B123" s="536" t="s">
        <v>269</v>
      </c>
      <c r="C123" s="268" t="s">
        <v>284</v>
      </c>
      <c r="D123" s="269" t="s">
        <v>2199</v>
      </c>
      <c r="E123" s="704">
        <v>0.2</v>
      </c>
      <c r="F123" s="256">
        <f>H122</f>
        <v>41514.434330299082</v>
      </c>
      <c r="G123" s="708">
        <v>0</v>
      </c>
      <c r="H123" s="252">
        <f t="shared" si="3"/>
        <v>8302.8868660598164</v>
      </c>
      <c r="I123" s="924"/>
    </row>
    <row r="124" spans="1:9" ht="30" x14ac:dyDescent="0.2">
      <c r="A124" s="292" t="s">
        <v>2245</v>
      </c>
      <c r="B124" s="868"/>
      <c r="C124" s="264" t="s">
        <v>3233</v>
      </c>
      <c r="D124" s="265" t="s">
        <v>405</v>
      </c>
      <c r="E124" s="707"/>
      <c r="F124" s="259">
        <f>ROUND(SUM(H124:H131),0)</f>
        <v>144337</v>
      </c>
      <c r="G124" s="711"/>
      <c r="H124" s="250"/>
    </row>
    <row r="125" spans="1:9" s="818" customFormat="1" ht="12.75" x14ac:dyDescent="0.2">
      <c r="A125" s="1070" t="s">
        <v>382</v>
      </c>
      <c r="B125" s="533" t="s">
        <v>1309</v>
      </c>
      <c r="C125" s="822" t="s">
        <v>2573</v>
      </c>
      <c r="D125" s="266" t="s">
        <v>411</v>
      </c>
      <c r="E125" s="704">
        <v>1</v>
      </c>
      <c r="F125" s="256">
        <f>VLOOKUP(B125,'[1]BASE DE DATOS'!$A$5:$E$964,5,FALSE)</f>
        <v>2250</v>
      </c>
      <c r="G125" s="708">
        <v>0</v>
      </c>
      <c r="H125" s="252">
        <f t="shared" si="3"/>
        <v>2250</v>
      </c>
      <c r="I125" s="924"/>
    </row>
    <row r="126" spans="1:9" s="818" customFormat="1" ht="12.75" x14ac:dyDescent="0.2">
      <c r="A126" s="1071"/>
      <c r="B126" s="533" t="s">
        <v>1339</v>
      </c>
      <c r="C126" s="822" t="s">
        <v>2798</v>
      </c>
      <c r="D126" s="266" t="s">
        <v>411</v>
      </c>
      <c r="E126" s="704">
        <v>0.8</v>
      </c>
      <c r="F126" s="256">
        <f>VLOOKUP(B126,'[1]BASE DE DATOS'!$A$5:$E$964,5,FALSE)</f>
        <v>3700</v>
      </c>
      <c r="G126" s="708">
        <v>0</v>
      </c>
      <c r="H126" s="252">
        <f t="shared" si="3"/>
        <v>2960</v>
      </c>
      <c r="I126" s="924"/>
    </row>
    <row r="127" spans="1:9" s="818" customFormat="1" ht="12.75" x14ac:dyDescent="0.2">
      <c r="A127" s="1071"/>
      <c r="B127" s="533" t="s">
        <v>1641</v>
      </c>
      <c r="C127" s="823" t="s">
        <v>3167</v>
      </c>
      <c r="D127" s="273" t="s">
        <v>405</v>
      </c>
      <c r="E127" s="704">
        <v>0.06</v>
      </c>
      <c r="F127" s="256">
        <f>VLOOKUP(B127,'[1]BASE DE DATOS'!$A$5:$E$964,5,FALSE)</f>
        <v>7900</v>
      </c>
      <c r="G127" s="708">
        <v>1.03</v>
      </c>
      <c r="H127" s="252">
        <f t="shared" si="3"/>
        <v>488.21999999999997</v>
      </c>
      <c r="I127" s="924"/>
    </row>
    <row r="128" spans="1:9" s="818" customFormat="1" ht="12.75" x14ac:dyDescent="0.2">
      <c r="A128" s="1071"/>
      <c r="B128" s="533" t="s">
        <v>3060</v>
      </c>
      <c r="C128" s="822" t="s">
        <v>3061</v>
      </c>
      <c r="D128" s="266" t="s">
        <v>405</v>
      </c>
      <c r="E128" s="704">
        <v>1</v>
      </c>
      <c r="F128" s="256">
        <f>VLOOKUP(B128,'[1]BASE DE DATOS'!$A$5:$E$964,5,FALSE)</f>
        <v>79100</v>
      </c>
      <c r="G128" s="708">
        <v>1.03</v>
      </c>
      <c r="H128" s="252">
        <f t="shared" si="3"/>
        <v>81473</v>
      </c>
      <c r="I128" s="924"/>
    </row>
    <row r="129" spans="1:9" s="818" customFormat="1" ht="12.75" x14ac:dyDescent="0.2">
      <c r="A129" s="1071"/>
      <c r="B129" s="533" t="s">
        <v>3092</v>
      </c>
      <c r="C129" s="822" t="s">
        <v>3093</v>
      </c>
      <c r="D129" s="266" t="s">
        <v>411</v>
      </c>
      <c r="E129" s="704">
        <v>0.34</v>
      </c>
      <c r="F129" s="256">
        <f>VLOOKUP(B129,'[1]BASE DE DATOS'!$A$5:$E$964,5,FALSE)</f>
        <v>20250</v>
      </c>
      <c r="G129" s="708">
        <v>0</v>
      </c>
      <c r="H129" s="252">
        <f t="shared" si="3"/>
        <v>6885.0000000000009</v>
      </c>
      <c r="I129" s="924"/>
    </row>
    <row r="130" spans="1:9" s="818" customFormat="1" ht="12.75" x14ac:dyDescent="0.2">
      <c r="A130" s="280" t="s">
        <v>2555</v>
      </c>
      <c r="B130" s="534" t="s">
        <v>2667</v>
      </c>
      <c r="C130" s="822" t="s">
        <v>2600</v>
      </c>
      <c r="D130" s="266" t="s">
        <v>585</v>
      </c>
      <c r="E130" s="704">
        <v>1</v>
      </c>
      <c r="F130" s="256">
        <f>VLOOKUP(B130,'[1]BASE DE DATOS'!$A$5:$E$964,5,FALSE)</f>
        <v>319246</v>
      </c>
      <c r="G130" s="708">
        <f>1/6.6667</f>
        <v>0.14999925000375</v>
      </c>
      <c r="H130" s="252">
        <f t="shared" si="3"/>
        <v>47886.660566697174</v>
      </c>
      <c r="I130" s="924"/>
    </row>
    <row r="131" spans="1:9" s="818" customFormat="1" ht="13.5" thickBot="1" x14ac:dyDescent="0.25">
      <c r="A131" s="287" t="s">
        <v>293</v>
      </c>
      <c r="B131" s="536" t="s">
        <v>269</v>
      </c>
      <c r="C131" s="268" t="s">
        <v>284</v>
      </c>
      <c r="D131" s="269" t="s">
        <v>2199</v>
      </c>
      <c r="E131" s="704">
        <v>0.05</v>
      </c>
      <c r="F131" s="256">
        <f>H130</f>
        <v>47886.660566697174</v>
      </c>
      <c r="G131" s="708">
        <v>0</v>
      </c>
      <c r="H131" s="252">
        <f t="shared" si="3"/>
        <v>2394.3330283348587</v>
      </c>
      <c r="I131" s="924"/>
    </row>
    <row r="132" spans="1:9" ht="45" x14ac:dyDescent="0.2">
      <c r="A132" s="292" t="s">
        <v>2246</v>
      </c>
      <c r="B132" s="868"/>
      <c r="C132" s="264" t="s">
        <v>2267</v>
      </c>
      <c r="D132" s="265" t="s">
        <v>405</v>
      </c>
      <c r="E132" s="707"/>
      <c r="F132" s="259">
        <f>ROUND(SUM(H132:H136),0)</f>
        <v>138646</v>
      </c>
      <c r="G132" s="711"/>
      <c r="H132" s="250"/>
    </row>
    <row r="133" spans="1:9" s="818" customFormat="1" ht="12.75" x14ac:dyDescent="0.2">
      <c r="A133" s="1070" t="s">
        <v>382</v>
      </c>
      <c r="B133" s="533" t="s">
        <v>1738</v>
      </c>
      <c r="C133" s="822" t="s">
        <v>2823</v>
      </c>
      <c r="D133" s="266" t="s">
        <v>405</v>
      </c>
      <c r="E133" s="704">
        <v>4</v>
      </c>
      <c r="F133" s="256">
        <f>VLOOKUP(B133,'[1]BASE DE DATOS'!$A$5:$E$964,5,FALSE)</f>
        <v>16800</v>
      </c>
      <c r="G133" s="708">
        <v>1.03</v>
      </c>
      <c r="H133" s="252">
        <f t="shared" si="3"/>
        <v>69216</v>
      </c>
      <c r="I133" s="924"/>
    </row>
    <row r="134" spans="1:9" s="818" customFormat="1" ht="12.75" x14ac:dyDescent="0.2">
      <c r="A134" s="1071"/>
      <c r="B134" s="533" t="s">
        <v>1813</v>
      </c>
      <c r="C134" s="822" t="s">
        <v>3121</v>
      </c>
      <c r="D134" s="266" t="s">
        <v>405</v>
      </c>
      <c r="E134" s="704">
        <v>1</v>
      </c>
      <c r="F134" s="256">
        <f>VLOOKUP(B134,'[1]BASE DE DATOS'!$A$5:$E$964,5,FALSE)</f>
        <v>6950</v>
      </c>
      <c r="G134" s="708">
        <v>1.03</v>
      </c>
      <c r="H134" s="252">
        <f t="shared" si="3"/>
        <v>7158.5</v>
      </c>
      <c r="I134" s="924"/>
    </row>
    <row r="135" spans="1:9" s="818" customFormat="1" ht="12.75" x14ac:dyDescent="0.2">
      <c r="A135" s="280" t="s">
        <v>2555</v>
      </c>
      <c r="B135" s="534" t="s">
        <v>2667</v>
      </c>
      <c r="C135" s="822" t="s">
        <v>2600</v>
      </c>
      <c r="D135" s="266" t="s">
        <v>585</v>
      </c>
      <c r="E135" s="704">
        <v>1</v>
      </c>
      <c r="F135" s="256">
        <f>VLOOKUP(B135,'[1]BASE DE DATOS'!$A$5:$E$964,5,FALSE)</f>
        <v>319246</v>
      </c>
      <c r="G135" s="708">
        <f>1/7.69</f>
        <v>0.13003901170351104</v>
      </c>
      <c r="H135" s="252">
        <f t="shared" si="3"/>
        <v>41514.434330299082</v>
      </c>
      <c r="I135" s="924"/>
    </row>
    <row r="136" spans="1:9" s="818" customFormat="1" ht="13.5" thickBot="1" x14ac:dyDescent="0.25">
      <c r="A136" s="287" t="s">
        <v>293</v>
      </c>
      <c r="B136" s="536" t="s">
        <v>269</v>
      </c>
      <c r="C136" s="268" t="s">
        <v>284</v>
      </c>
      <c r="D136" s="269" t="s">
        <v>2199</v>
      </c>
      <c r="E136" s="704">
        <v>0.5</v>
      </c>
      <c r="F136" s="256">
        <f>H135</f>
        <v>41514.434330299082</v>
      </c>
      <c r="G136" s="708">
        <v>0</v>
      </c>
      <c r="H136" s="252">
        <f t="shared" si="3"/>
        <v>20757.217165149541</v>
      </c>
      <c r="I136" s="924"/>
    </row>
    <row r="137" spans="1:9" ht="45" x14ac:dyDescent="0.2">
      <c r="A137" s="292" t="s">
        <v>2247</v>
      </c>
      <c r="B137" s="868"/>
      <c r="C137" s="264" t="s">
        <v>2266</v>
      </c>
      <c r="D137" s="265" t="s">
        <v>405</v>
      </c>
      <c r="E137" s="707"/>
      <c r="F137" s="259">
        <f>ROUND(SUM(H137:H141),0)</f>
        <v>159378</v>
      </c>
      <c r="G137" s="711"/>
      <c r="H137" s="250"/>
    </row>
    <row r="138" spans="1:9" s="818" customFormat="1" ht="12.75" x14ac:dyDescent="0.2">
      <c r="A138" s="1070" t="s">
        <v>382</v>
      </c>
      <c r="B138" s="533" t="s">
        <v>1738</v>
      </c>
      <c r="C138" s="822" t="s">
        <v>2823</v>
      </c>
      <c r="D138" s="266" t="s">
        <v>405</v>
      </c>
      <c r="E138" s="704">
        <v>4</v>
      </c>
      <c r="F138" s="256">
        <f>VLOOKUP(B138,'[1]BASE DE DATOS'!$A$5:$E$964,5,FALSE)</f>
        <v>16800</v>
      </c>
      <c r="G138" s="708">
        <v>1.03</v>
      </c>
      <c r="H138" s="252">
        <f t="shared" si="3"/>
        <v>69216</v>
      </c>
      <c r="I138" s="924"/>
    </row>
    <row r="139" spans="1:9" s="818" customFormat="1" ht="12.75" x14ac:dyDescent="0.2">
      <c r="A139" s="1071"/>
      <c r="B139" s="533" t="s">
        <v>1813</v>
      </c>
      <c r="C139" s="822" t="s">
        <v>3121</v>
      </c>
      <c r="D139" s="266" t="s">
        <v>405</v>
      </c>
      <c r="E139" s="704">
        <v>1</v>
      </c>
      <c r="F139" s="256">
        <f>VLOOKUP(B139,'[1]BASE DE DATOS'!$A$5:$E$964,5,FALSE)</f>
        <v>6950</v>
      </c>
      <c r="G139" s="708">
        <v>1.03</v>
      </c>
      <c r="H139" s="252">
        <f t="shared" si="3"/>
        <v>7158.5</v>
      </c>
      <c r="I139" s="924"/>
    </row>
    <row r="140" spans="1:9" s="818" customFormat="1" ht="12.75" x14ac:dyDescent="0.2">
      <c r="A140" s="280" t="s">
        <v>2555</v>
      </c>
      <c r="B140" s="534" t="s">
        <v>2667</v>
      </c>
      <c r="C140" s="822" t="s">
        <v>2600</v>
      </c>
      <c r="D140" s="266" t="s">
        <v>585</v>
      </c>
      <c r="E140" s="704">
        <v>1</v>
      </c>
      <c r="F140" s="256">
        <f>VLOOKUP(B140,'[1]BASE DE DATOS'!$A$5:$E$964,5,FALSE)</f>
        <v>319246</v>
      </c>
      <c r="G140" s="708">
        <f>1/5</f>
        <v>0.2</v>
      </c>
      <c r="H140" s="252">
        <f t="shared" si="3"/>
        <v>63849.200000000004</v>
      </c>
      <c r="I140" s="924"/>
    </row>
    <row r="141" spans="1:9" s="818" customFormat="1" ht="13.5" thickBot="1" x14ac:dyDescent="0.25">
      <c r="A141" s="287" t="s">
        <v>293</v>
      </c>
      <c r="B141" s="536" t="s">
        <v>269</v>
      </c>
      <c r="C141" s="268" t="s">
        <v>284</v>
      </c>
      <c r="D141" s="269" t="s">
        <v>2199</v>
      </c>
      <c r="E141" s="704">
        <v>0.3</v>
      </c>
      <c r="F141" s="256">
        <f>H140</f>
        <v>63849.200000000004</v>
      </c>
      <c r="G141" s="708">
        <v>0</v>
      </c>
      <c r="H141" s="252">
        <f t="shared" si="3"/>
        <v>19154.760000000002</v>
      </c>
      <c r="I141" s="924"/>
    </row>
    <row r="142" spans="1:9" ht="30" x14ac:dyDescent="0.2">
      <c r="A142" s="292" t="s">
        <v>2248</v>
      </c>
      <c r="B142" s="868"/>
      <c r="C142" s="264" t="s">
        <v>2249</v>
      </c>
      <c r="D142" s="265" t="s">
        <v>405</v>
      </c>
      <c r="E142" s="707"/>
      <c r="F142" s="259">
        <f>ROUND(SUM(H142:H145),0)</f>
        <v>783555</v>
      </c>
      <c r="G142" s="711"/>
      <c r="H142" s="250"/>
    </row>
    <row r="143" spans="1:9" s="818" customFormat="1" ht="12.75" x14ac:dyDescent="0.2">
      <c r="A143" s="801" t="s">
        <v>382</v>
      </c>
      <c r="B143" s="533" t="s">
        <v>1363</v>
      </c>
      <c r="C143" s="822" t="s">
        <v>2824</v>
      </c>
      <c r="D143" s="266" t="s">
        <v>405</v>
      </c>
      <c r="E143" s="704">
        <v>8</v>
      </c>
      <c r="F143" s="256">
        <f>VLOOKUP(B143,'[1]BASE DE DATOS'!$A$5:$E$964,5,FALSE)</f>
        <v>82500</v>
      </c>
      <c r="G143" s="708">
        <v>1.03</v>
      </c>
      <c r="H143" s="252">
        <f t="shared" si="3"/>
        <v>679800</v>
      </c>
      <c r="I143" s="924"/>
    </row>
    <row r="144" spans="1:9" s="818" customFormat="1" ht="12.75" x14ac:dyDescent="0.2">
      <c r="A144" s="280" t="s">
        <v>2555</v>
      </c>
      <c r="B144" s="534" t="s">
        <v>2667</v>
      </c>
      <c r="C144" s="822" t="s">
        <v>2600</v>
      </c>
      <c r="D144" s="266" t="s">
        <v>585</v>
      </c>
      <c r="E144" s="704">
        <v>1</v>
      </c>
      <c r="F144" s="256">
        <f>VLOOKUP(B144,'[1]BASE DE DATOS'!$A$5:$E$964,5,FALSE)</f>
        <v>319246</v>
      </c>
      <c r="G144" s="708">
        <f>1/4</f>
        <v>0.25</v>
      </c>
      <c r="H144" s="252">
        <f t="shared" si="3"/>
        <v>79811.5</v>
      </c>
      <c r="I144" s="924"/>
    </row>
    <row r="145" spans="1:9" s="818" customFormat="1" ht="13.5" thickBot="1" x14ac:dyDescent="0.25">
      <c r="A145" s="287" t="s">
        <v>293</v>
      </c>
      <c r="B145" s="536" t="s">
        <v>269</v>
      </c>
      <c r="C145" s="268" t="s">
        <v>284</v>
      </c>
      <c r="D145" s="269" t="s">
        <v>2199</v>
      </c>
      <c r="E145" s="704">
        <v>0.3</v>
      </c>
      <c r="F145" s="256">
        <f>H144</f>
        <v>79811.5</v>
      </c>
      <c r="G145" s="708">
        <v>0</v>
      </c>
      <c r="H145" s="252">
        <f t="shared" si="3"/>
        <v>23943.45</v>
      </c>
      <c r="I145" s="924"/>
    </row>
    <row r="146" spans="1:9" ht="30" x14ac:dyDescent="0.2">
      <c r="A146" s="292" t="s">
        <v>2250</v>
      </c>
      <c r="B146" s="868"/>
      <c r="C146" s="272" t="s">
        <v>2265</v>
      </c>
      <c r="D146" s="265" t="s">
        <v>405</v>
      </c>
      <c r="E146" s="707"/>
      <c r="F146" s="259">
        <f>ROUND(SUM(H146:H149),0)</f>
        <v>64317</v>
      </c>
      <c r="G146" s="711"/>
      <c r="H146" s="250"/>
    </row>
    <row r="147" spans="1:9" s="818" customFormat="1" ht="12.75" x14ac:dyDescent="0.2">
      <c r="A147" s="801" t="s">
        <v>382</v>
      </c>
      <c r="B147" s="533" t="s">
        <v>1541</v>
      </c>
      <c r="C147" s="822" t="s">
        <v>2828</v>
      </c>
      <c r="D147" s="266" t="s">
        <v>405</v>
      </c>
      <c r="E147" s="704">
        <v>4</v>
      </c>
      <c r="F147" s="256">
        <f>VLOOKUP(B147,'[1]BASE DE DATOS'!$A$5:$E$964,5,FALSE)</f>
        <v>6700</v>
      </c>
      <c r="G147" s="708">
        <v>1.03</v>
      </c>
      <c r="H147" s="252">
        <f t="shared" si="3"/>
        <v>27604</v>
      </c>
      <c r="I147" s="924"/>
    </row>
    <row r="148" spans="1:9" s="818" customFormat="1" ht="12.75" x14ac:dyDescent="0.2">
      <c r="A148" s="280" t="s">
        <v>2555</v>
      </c>
      <c r="B148" s="534" t="s">
        <v>2667</v>
      </c>
      <c r="C148" s="822" t="s">
        <v>2600</v>
      </c>
      <c r="D148" s="266" t="s">
        <v>585</v>
      </c>
      <c r="E148" s="704">
        <v>1</v>
      </c>
      <c r="F148" s="256">
        <f>VLOOKUP(B148,'[1]BASE DE DATOS'!$A$5:$E$964,5,FALSE)</f>
        <v>319246</v>
      </c>
      <c r="G148" s="708">
        <f>1/10</f>
        <v>0.1</v>
      </c>
      <c r="H148" s="252">
        <f t="shared" si="3"/>
        <v>31924.600000000002</v>
      </c>
      <c r="I148" s="924"/>
    </row>
    <row r="149" spans="1:9" s="818" customFormat="1" ht="13.5" thickBot="1" x14ac:dyDescent="0.25">
      <c r="A149" s="287" t="s">
        <v>293</v>
      </c>
      <c r="B149" s="536" t="s">
        <v>269</v>
      </c>
      <c r="C149" s="268" t="s">
        <v>284</v>
      </c>
      <c r="D149" s="269" t="s">
        <v>2199</v>
      </c>
      <c r="E149" s="704">
        <v>0.15</v>
      </c>
      <c r="F149" s="256">
        <f>H148</f>
        <v>31924.600000000002</v>
      </c>
      <c r="G149" s="708">
        <v>0</v>
      </c>
      <c r="H149" s="252">
        <f t="shared" si="3"/>
        <v>4788.6900000000005</v>
      </c>
      <c r="I149" s="924"/>
    </row>
    <row r="150" spans="1:9" ht="30" x14ac:dyDescent="0.2">
      <c r="A150" s="270" t="s">
        <v>2251</v>
      </c>
      <c r="B150" s="870"/>
      <c r="C150" s="264" t="s">
        <v>2252</v>
      </c>
      <c r="D150" s="265" t="s">
        <v>411</v>
      </c>
      <c r="E150" s="707"/>
      <c r="F150" s="259">
        <f>ROUND(SUM(H150:H162),0)</f>
        <v>2643786</v>
      </c>
      <c r="G150" s="711"/>
      <c r="H150" s="250"/>
    </row>
    <row r="151" spans="1:9" customFormat="1" ht="12.75" x14ac:dyDescent="0.2">
      <c r="A151" s="1096" t="s">
        <v>382</v>
      </c>
      <c r="B151" s="244" t="s">
        <v>1264</v>
      </c>
      <c r="C151" s="20" t="s">
        <v>641</v>
      </c>
      <c r="D151" s="19" t="s">
        <v>642</v>
      </c>
      <c r="E151" s="194">
        <v>0.4</v>
      </c>
      <c r="F151" s="256">
        <f>VLOOKUP(B151,'[1]BASE DE DATOS'!$A$5:$E$964,5,FALSE)</f>
        <v>10959</v>
      </c>
      <c r="G151" s="681">
        <v>1.05</v>
      </c>
      <c r="H151" s="252">
        <f>IF(G151&gt;0,(G151*F151*E151),(F151*E151))</f>
        <v>4602.7800000000007</v>
      </c>
      <c r="I151" s="914"/>
    </row>
    <row r="152" spans="1:9" customFormat="1" ht="13.9" customHeight="1" x14ac:dyDescent="0.2">
      <c r="A152" s="936"/>
      <c r="B152" s="244" t="s">
        <v>1757</v>
      </c>
      <c r="C152" s="20" t="s">
        <v>144</v>
      </c>
      <c r="D152" s="19" t="s">
        <v>405</v>
      </c>
      <c r="E152" s="194">
        <f>1.05*4*2</f>
        <v>8.4</v>
      </c>
      <c r="F152" s="256">
        <f>VLOOKUP(B152,'[1]BASE DE DATOS'!$A$5:$E$964,5,FALSE)</f>
        <v>15817</v>
      </c>
      <c r="G152" s="681">
        <v>1.05</v>
      </c>
      <c r="H152" s="252">
        <f t="shared" ref="H152:H215" si="4">IF(G152&gt;0,(G152*F152*E152),(F152*E152))</f>
        <v>139505.94000000003</v>
      </c>
      <c r="I152" s="914"/>
    </row>
    <row r="153" spans="1:9" customFormat="1" ht="12.75" x14ac:dyDescent="0.2">
      <c r="A153" s="936"/>
      <c r="B153" s="244" t="s">
        <v>1463</v>
      </c>
      <c r="C153" s="20" t="s">
        <v>593</v>
      </c>
      <c r="D153" s="19" t="s">
        <v>405</v>
      </c>
      <c r="E153" s="194">
        <v>6</v>
      </c>
      <c r="F153" s="256">
        <f>VLOOKUP(B153,'[1]BASE DE DATOS'!$A$5:$E$964,5,FALSE)</f>
        <v>4704</v>
      </c>
      <c r="G153" s="681">
        <f>1/2</f>
        <v>0.5</v>
      </c>
      <c r="H153" s="252">
        <f t="shared" si="4"/>
        <v>14112</v>
      </c>
      <c r="I153" s="914"/>
    </row>
    <row r="154" spans="1:9" customFormat="1" ht="12.75" x14ac:dyDescent="0.2">
      <c r="A154" s="936"/>
      <c r="B154" s="244" t="s">
        <v>1558</v>
      </c>
      <c r="C154" s="20" t="s">
        <v>2023</v>
      </c>
      <c r="D154" s="19" t="s">
        <v>590</v>
      </c>
      <c r="E154" s="194">
        <v>1.5</v>
      </c>
      <c r="F154" s="256">
        <f>VLOOKUP(B154,'[1]BASE DE DATOS'!$A$5:$E$964,5,FALSE)</f>
        <v>5650</v>
      </c>
      <c r="G154" s="681">
        <v>0</v>
      </c>
      <c r="H154" s="252">
        <f t="shared" si="4"/>
        <v>8475</v>
      </c>
      <c r="I154" s="914"/>
    </row>
    <row r="155" spans="1:9" customFormat="1" ht="12.75" x14ac:dyDescent="0.2">
      <c r="A155" s="936"/>
      <c r="B155" s="244" t="s">
        <v>1711</v>
      </c>
      <c r="C155" s="20" t="s">
        <v>632</v>
      </c>
      <c r="D155" s="19" t="s">
        <v>405</v>
      </c>
      <c r="E155" s="194">
        <v>18</v>
      </c>
      <c r="F155" s="256">
        <f>VLOOKUP(B155,'[1]BASE DE DATOS'!$A$5:$E$964,5,FALSE)</f>
        <v>10991</v>
      </c>
      <c r="G155" s="681">
        <f>1/2</f>
        <v>0.5</v>
      </c>
      <c r="H155" s="252">
        <f t="shared" si="4"/>
        <v>98919</v>
      </c>
      <c r="I155" s="914"/>
    </row>
    <row r="156" spans="1:9" s="818" customFormat="1" x14ac:dyDescent="0.2">
      <c r="A156" s="1097" t="s">
        <v>2044</v>
      </c>
      <c r="B156" s="533" t="s">
        <v>801</v>
      </c>
      <c r="C156" s="822" t="s">
        <v>2087</v>
      </c>
      <c r="D156" s="266" t="s">
        <v>2254</v>
      </c>
      <c r="E156" s="704">
        <v>0.6</v>
      </c>
      <c r="F156" s="251">
        <f>[1]CONSTRUCCION!F50</f>
        <v>563161</v>
      </c>
      <c r="G156" s="708">
        <v>0</v>
      </c>
      <c r="H156" s="252">
        <f>IF(G156&gt;0,(G156*F156*E156),(F156*E156))</f>
        <v>337896.6</v>
      </c>
      <c r="I156" s="924"/>
    </row>
    <row r="157" spans="1:9" s="818" customFormat="1" x14ac:dyDescent="0.2">
      <c r="A157" s="1097"/>
      <c r="B157" s="533" t="s">
        <v>811</v>
      </c>
      <c r="C157" s="822" t="s">
        <v>2147</v>
      </c>
      <c r="D157" s="266" t="s">
        <v>2254</v>
      </c>
      <c r="E157" s="704">
        <v>0.05</v>
      </c>
      <c r="F157" s="251">
        <f>[1]CONSTRUCCION!F96</f>
        <v>471394</v>
      </c>
      <c r="G157" s="708">
        <v>0</v>
      </c>
      <c r="H157" s="252">
        <f>IF(G157&gt;0,(G157*F157*E157),(F157*E157))</f>
        <v>23569.7</v>
      </c>
      <c r="I157" s="924"/>
    </row>
    <row r="158" spans="1:9" s="818" customFormat="1" ht="12.75" x14ac:dyDescent="0.2">
      <c r="A158" s="1097"/>
      <c r="B158" s="533" t="s">
        <v>813</v>
      </c>
      <c r="C158" s="822" t="s">
        <v>2108</v>
      </c>
      <c r="D158" s="266" t="s">
        <v>406</v>
      </c>
      <c r="E158" s="704">
        <f>45+30</f>
        <v>75</v>
      </c>
      <c r="F158" s="251">
        <f>[1]CONSTRUCCION!F113</f>
        <v>6882</v>
      </c>
      <c r="G158" s="708">
        <v>0</v>
      </c>
      <c r="H158" s="252">
        <f t="shared" si="4"/>
        <v>516150</v>
      </c>
      <c r="I158" s="924"/>
    </row>
    <row r="159" spans="1:9" s="818" customFormat="1" ht="25.5" x14ac:dyDescent="0.2">
      <c r="A159" s="1097"/>
      <c r="B159" s="533" t="s">
        <v>815</v>
      </c>
      <c r="C159" s="279" t="s">
        <v>2019</v>
      </c>
      <c r="D159" s="266" t="s">
        <v>406</v>
      </c>
      <c r="E159" s="704">
        <v>4</v>
      </c>
      <c r="F159" s="251">
        <f>[1]CONSTRUCCION!F123</f>
        <v>8285</v>
      </c>
      <c r="G159" s="708">
        <v>0</v>
      </c>
      <c r="H159" s="252">
        <f>IF(G159&gt;0,(G159*F159*E159),(F159*E159))</f>
        <v>33140</v>
      </c>
      <c r="I159" s="924"/>
    </row>
    <row r="160" spans="1:9" s="818" customFormat="1" x14ac:dyDescent="0.2">
      <c r="A160" s="1097"/>
      <c r="B160" s="533" t="s">
        <v>766</v>
      </c>
      <c r="C160" s="822" t="s">
        <v>133</v>
      </c>
      <c r="D160" s="266" t="s">
        <v>2254</v>
      </c>
      <c r="E160" s="704">
        <v>1.4520000000000002</v>
      </c>
      <c r="F160" s="251">
        <f>[1]CONSTRUCCION!F468</f>
        <v>43205</v>
      </c>
      <c r="G160" s="708">
        <v>0</v>
      </c>
      <c r="H160" s="252">
        <f t="shared" si="4"/>
        <v>62733.660000000011</v>
      </c>
      <c r="I160" s="924"/>
    </row>
    <row r="161" spans="1:9" s="818" customFormat="1" ht="12.75" x14ac:dyDescent="0.2">
      <c r="A161" s="280" t="s">
        <v>2555</v>
      </c>
      <c r="B161" s="534" t="s">
        <v>2666</v>
      </c>
      <c r="C161" s="271" t="s">
        <v>2599</v>
      </c>
      <c r="D161" s="266" t="s">
        <v>585</v>
      </c>
      <c r="E161" s="704">
        <v>1</v>
      </c>
      <c r="F161" s="256">
        <f>VLOOKUP(B161,'[1]BASE DE DATOS'!$A$5:$E$964,5,FALSE)</f>
        <v>1170568</v>
      </c>
      <c r="G161" s="708">
        <f>1/1.25</f>
        <v>0.8</v>
      </c>
      <c r="H161" s="252">
        <f t="shared" si="4"/>
        <v>936454.4</v>
      </c>
      <c r="I161" s="924"/>
    </row>
    <row r="162" spans="1:9" s="818" customFormat="1" ht="13.5" thickBot="1" x14ac:dyDescent="0.25">
      <c r="A162" s="287" t="s">
        <v>293</v>
      </c>
      <c r="B162" s="535" t="s">
        <v>269</v>
      </c>
      <c r="C162" s="235" t="s">
        <v>284</v>
      </c>
      <c r="D162" s="177" t="s">
        <v>2199</v>
      </c>
      <c r="E162" s="712">
        <v>0.5</v>
      </c>
      <c r="F162" s="274">
        <f>H161</f>
        <v>936454.4</v>
      </c>
      <c r="G162" s="715">
        <v>0</v>
      </c>
      <c r="H162" s="252">
        <f t="shared" si="4"/>
        <v>468227.2</v>
      </c>
      <c r="I162" s="924"/>
    </row>
    <row r="163" spans="1:9" ht="30" x14ac:dyDescent="0.2">
      <c r="A163" s="292" t="s">
        <v>2253</v>
      </c>
      <c r="B163" s="871"/>
      <c r="C163" s="275" t="s">
        <v>3226</v>
      </c>
      <c r="D163" s="276" t="s">
        <v>405</v>
      </c>
      <c r="E163" s="713"/>
      <c r="F163" s="259">
        <f>ROUND(SUM(H163:H170),0)</f>
        <v>53371</v>
      </c>
      <c r="G163" s="716"/>
      <c r="H163" s="277"/>
    </row>
    <row r="164" spans="1:9" s="818" customFormat="1" ht="12.75" x14ac:dyDescent="0.2">
      <c r="A164" s="1070" t="s">
        <v>382</v>
      </c>
      <c r="B164" s="533" t="s">
        <v>1307</v>
      </c>
      <c r="C164" s="823" t="s">
        <v>2757</v>
      </c>
      <c r="D164" s="273" t="s">
        <v>411</v>
      </c>
      <c r="E164" s="712">
        <v>0.4</v>
      </c>
      <c r="F164" s="256">
        <f>VLOOKUP(B164,'[1]BASE DE DATOS'!$A$5:$E$964,5,FALSE)</f>
        <v>1300</v>
      </c>
      <c r="G164" s="708">
        <v>0</v>
      </c>
      <c r="H164" s="252">
        <f t="shared" si="4"/>
        <v>520</v>
      </c>
      <c r="I164" s="924"/>
    </row>
    <row r="165" spans="1:9" s="818" customFormat="1" ht="12.75" x14ac:dyDescent="0.2">
      <c r="A165" s="1071"/>
      <c r="B165" s="533" t="s">
        <v>1339</v>
      </c>
      <c r="C165" s="823" t="s">
        <v>2798</v>
      </c>
      <c r="D165" s="273" t="s">
        <v>411</v>
      </c>
      <c r="E165" s="712">
        <v>0.8</v>
      </c>
      <c r="F165" s="256">
        <f>VLOOKUP(B165,'[1]BASE DE DATOS'!$A$5:$E$964,5,FALSE)</f>
        <v>3700</v>
      </c>
      <c r="G165" s="708">
        <v>0</v>
      </c>
      <c r="H165" s="252">
        <f t="shared" si="4"/>
        <v>2960</v>
      </c>
      <c r="I165" s="924"/>
    </row>
    <row r="166" spans="1:9" s="818" customFormat="1" ht="12.75" x14ac:dyDescent="0.2">
      <c r="A166" s="1071"/>
      <c r="B166" s="533" t="s">
        <v>1641</v>
      </c>
      <c r="C166" s="823" t="s">
        <v>3167</v>
      </c>
      <c r="D166" s="273" t="s">
        <v>405</v>
      </c>
      <c r="E166" s="712">
        <v>3.5000000000000003E-2</v>
      </c>
      <c r="F166" s="256">
        <f>VLOOKUP(B166,'[1]BASE DE DATOS'!$A$5:$E$964,5,FALSE)</f>
        <v>7900</v>
      </c>
      <c r="G166" s="708">
        <v>1.03</v>
      </c>
      <c r="H166" s="252">
        <f t="shared" si="4"/>
        <v>284.79500000000002</v>
      </c>
      <c r="I166" s="924"/>
    </row>
    <row r="167" spans="1:9" s="818" customFormat="1" ht="12.75" x14ac:dyDescent="0.2">
      <c r="A167" s="1071"/>
      <c r="B167" s="533" t="s">
        <v>3054</v>
      </c>
      <c r="C167" s="823" t="s">
        <v>3055</v>
      </c>
      <c r="D167" s="273" t="s">
        <v>405</v>
      </c>
      <c r="E167" s="712">
        <v>1</v>
      </c>
      <c r="F167" s="256">
        <f>VLOOKUP(B167,'[1]BASE DE DATOS'!$A$5:$E$964,5,FALSE)</f>
        <v>24100</v>
      </c>
      <c r="G167" s="708">
        <v>1.03</v>
      </c>
      <c r="H167" s="252">
        <f t="shared" si="4"/>
        <v>24823</v>
      </c>
      <c r="I167" s="924"/>
    </row>
    <row r="168" spans="1:9" s="818" customFormat="1" ht="12.75" x14ac:dyDescent="0.2">
      <c r="A168" s="1071"/>
      <c r="B168" s="533" t="s">
        <v>3086</v>
      </c>
      <c r="C168" s="823" t="s">
        <v>3087</v>
      </c>
      <c r="D168" s="273" t="s">
        <v>411</v>
      </c>
      <c r="E168" s="712">
        <v>0.34</v>
      </c>
      <c r="F168" s="256">
        <f>VLOOKUP(B168,'[1]BASE DE DATOS'!$A$5:$E$964,5,FALSE)</f>
        <v>3900</v>
      </c>
      <c r="G168" s="708">
        <v>0</v>
      </c>
      <c r="H168" s="252">
        <f t="shared" si="4"/>
        <v>1326</v>
      </c>
      <c r="I168" s="924"/>
    </row>
    <row r="169" spans="1:9" s="818" customFormat="1" ht="12.75" x14ac:dyDescent="0.2">
      <c r="A169" s="280" t="s">
        <v>2555</v>
      </c>
      <c r="B169" s="534" t="s">
        <v>2667</v>
      </c>
      <c r="C169" s="822" t="s">
        <v>2600</v>
      </c>
      <c r="D169" s="273" t="s">
        <v>585</v>
      </c>
      <c r="E169" s="712">
        <v>1</v>
      </c>
      <c r="F169" s="256">
        <f>VLOOKUP(B169,'[1]BASE DE DATOS'!$A$5:$E$964,5,FALSE)</f>
        <v>319246</v>
      </c>
      <c r="G169" s="715">
        <f>1/14.29</f>
        <v>6.9979006298110574E-2</v>
      </c>
      <c r="H169" s="252">
        <f t="shared" si="4"/>
        <v>22340.517844646609</v>
      </c>
      <c r="I169" s="924"/>
    </row>
    <row r="170" spans="1:9" s="818" customFormat="1" ht="13.5" thickBot="1" x14ac:dyDescent="0.25">
      <c r="A170" s="287" t="s">
        <v>293</v>
      </c>
      <c r="B170" s="535" t="s">
        <v>269</v>
      </c>
      <c r="C170" s="235" t="s">
        <v>284</v>
      </c>
      <c r="D170" s="177" t="s">
        <v>2199</v>
      </c>
      <c r="E170" s="712">
        <v>0.05</v>
      </c>
      <c r="F170" s="274">
        <f>H169</f>
        <v>22340.517844646609</v>
      </c>
      <c r="G170" s="715">
        <v>0</v>
      </c>
      <c r="H170" s="252">
        <f t="shared" si="4"/>
        <v>1117.0258922323305</v>
      </c>
      <c r="I170" s="924"/>
    </row>
    <row r="171" spans="1:9" ht="30" x14ac:dyDescent="0.2">
      <c r="A171" s="292" t="s">
        <v>2255</v>
      </c>
      <c r="B171" s="871"/>
      <c r="C171" s="275" t="s">
        <v>3227</v>
      </c>
      <c r="D171" s="276" t="s">
        <v>405</v>
      </c>
      <c r="E171" s="713"/>
      <c r="F171" s="259">
        <f>ROUND(SUM(H171:H178),0)</f>
        <v>90438</v>
      </c>
      <c r="G171" s="716"/>
      <c r="H171" s="277"/>
    </row>
    <row r="172" spans="1:9" s="818" customFormat="1" ht="12.75" x14ac:dyDescent="0.2">
      <c r="A172" s="1070" t="s">
        <v>382</v>
      </c>
      <c r="B172" s="533" t="s">
        <v>1256</v>
      </c>
      <c r="C172" s="823" t="s">
        <v>2572</v>
      </c>
      <c r="D172" s="273" t="s">
        <v>411</v>
      </c>
      <c r="E172" s="712">
        <v>0.4</v>
      </c>
      <c r="F172" s="256">
        <f>VLOOKUP(B172,'[1]BASE DE DATOS'!$A$5:$E$964,5,FALSE)</f>
        <v>1600</v>
      </c>
      <c r="G172" s="708">
        <v>0</v>
      </c>
      <c r="H172" s="252">
        <f t="shared" si="4"/>
        <v>640</v>
      </c>
      <c r="I172" s="924"/>
    </row>
    <row r="173" spans="1:9" s="818" customFormat="1" ht="12.75" x14ac:dyDescent="0.2">
      <c r="A173" s="1071"/>
      <c r="B173" s="533" t="s">
        <v>1339</v>
      </c>
      <c r="C173" s="823" t="s">
        <v>2798</v>
      </c>
      <c r="D173" s="273" t="s">
        <v>411</v>
      </c>
      <c r="E173" s="712">
        <v>0.8</v>
      </c>
      <c r="F173" s="256">
        <f>VLOOKUP(B173,'[1]BASE DE DATOS'!$A$5:$E$964,5,FALSE)</f>
        <v>3700</v>
      </c>
      <c r="G173" s="708">
        <v>0</v>
      </c>
      <c r="H173" s="252">
        <f t="shared" si="4"/>
        <v>2960</v>
      </c>
      <c r="I173" s="924"/>
    </row>
    <row r="174" spans="1:9" s="818" customFormat="1" ht="12.75" x14ac:dyDescent="0.2">
      <c r="A174" s="1071"/>
      <c r="B174" s="533" t="s">
        <v>1641</v>
      </c>
      <c r="C174" s="823" t="s">
        <v>3167</v>
      </c>
      <c r="D174" s="273" t="s">
        <v>405</v>
      </c>
      <c r="E174" s="712">
        <v>0.04</v>
      </c>
      <c r="F174" s="256">
        <f>VLOOKUP(B174,'[1]BASE DE DATOS'!$A$5:$E$964,5,FALSE)</f>
        <v>7900</v>
      </c>
      <c r="G174" s="708">
        <v>1.03</v>
      </c>
      <c r="H174" s="252">
        <f t="shared" si="4"/>
        <v>325.48</v>
      </c>
      <c r="I174" s="924"/>
    </row>
    <row r="175" spans="1:9" s="818" customFormat="1" ht="12.75" x14ac:dyDescent="0.2">
      <c r="A175" s="1071"/>
      <c r="B175" s="533" t="s">
        <v>3058</v>
      </c>
      <c r="C175" s="823" t="s">
        <v>3059</v>
      </c>
      <c r="D175" s="273" t="s">
        <v>405</v>
      </c>
      <c r="E175" s="712">
        <v>1</v>
      </c>
      <c r="F175" s="256">
        <f>VLOOKUP(B175,'[1]BASE DE DATOS'!$A$5:$E$964,5,FALSE)</f>
        <v>35433.333333333336</v>
      </c>
      <c r="G175" s="708">
        <v>1.03</v>
      </c>
      <c r="H175" s="252">
        <f t="shared" si="4"/>
        <v>36496.333333333336</v>
      </c>
      <c r="I175" s="924"/>
    </row>
    <row r="176" spans="1:9" s="818" customFormat="1" ht="12.75" x14ac:dyDescent="0.2">
      <c r="A176" s="1071"/>
      <c r="B176" s="533" t="s">
        <v>3090</v>
      </c>
      <c r="C176" s="823" t="s">
        <v>3091</v>
      </c>
      <c r="D176" s="273" t="s">
        <v>411</v>
      </c>
      <c r="E176" s="712">
        <v>0.34</v>
      </c>
      <c r="F176" s="256">
        <f>VLOOKUP(B176,'[1]BASE DE DATOS'!$A$5:$E$964,5,FALSE)</f>
        <v>4386</v>
      </c>
      <c r="G176" s="708">
        <v>0</v>
      </c>
      <c r="H176" s="252">
        <f t="shared" si="4"/>
        <v>1491.24</v>
      </c>
      <c r="I176" s="924"/>
    </row>
    <row r="177" spans="1:9" s="818" customFormat="1" ht="12.75" x14ac:dyDescent="0.2">
      <c r="A177" s="280" t="s">
        <v>2555</v>
      </c>
      <c r="B177" s="534" t="s">
        <v>2667</v>
      </c>
      <c r="C177" s="822" t="s">
        <v>2600</v>
      </c>
      <c r="D177" s="273" t="s">
        <v>585</v>
      </c>
      <c r="E177" s="712">
        <v>1</v>
      </c>
      <c r="F177" s="256">
        <f>VLOOKUP(B177,'[1]BASE DE DATOS'!$A$5:$E$964,5,FALSE)</f>
        <v>319246</v>
      </c>
      <c r="G177" s="715">
        <f>1/12.5</f>
        <v>0.08</v>
      </c>
      <c r="H177" s="252">
        <f t="shared" si="4"/>
        <v>25539.68</v>
      </c>
      <c r="I177" s="924"/>
    </row>
    <row r="178" spans="1:9" s="818" customFormat="1" ht="13.5" thickBot="1" x14ac:dyDescent="0.25">
      <c r="A178" s="287" t="s">
        <v>293</v>
      </c>
      <c r="B178" s="535" t="s">
        <v>269</v>
      </c>
      <c r="C178" s="235" t="s">
        <v>284</v>
      </c>
      <c r="D178" s="177" t="s">
        <v>2199</v>
      </c>
      <c r="E178" s="712">
        <v>0.9</v>
      </c>
      <c r="F178" s="256">
        <f>H177</f>
        <v>25539.68</v>
      </c>
      <c r="G178" s="715">
        <v>0</v>
      </c>
      <c r="H178" s="252">
        <f t="shared" si="4"/>
        <v>22985.712</v>
      </c>
      <c r="I178" s="924"/>
    </row>
    <row r="179" spans="1:9" ht="30" x14ac:dyDescent="0.2">
      <c r="A179" s="292" t="s">
        <v>2256</v>
      </c>
      <c r="B179" s="868"/>
      <c r="C179" s="275" t="s">
        <v>2264</v>
      </c>
      <c r="D179" s="276" t="s">
        <v>405</v>
      </c>
      <c r="E179" s="713"/>
      <c r="F179" s="259">
        <f>ROUND(SUM(H179:H186),0)</f>
        <v>263773</v>
      </c>
      <c r="G179" s="716"/>
      <c r="H179" s="277"/>
    </row>
    <row r="180" spans="1:9" s="818" customFormat="1" ht="12.75" x14ac:dyDescent="0.2">
      <c r="A180" s="1070" t="s">
        <v>382</v>
      </c>
      <c r="B180" s="533" t="s">
        <v>1489</v>
      </c>
      <c r="C180" s="823" t="s">
        <v>2820</v>
      </c>
      <c r="D180" s="273" t="s">
        <v>405</v>
      </c>
      <c r="E180" s="712">
        <v>3</v>
      </c>
      <c r="F180" s="256">
        <f>VLOOKUP(B180,'[1]BASE DE DATOS'!$A$5:$E$964,5,FALSE)</f>
        <v>24150</v>
      </c>
      <c r="G180" s="708">
        <v>1.03</v>
      </c>
      <c r="H180" s="252">
        <f t="shared" si="4"/>
        <v>74623.5</v>
      </c>
      <c r="I180" s="924"/>
    </row>
    <row r="181" spans="1:9" s="818" customFormat="1" ht="12.75" x14ac:dyDescent="0.2">
      <c r="A181" s="1071"/>
      <c r="B181" s="533" t="s">
        <v>1541</v>
      </c>
      <c r="C181" s="823" t="s">
        <v>2828</v>
      </c>
      <c r="D181" s="273" t="s">
        <v>405</v>
      </c>
      <c r="E181" s="712">
        <v>1</v>
      </c>
      <c r="F181" s="256">
        <f>VLOOKUP(B181,'[1]BASE DE DATOS'!$A$5:$E$964,5,FALSE)</f>
        <v>6700</v>
      </c>
      <c r="G181" s="708">
        <v>1.03</v>
      </c>
      <c r="H181" s="252">
        <f t="shared" si="4"/>
        <v>6901</v>
      </c>
      <c r="I181" s="924"/>
    </row>
    <row r="182" spans="1:9" s="818" customFormat="1" ht="12.75" x14ac:dyDescent="0.2">
      <c r="A182" s="1071"/>
      <c r="B182" s="533" t="s">
        <v>1640</v>
      </c>
      <c r="C182" s="823" t="s">
        <v>2864</v>
      </c>
      <c r="D182" s="273" t="s">
        <v>405</v>
      </c>
      <c r="E182" s="712">
        <v>0.22</v>
      </c>
      <c r="F182" s="256">
        <f>VLOOKUP(B182,'[1]BASE DE DATOS'!$A$5:$E$964,5,FALSE)</f>
        <v>45650</v>
      </c>
      <c r="G182" s="708">
        <v>1.03</v>
      </c>
      <c r="H182" s="252">
        <f t="shared" si="4"/>
        <v>10344.290000000001</v>
      </c>
      <c r="I182" s="924"/>
    </row>
    <row r="183" spans="1:9" s="818" customFormat="1" ht="12.75" x14ac:dyDescent="0.2">
      <c r="A183" s="1071"/>
      <c r="B183" s="533" t="s">
        <v>3069</v>
      </c>
      <c r="C183" s="823" t="s">
        <v>3070</v>
      </c>
      <c r="D183" s="273" t="s">
        <v>405</v>
      </c>
      <c r="E183" s="712">
        <v>1</v>
      </c>
      <c r="F183" s="256">
        <f>VLOOKUP(B183,'[1]BASE DE DATOS'!$A$5:$E$964,5,FALSE)</f>
        <v>53533.333333333336</v>
      </c>
      <c r="G183" s="708">
        <v>1.03</v>
      </c>
      <c r="H183" s="252">
        <f t="shared" si="4"/>
        <v>55139.333333333336</v>
      </c>
      <c r="I183" s="924"/>
    </row>
    <row r="184" spans="1:9" s="818" customFormat="1" ht="12.75" x14ac:dyDescent="0.2">
      <c r="A184" s="1071"/>
      <c r="B184" s="533" t="s">
        <v>3100</v>
      </c>
      <c r="C184" s="823" t="s">
        <v>3101</v>
      </c>
      <c r="D184" s="273" t="s">
        <v>411</v>
      </c>
      <c r="E184" s="712">
        <v>0.34</v>
      </c>
      <c r="F184" s="256">
        <f>VLOOKUP(B184,'[1]BASE DE DATOS'!$A$5:$E$964,5,FALSE)</f>
        <v>5400</v>
      </c>
      <c r="G184" s="708">
        <v>0</v>
      </c>
      <c r="H184" s="252">
        <f t="shared" si="4"/>
        <v>1836.0000000000002</v>
      </c>
      <c r="I184" s="924"/>
    </row>
    <row r="185" spans="1:9" s="818" customFormat="1" ht="12.75" x14ac:dyDescent="0.2">
      <c r="A185" s="280" t="s">
        <v>2555</v>
      </c>
      <c r="B185" s="534" t="s">
        <v>2667</v>
      </c>
      <c r="C185" s="822" t="s">
        <v>2600</v>
      </c>
      <c r="D185" s="273" t="s">
        <v>585</v>
      </c>
      <c r="E185" s="712">
        <v>1</v>
      </c>
      <c r="F185" s="256">
        <f>VLOOKUP(B185,'[1]BASE DE DATOS'!$A$5:$E$964,5,FALSE)</f>
        <v>319246</v>
      </c>
      <c r="G185" s="715">
        <f>1/3.33333333</f>
        <v>0.30000000030000001</v>
      </c>
      <c r="H185" s="252">
        <f t="shared" si="4"/>
        <v>95773.800095773811</v>
      </c>
      <c r="I185" s="924"/>
    </row>
    <row r="186" spans="1:9" s="818" customFormat="1" ht="13.5" thickBot="1" x14ac:dyDescent="0.25">
      <c r="A186" s="287" t="s">
        <v>293</v>
      </c>
      <c r="B186" s="535" t="s">
        <v>269</v>
      </c>
      <c r="C186" s="235" t="s">
        <v>284</v>
      </c>
      <c r="D186" s="177" t="s">
        <v>2199</v>
      </c>
      <c r="E186" s="712">
        <v>0.2</v>
      </c>
      <c r="F186" s="256">
        <f>H185</f>
        <v>95773.800095773811</v>
      </c>
      <c r="G186" s="715">
        <v>0</v>
      </c>
      <c r="H186" s="252">
        <f t="shared" si="4"/>
        <v>19154.760019154764</v>
      </c>
      <c r="I186" s="924"/>
    </row>
    <row r="187" spans="1:9" ht="45" x14ac:dyDescent="0.2">
      <c r="A187" s="292" t="s">
        <v>2257</v>
      </c>
      <c r="B187" s="868"/>
      <c r="C187" s="275" t="s">
        <v>2259</v>
      </c>
      <c r="D187" s="276" t="s">
        <v>405</v>
      </c>
      <c r="E187" s="713"/>
      <c r="F187" s="259">
        <f>ROUND(SUM(H187:H191),0)</f>
        <v>99380</v>
      </c>
      <c r="G187" s="716"/>
      <c r="H187" s="277"/>
    </row>
    <row r="188" spans="1:9" s="818" customFormat="1" ht="12.75" x14ac:dyDescent="0.2">
      <c r="A188" s="1070" t="s">
        <v>382</v>
      </c>
      <c r="B188" s="533" t="s">
        <v>1518</v>
      </c>
      <c r="C188" s="823" t="s">
        <v>2825</v>
      </c>
      <c r="D188" s="273" t="s">
        <v>405</v>
      </c>
      <c r="E188" s="712">
        <v>4</v>
      </c>
      <c r="F188" s="256">
        <f>VLOOKUP(B188,'[1]BASE DE DATOS'!$A$5:$E$964,5,FALSE)</f>
        <v>11300</v>
      </c>
      <c r="G188" s="708">
        <v>1.03</v>
      </c>
      <c r="H188" s="252">
        <f t="shared" si="4"/>
        <v>46556</v>
      </c>
      <c r="I188" s="924"/>
    </row>
    <row r="189" spans="1:9" s="818" customFormat="1" ht="12.75" x14ac:dyDescent="0.2">
      <c r="A189" s="1071"/>
      <c r="B189" s="533" t="s">
        <v>1813</v>
      </c>
      <c r="C189" s="823" t="s">
        <v>3121</v>
      </c>
      <c r="D189" s="273" t="s">
        <v>405</v>
      </c>
      <c r="E189" s="712">
        <v>1</v>
      </c>
      <c r="F189" s="256">
        <f>VLOOKUP(B189,'[1]BASE DE DATOS'!$A$5:$E$964,5,FALSE)</f>
        <v>6950</v>
      </c>
      <c r="G189" s="708">
        <v>1.03</v>
      </c>
      <c r="H189" s="252">
        <f t="shared" si="4"/>
        <v>7158.5</v>
      </c>
      <c r="I189" s="924"/>
    </row>
    <row r="190" spans="1:9" s="818" customFormat="1" ht="12.75" x14ac:dyDescent="0.2">
      <c r="A190" s="280" t="s">
        <v>2555</v>
      </c>
      <c r="B190" s="534" t="s">
        <v>2667</v>
      </c>
      <c r="C190" s="822" t="s">
        <v>2600</v>
      </c>
      <c r="D190" s="273" t="s">
        <v>585</v>
      </c>
      <c r="E190" s="712">
        <v>1</v>
      </c>
      <c r="F190" s="256">
        <f>VLOOKUP(B190,'[1]BASE DE DATOS'!$A$5:$E$964,5,FALSE)</f>
        <v>319246</v>
      </c>
      <c r="G190" s="715">
        <f>1/7.69</f>
        <v>0.13003901170351104</v>
      </c>
      <c r="H190" s="252">
        <f t="shared" si="4"/>
        <v>41514.434330299082</v>
      </c>
      <c r="I190" s="924"/>
    </row>
    <row r="191" spans="1:9" s="818" customFormat="1" ht="13.5" thickBot="1" x14ac:dyDescent="0.25">
      <c r="A191" s="287" t="s">
        <v>293</v>
      </c>
      <c r="B191" s="535" t="s">
        <v>269</v>
      </c>
      <c r="C191" s="235" t="s">
        <v>284</v>
      </c>
      <c r="D191" s="177" t="s">
        <v>2199</v>
      </c>
      <c r="E191" s="712">
        <v>0.1</v>
      </c>
      <c r="F191" s="256">
        <f>H190</f>
        <v>41514.434330299082</v>
      </c>
      <c r="G191" s="715">
        <v>0</v>
      </c>
      <c r="H191" s="252">
        <f t="shared" si="4"/>
        <v>4151.4434330299082</v>
      </c>
      <c r="I191" s="924"/>
    </row>
    <row r="192" spans="1:9" ht="30" x14ac:dyDescent="0.2">
      <c r="A192" s="292" t="s">
        <v>2258</v>
      </c>
      <c r="B192" s="868"/>
      <c r="C192" s="275" t="s">
        <v>2260</v>
      </c>
      <c r="D192" s="276" t="s">
        <v>405</v>
      </c>
      <c r="E192" s="713"/>
      <c r="F192" s="259">
        <f>ROUND(SUM(H192:H200),0)</f>
        <v>236355</v>
      </c>
      <c r="G192" s="716"/>
      <c r="H192" s="277"/>
    </row>
    <row r="193" spans="1:9" ht="14.1" customHeight="1" x14ac:dyDescent="0.2">
      <c r="A193" s="1072" t="s">
        <v>295</v>
      </c>
      <c r="B193" s="533" t="s">
        <v>1256</v>
      </c>
      <c r="C193" s="823" t="s">
        <v>2572</v>
      </c>
      <c r="D193" s="273" t="s">
        <v>411</v>
      </c>
      <c r="E193" s="712">
        <v>0.67</v>
      </c>
      <c r="F193" s="256">
        <f>VLOOKUP(B193,'[1]BASE DE DATOS'!$A$5:$E$964,5,FALSE)</f>
        <v>1600</v>
      </c>
      <c r="G193" s="708">
        <v>0</v>
      </c>
      <c r="H193" s="252">
        <f t="shared" si="4"/>
        <v>1072</v>
      </c>
    </row>
    <row r="194" spans="1:9" ht="14.1" customHeight="1" x14ac:dyDescent="0.2">
      <c r="A194" s="1073"/>
      <c r="B194" s="533" t="s">
        <v>1339</v>
      </c>
      <c r="C194" s="823" t="s">
        <v>2798</v>
      </c>
      <c r="D194" s="273" t="s">
        <v>411</v>
      </c>
      <c r="E194" s="712">
        <v>0.67</v>
      </c>
      <c r="F194" s="256">
        <f>VLOOKUP(B194,'[1]BASE DE DATOS'!$A$5:$E$964,5,FALSE)</f>
        <v>3700</v>
      </c>
      <c r="G194" s="708">
        <v>0</v>
      </c>
      <c r="H194" s="252">
        <f t="shared" si="4"/>
        <v>2479</v>
      </c>
    </row>
    <row r="195" spans="1:9" ht="14.1" customHeight="1" x14ac:dyDescent="0.2">
      <c r="A195" s="1073"/>
      <c r="B195" s="533" t="s">
        <v>1489</v>
      </c>
      <c r="C195" s="823" t="s">
        <v>2820</v>
      </c>
      <c r="D195" s="273" t="s">
        <v>405</v>
      </c>
      <c r="E195" s="712">
        <v>3</v>
      </c>
      <c r="F195" s="256">
        <f>VLOOKUP(B195,'[1]BASE DE DATOS'!$A$5:$E$964,5,FALSE)</f>
        <v>24150</v>
      </c>
      <c r="G195" s="708">
        <v>1.03</v>
      </c>
      <c r="H195" s="252">
        <f t="shared" si="4"/>
        <v>74623.5</v>
      </c>
    </row>
    <row r="196" spans="1:9" ht="14.1" customHeight="1" x14ac:dyDescent="0.2">
      <c r="A196" s="1073"/>
      <c r="B196" s="533" t="s">
        <v>1541</v>
      </c>
      <c r="C196" s="823" t="s">
        <v>2828</v>
      </c>
      <c r="D196" s="273" t="s">
        <v>405</v>
      </c>
      <c r="E196" s="712">
        <v>1</v>
      </c>
      <c r="F196" s="256">
        <f>VLOOKUP(B196,'[1]BASE DE DATOS'!$A$5:$E$964,5,FALSE)</f>
        <v>6700</v>
      </c>
      <c r="G196" s="708">
        <v>1.03</v>
      </c>
      <c r="H196" s="252">
        <f t="shared" si="4"/>
        <v>6901</v>
      </c>
    </row>
    <row r="197" spans="1:9" ht="14.1" customHeight="1" x14ac:dyDescent="0.2">
      <c r="A197" s="1073"/>
      <c r="B197" s="533" t="s">
        <v>1641</v>
      </c>
      <c r="C197" s="823" t="s">
        <v>3167</v>
      </c>
      <c r="D197" s="273" t="s">
        <v>405</v>
      </c>
      <c r="E197" s="712">
        <v>4.4999999999999998E-2</v>
      </c>
      <c r="F197" s="256">
        <f>VLOOKUP(B197,'[1]BASE DE DATOS'!$A$5:$E$964,5,FALSE)</f>
        <v>7900</v>
      </c>
      <c r="G197" s="708">
        <v>1.03</v>
      </c>
      <c r="H197" s="252">
        <f t="shared" si="4"/>
        <v>366.16499999999996</v>
      </c>
    </row>
    <row r="198" spans="1:9" ht="14.1" customHeight="1" x14ac:dyDescent="0.2">
      <c r="A198" s="1073"/>
      <c r="B198" s="533" t="s">
        <v>3069</v>
      </c>
      <c r="C198" s="823" t="s">
        <v>3070</v>
      </c>
      <c r="D198" s="273" t="s">
        <v>405</v>
      </c>
      <c r="E198" s="712">
        <v>1</v>
      </c>
      <c r="F198" s="256">
        <f>VLOOKUP(B198,'[1]BASE DE DATOS'!$A$5:$E$964,5,FALSE)</f>
        <v>53533.333333333336</v>
      </c>
      <c r="G198" s="708">
        <v>1.03</v>
      </c>
      <c r="H198" s="252">
        <f t="shared" si="4"/>
        <v>55139.333333333336</v>
      </c>
    </row>
    <row r="199" spans="1:9" ht="15" x14ac:dyDescent="0.2">
      <c r="A199" s="267" t="s">
        <v>2555</v>
      </c>
      <c r="B199" s="534" t="s">
        <v>2667</v>
      </c>
      <c r="C199" s="822" t="s">
        <v>2600</v>
      </c>
      <c r="D199" s="273" t="s">
        <v>585</v>
      </c>
      <c r="E199" s="712">
        <v>1</v>
      </c>
      <c r="F199" s="256">
        <f>VLOOKUP(B199,'[1]BASE DE DATOS'!$A$5:$E$964,5,FALSE)</f>
        <v>319246</v>
      </c>
      <c r="G199" s="715">
        <f>1/4</f>
        <v>0.25</v>
      </c>
      <c r="H199" s="252">
        <f t="shared" si="4"/>
        <v>79811.5</v>
      </c>
    </row>
    <row r="200" spans="1:9" ht="13.5" thickBot="1" x14ac:dyDescent="0.25">
      <c r="A200" s="287" t="s">
        <v>293</v>
      </c>
      <c r="B200" s="535" t="s">
        <v>269</v>
      </c>
      <c r="C200" s="235" t="s">
        <v>284</v>
      </c>
      <c r="D200" s="177" t="s">
        <v>2199</v>
      </c>
      <c r="E200" s="712">
        <v>0.2</v>
      </c>
      <c r="F200" s="256">
        <f>H199</f>
        <v>79811.5</v>
      </c>
      <c r="G200" s="715">
        <v>0</v>
      </c>
      <c r="H200" s="252">
        <f t="shared" si="4"/>
        <v>15962.300000000001</v>
      </c>
    </row>
    <row r="201" spans="1:9" ht="15" x14ac:dyDescent="0.2">
      <c r="A201" s="270" t="s">
        <v>2261</v>
      </c>
      <c r="B201" s="870"/>
      <c r="C201" s="275" t="s">
        <v>2262</v>
      </c>
      <c r="D201" s="276" t="s">
        <v>405</v>
      </c>
      <c r="E201" s="713"/>
      <c r="F201" s="259">
        <f>ROUND(SUM(H201:H211),0)</f>
        <v>167653</v>
      </c>
      <c r="G201" s="716"/>
      <c r="H201" s="277"/>
    </row>
    <row r="202" spans="1:9" s="818" customFormat="1" ht="14.1" customHeight="1" x14ac:dyDescent="0.2">
      <c r="A202" s="1072" t="s">
        <v>3672</v>
      </c>
      <c r="B202" s="533" t="s">
        <v>1292</v>
      </c>
      <c r="C202" s="823" t="s">
        <v>638</v>
      </c>
      <c r="D202" s="273" t="s">
        <v>1920</v>
      </c>
      <c r="E202" s="712">
        <v>0.05</v>
      </c>
      <c r="F202" s="256">
        <f>VLOOKUP(B202,'[1]BASE DE DATOS'!$A$5:$E$964,5,FALSE)</f>
        <v>54900</v>
      </c>
      <c r="G202" s="708">
        <v>1.03</v>
      </c>
      <c r="H202" s="252">
        <f t="shared" si="4"/>
        <v>2827.3500000000004</v>
      </c>
      <c r="I202" s="924"/>
    </row>
    <row r="203" spans="1:9" s="818" customFormat="1" ht="14.1" customHeight="1" x14ac:dyDescent="0.2">
      <c r="A203" s="1073"/>
      <c r="B203" s="533" t="s">
        <v>1877</v>
      </c>
      <c r="C203" s="823" t="s">
        <v>2888</v>
      </c>
      <c r="D203" s="273" t="s">
        <v>405</v>
      </c>
      <c r="E203" s="712">
        <v>2</v>
      </c>
      <c r="F203" s="256">
        <f>VLOOKUP(B203,'[1]BASE DE DATOS'!$A$5:$E$964,5,FALSE)</f>
        <v>20308</v>
      </c>
      <c r="G203" s="708">
        <v>1.03</v>
      </c>
      <c r="H203" s="252">
        <f t="shared" si="4"/>
        <v>41834.480000000003</v>
      </c>
      <c r="I203" s="924"/>
    </row>
    <row r="204" spans="1:9" s="818" customFormat="1" ht="14.1" customHeight="1" x14ac:dyDescent="0.2">
      <c r="A204" s="1073"/>
      <c r="B204" s="533" t="s">
        <v>1382</v>
      </c>
      <c r="C204" s="823" t="s">
        <v>2889</v>
      </c>
      <c r="D204" s="273" t="s">
        <v>411</v>
      </c>
      <c r="E204" s="712">
        <v>4</v>
      </c>
      <c r="F204" s="256">
        <f>VLOOKUP(B204,'[1]BASE DE DATOS'!$A$5:$E$964,5,FALSE)</f>
        <v>4900</v>
      </c>
      <c r="G204" s="708">
        <v>0</v>
      </c>
      <c r="H204" s="252">
        <f>IF(G204&gt;0,(G204*F204*E204),(F204*E204))</f>
        <v>19600</v>
      </c>
      <c r="I204" s="924"/>
    </row>
    <row r="205" spans="1:9" s="818" customFormat="1" ht="14.1" customHeight="1" x14ac:dyDescent="0.2">
      <c r="A205" s="1073"/>
      <c r="B205" s="533" t="s">
        <v>1462</v>
      </c>
      <c r="C205" s="823" t="s">
        <v>2953</v>
      </c>
      <c r="D205" s="273" t="s">
        <v>411</v>
      </c>
      <c r="E205" s="712">
        <v>2.5000000000000001E-2</v>
      </c>
      <c r="F205" s="256">
        <f>VLOOKUP(B205,'[1]BASE DE DATOS'!$A$5:$E$964,5,FALSE)</f>
        <v>46900</v>
      </c>
      <c r="G205" s="708">
        <v>1.03</v>
      </c>
      <c r="H205" s="252">
        <f t="shared" si="4"/>
        <v>1207.675</v>
      </c>
      <c r="I205" s="924"/>
    </row>
    <row r="206" spans="1:9" s="818" customFormat="1" ht="14.1" customHeight="1" x14ac:dyDescent="0.2">
      <c r="A206" s="1073"/>
      <c r="B206" s="533" t="s">
        <v>1891</v>
      </c>
      <c r="C206" s="823" t="s">
        <v>601</v>
      </c>
      <c r="D206" s="273" t="s">
        <v>1920</v>
      </c>
      <c r="E206" s="712">
        <v>0.12</v>
      </c>
      <c r="F206" s="256">
        <f>VLOOKUP(B206,'[1]BASE DE DATOS'!$A$5:$E$964,5,FALSE)</f>
        <v>37368</v>
      </c>
      <c r="G206" s="708">
        <v>1.03</v>
      </c>
      <c r="H206" s="252">
        <f>IF(G206&gt;0,(G206*F206*E206),(F206*E206))</f>
        <v>4618.6848</v>
      </c>
      <c r="I206" s="924"/>
    </row>
    <row r="207" spans="1:9" s="818" customFormat="1" ht="14.1" customHeight="1" x14ac:dyDescent="0.2">
      <c r="A207" s="1073"/>
      <c r="B207" s="533" t="s">
        <v>1701</v>
      </c>
      <c r="C207" s="823" t="s">
        <v>2652</v>
      </c>
      <c r="D207" s="273" t="s">
        <v>411</v>
      </c>
      <c r="E207" s="712">
        <v>2.5000000000000001E-2</v>
      </c>
      <c r="F207" s="256">
        <f>VLOOKUP(B207,'[1]BASE DE DATOS'!$A$5:$E$964,5,FALSE)</f>
        <v>80900</v>
      </c>
      <c r="G207" s="708">
        <v>1.03</v>
      </c>
      <c r="H207" s="252">
        <f t="shared" si="4"/>
        <v>2083.1750000000002</v>
      </c>
      <c r="I207" s="924"/>
    </row>
    <row r="208" spans="1:9" s="818" customFormat="1" x14ac:dyDescent="0.2">
      <c r="A208" s="1074" t="s">
        <v>2044</v>
      </c>
      <c r="B208" s="533" t="s">
        <v>800</v>
      </c>
      <c r="C208" s="823" t="s">
        <v>2086</v>
      </c>
      <c r="D208" s="273" t="s">
        <v>1920</v>
      </c>
      <c r="E208" s="712">
        <v>0.05</v>
      </c>
      <c r="F208" s="251">
        <f>[1]CONSTRUCCION!F42</f>
        <v>533927</v>
      </c>
      <c r="G208" s="708">
        <v>0</v>
      </c>
      <c r="H208" s="252">
        <f t="shared" si="4"/>
        <v>26696.350000000002</v>
      </c>
      <c r="I208" s="924"/>
    </row>
    <row r="209" spans="1:9" s="818" customFormat="1" ht="12.75" x14ac:dyDescent="0.2">
      <c r="A209" s="1074"/>
      <c r="B209" s="533" t="s">
        <v>734</v>
      </c>
      <c r="C209" s="823" t="s">
        <v>2473</v>
      </c>
      <c r="D209" s="273" t="s">
        <v>405</v>
      </c>
      <c r="E209" s="712">
        <v>2</v>
      </c>
      <c r="F209" s="251">
        <f>[1]CONSTRUCCION!F301</f>
        <v>6211</v>
      </c>
      <c r="G209" s="708">
        <v>0</v>
      </c>
      <c r="H209" s="252">
        <f t="shared" si="4"/>
        <v>12422</v>
      </c>
      <c r="I209" s="924"/>
    </row>
    <row r="210" spans="1:9" s="818" customFormat="1" ht="12.75" x14ac:dyDescent="0.2">
      <c r="A210" s="280" t="s">
        <v>2555</v>
      </c>
      <c r="B210" s="534" t="s">
        <v>2666</v>
      </c>
      <c r="C210" s="271" t="s">
        <v>2599</v>
      </c>
      <c r="D210" s="273" t="s">
        <v>585</v>
      </c>
      <c r="E210" s="712">
        <v>1</v>
      </c>
      <c r="F210" s="256">
        <f>VLOOKUP(B210,'[1]BASE DE DATOS'!$A$5:$E$964,5,FALSE)</f>
        <v>1170568</v>
      </c>
      <c r="G210" s="715">
        <f>1/22.222222222</f>
        <v>4.5000000000449999E-2</v>
      </c>
      <c r="H210" s="252">
        <f t="shared" si="4"/>
        <v>52675.560000526755</v>
      </c>
      <c r="I210" s="924"/>
    </row>
    <row r="211" spans="1:9" s="818" customFormat="1" ht="13.5" thickBot="1" x14ac:dyDescent="0.25">
      <c r="A211" s="287" t="s">
        <v>293</v>
      </c>
      <c r="B211" s="535" t="s">
        <v>269</v>
      </c>
      <c r="C211" s="235" t="s">
        <v>284</v>
      </c>
      <c r="D211" s="177" t="s">
        <v>2199</v>
      </c>
      <c r="E211" s="712">
        <v>7.0000000000000007E-2</v>
      </c>
      <c r="F211" s="274">
        <f>H210</f>
        <v>52675.560000526755</v>
      </c>
      <c r="G211" s="715">
        <v>0</v>
      </c>
      <c r="H211" s="252">
        <f t="shared" si="4"/>
        <v>3687.2892000368734</v>
      </c>
      <c r="I211" s="924"/>
    </row>
    <row r="212" spans="1:9" ht="30" x14ac:dyDescent="0.2">
      <c r="A212" s="292" t="s">
        <v>2263</v>
      </c>
      <c r="B212" s="868"/>
      <c r="C212" s="275" t="s">
        <v>2273</v>
      </c>
      <c r="D212" s="276" t="s">
        <v>405</v>
      </c>
      <c r="E212" s="713"/>
      <c r="F212" s="259">
        <f>ROUND(SUM(H212:H216),0)</f>
        <v>126192</v>
      </c>
      <c r="G212" s="716"/>
      <c r="H212" s="277"/>
    </row>
    <row r="213" spans="1:9" s="818" customFormat="1" ht="12.75" x14ac:dyDescent="0.2">
      <c r="A213" s="1070" t="s">
        <v>382</v>
      </c>
      <c r="B213" s="533" t="s">
        <v>1738</v>
      </c>
      <c r="C213" s="823" t="s">
        <v>2823</v>
      </c>
      <c r="D213" s="273" t="s">
        <v>405</v>
      </c>
      <c r="E213" s="712">
        <v>4</v>
      </c>
      <c r="F213" s="256">
        <f>VLOOKUP(B213,'[1]BASE DE DATOS'!$A$5:$E$964,5,FALSE)</f>
        <v>16800</v>
      </c>
      <c r="G213" s="708">
        <v>1.03</v>
      </c>
      <c r="H213" s="252">
        <f t="shared" si="4"/>
        <v>69216</v>
      </c>
      <c r="I213" s="924"/>
    </row>
    <row r="214" spans="1:9" s="818" customFormat="1" ht="12.75" x14ac:dyDescent="0.2">
      <c r="A214" s="1071"/>
      <c r="B214" s="533" t="s">
        <v>1813</v>
      </c>
      <c r="C214" s="823" t="s">
        <v>3121</v>
      </c>
      <c r="D214" s="273" t="s">
        <v>405</v>
      </c>
      <c r="E214" s="712">
        <v>1</v>
      </c>
      <c r="F214" s="256">
        <f>VLOOKUP(B214,'[1]BASE DE DATOS'!$A$5:$E$964,5,FALSE)</f>
        <v>6950</v>
      </c>
      <c r="G214" s="708">
        <v>1.03</v>
      </c>
      <c r="H214" s="252">
        <f t="shared" si="4"/>
        <v>7158.5</v>
      </c>
      <c r="I214" s="924"/>
    </row>
    <row r="215" spans="1:9" s="818" customFormat="1" ht="12.75" x14ac:dyDescent="0.2">
      <c r="A215" s="280" t="s">
        <v>2555</v>
      </c>
      <c r="B215" s="534" t="s">
        <v>2667</v>
      </c>
      <c r="C215" s="822" t="s">
        <v>2600</v>
      </c>
      <c r="D215" s="273" t="s">
        <v>585</v>
      </c>
      <c r="E215" s="712">
        <v>1</v>
      </c>
      <c r="F215" s="256">
        <f>VLOOKUP(B215,'[1]BASE DE DATOS'!$A$5:$E$964,5,FALSE)</f>
        <v>319246</v>
      </c>
      <c r="G215" s="715">
        <f>1/7.69</f>
        <v>0.13003901170351104</v>
      </c>
      <c r="H215" s="252">
        <f t="shared" si="4"/>
        <v>41514.434330299082</v>
      </c>
      <c r="I215" s="924"/>
    </row>
    <row r="216" spans="1:9" s="818" customFormat="1" ht="13.5" thickBot="1" x14ac:dyDescent="0.25">
      <c r="A216" s="287" t="s">
        <v>293</v>
      </c>
      <c r="B216" s="535" t="s">
        <v>269</v>
      </c>
      <c r="C216" s="235" t="s">
        <v>284</v>
      </c>
      <c r="D216" s="177" t="s">
        <v>2199</v>
      </c>
      <c r="E216" s="712">
        <v>0.2</v>
      </c>
      <c r="F216" s="256">
        <f>H215</f>
        <v>41514.434330299082</v>
      </c>
      <c r="G216" s="715">
        <v>0</v>
      </c>
      <c r="H216" s="252">
        <f t="shared" ref="H216" si="5">IF(G216&gt;0,(G216*F216*E216),(F216*E216))</f>
        <v>8302.8868660598164</v>
      </c>
      <c r="I216" s="924"/>
    </row>
    <row r="217" spans="1:9" ht="30" x14ac:dyDescent="0.2">
      <c r="A217" s="292" t="s">
        <v>2272</v>
      </c>
      <c r="B217" s="868"/>
      <c r="C217" s="275" t="s">
        <v>2274</v>
      </c>
      <c r="D217" s="276" t="s">
        <v>405</v>
      </c>
      <c r="E217" s="713"/>
      <c r="F217" s="259">
        <f>ROUND(SUM(H217:H225),0)</f>
        <v>236355</v>
      </c>
      <c r="G217" s="716"/>
      <c r="H217" s="277"/>
    </row>
    <row r="218" spans="1:9" s="818" customFormat="1" ht="12.95" customHeight="1" x14ac:dyDescent="0.2">
      <c r="A218" s="1072" t="s">
        <v>295</v>
      </c>
      <c r="B218" s="533" t="s">
        <v>1256</v>
      </c>
      <c r="C218" s="823" t="s">
        <v>2572</v>
      </c>
      <c r="D218" s="273" t="s">
        <v>411</v>
      </c>
      <c r="E218" s="712">
        <v>0.67</v>
      </c>
      <c r="F218" s="256">
        <f>VLOOKUP(B218,'[1]BASE DE DATOS'!$A$5:$E$964,5,FALSE)</f>
        <v>1600</v>
      </c>
      <c r="G218" s="708">
        <v>0</v>
      </c>
      <c r="H218" s="252">
        <f t="shared" ref="H218:H274" si="6">IF(G218&gt;0,(G218*F218*E218),(F218*E218))</f>
        <v>1072</v>
      </c>
      <c r="I218" s="924"/>
    </row>
    <row r="219" spans="1:9" s="818" customFormat="1" ht="12.95" customHeight="1" x14ac:dyDescent="0.2">
      <c r="A219" s="1073"/>
      <c r="B219" s="533" t="s">
        <v>1339</v>
      </c>
      <c r="C219" s="823" t="s">
        <v>2798</v>
      </c>
      <c r="D219" s="273" t="s">
        <v>411</v>
      </c>
      <c r="E219" s="712">
        <v>0.67</v>
      </c>
      <c r="F219" s="256">
        <f>VLOOKUP(B219,'[1]BASE DE DATOS'!$A$5:$E$964,5,FALSE)</f>
        <v>3700</v>
      </c>
      <c r="G219" s="708">
        <v>0</v>
      </c>
      <c r="H219" s="252">
        <f t="shared" si="6"/>
        <v>2479</v>
      </c>
      <c r="I219" s="924"/>
    </row>
    <row r="220" spans="1:9" s="818" customFormat="1" ht="12.95" customHeight="1" x14ac:dyDescent="0.2">
      <c r="A220" s="1073"/>
      <c r="B220" s="533" t="s">
        <v>1489</v>
      </c>
      <c r="C220" s="823" t="s">
        <v>2820</v>
      </c>
      <c r="D220" s="273" t="s">
        <v>405</v>
      </c>
      <c r="E220" s="712">
        <v>3</v>
      </c>
      <c r="F220" s="256">
        <f>VLOOKUP(B220,'[1]BASE DE DATOS'!$A$5:$E$964,5,FALSE)</f>
        <v>24150</v>
      </c>
      <c r="G220" s="708">
        <v>1.03</v>
      </c>
      <c r="H220" s="252">
        <f t="shared" si="6"/>
        <v>74623.5</v>
      </c>
      <c r="I220" s="924"/>
    </row>
    <row r="221" spans="1:9" s="818" customFormat="1" ht="12.95" customHeight="1" x14ac:dyDescent="0.2">
      <c r="A221" s="1073"/>
      <c r="B221" s="533" t="s">
        <v>1541</v>
      </c>
      <c r="C221" s="823" t="s">
        <v>2828</v>
      </c>
      <c r="D221" s="273" t="s">
        <v>405</v>
      </c>
      <c r="E221" s="712">
        <v>1</v>
      </c>
      <c r="F221" s="256">
        <f>VLOOKUP(B221,'[1]BASE DE DATOS'!$A$5:$E$964,5,FALSE)</f>
        <v>6700</v>
      </c>
      <c r="G221" s="708">
        <v>1.03</v>
      </c>
      <c r="H221" s="252">
        <f t="shared" si="6"/>
        <v>6901</v>
      </c>
      <c r="I221" s="924"/>
    </row>
    <row r="222" spans="1:9" s="818" customFormat="1" ht="12.95" customHeight="1" x14ac:dyDescent="0.2">
      <c r="A222" s="1073"/>
      <c r="B222" s="533" t="s">
        <v>1641</v>
      </c>
      <c r="C222" s="823" t="s">
        <v>3167</v>
      </c>
      <c r="D222" s="273" t="s">
        <v>405</v>
      </c>
      <c r="E222" s="712">
        <v>4.4999999999999998E-2</v>
      </c>
      <c r="F222" s="256">
        <f>VLOOKUP(B222,'[1]BASE DE DATOS'!$A$5:$E$964,5,FALSE)</f>
        <v>7900</v>
      </c>
      <c r="G222" s="708">
        <v>1.03</v>
      </c>
      <c r="H222" s="252">
        <f t="shared" si="6"/>
        <v>366.16499999999996</v>
      </c>
      <c r="I222" s="924"/>
    </row>
    <row r="223" spans="1:9" s="818" customFormat="1" ht="12.95" customHeight="1" x14ac:dyDescent="0.2">
      <c r="A223" s="1073"/>
      <c r="B223" s="533" t="s">
        <v>3069</v>
      </c>
      <c r="C223" s="823" t="s">
        <v>3070</v>
      </c>
      <c r="D223" s="273" t="s">
        <v>405</v>
      </c>
      <c r="E223" s="712">
        <v>1</v>
      </c>
      <c r="F223" s="256">
        <f>VLOOKUP(B223,'[1]BASE DE DATOS'!$A$5:$E$964,5,FALSE)</f>
        <v>53533.333333333336</v>
      </c>
      <c r="G223" s="708">
        <v>1.03</v>
      </c>
      <c r="H223" s="252">
        <f t="shared" si="6"/>
        <v>55139.333333333336</v>
      </c>
      <c r="I223" s="924"/>
    </row>
    <row r="224" spans="1:9" s="818" customFormat="1" ht="12.75" x14ac:dyDescent="0.2">
      <c r="A224" s="280" t="s">
        <v>2555</v>
      </c>
      <c r="B224" s="534" t="s">
        <v>2667</v>
      </c>
      <c r="C224" s="822" t="s">
        <v>2600</v>
      </c>
      <c r="D224" s="273" t="s">
        <v>585</v>
      </c>
      <c r="E224" s="712">
        <v>1</v>
      </c>
      <c r="F224" s="256">
        <f>VLOOKUP(B224,'[1]BASE DE DATOS'!$A$5:$E$964,5,FALSE)</f>
        <v>319246</v>
      </c>
      <c r="G224" s="715">
        <f>1/4</f>
        <v>0.25</v>
      </c>
      <c r="H224" s="252">
        <f t="shared" si="6"/>
        <v>79811.5</v>
      </c>
      <c r="I224" s="924"/>
    </row>
    <row r="225" spans="1:9" s="818" customFormat="1" ht="13.5" thickBot="1" x14ac:dyDescent="0.25">
      <c r="A225" s="287" t="s">
        <v>293</v>
      </c>
      <c r="B225" s="535" t="s">
        <v>269</v>
      </c>
      <c r="C225" s="235" t="s">
        <v>284</v>
      </c>
      <c r="D225" s="177" t="s">
        <v>2199</v>
      </c>
      <c r="E225" s="712">
        <v>0.2</v>
      </c>
      <c r="F225" s="256">
        <f>H224</f>
        <v>79811.5</v>
      </c>
      <c r="G225" s="715">
        <v>0</v>
      </c>
      <c r="H225" s="252">
        <f t="shared" si="6"/>
        <v>15962.300000000001</v>
      </c>
      <c r="I225" s="924"/>
    </row>
    <row r="226" spans="1:9" ht="15" x14ac:dyDescent="0.2">
      <c r="A226" s="270" t="s">
        <v>2275</v>
      </c>
      <c r="B226" s="870"/>
      <c r="C226" s="275" t="s">
        <v>2276</v>
      </c>
      <c r="D226" s="276" t="s">
        <v>405</v>
      </c>
      <c r="E226" s="713"/>
      <c r="F226" s="259">
        <f>ROUND(SUM(H226:H229),0)</f>
        <v>18847</v>
      </c>
      <c r="G226" s="716"/>
      <c r="H226" s="277"/>
    </row>
    <row r="227" spans="1:9" ht="15" x14ac:dyDescent="0.2">
      <c r="A227" s="513" t="s">
        <v>382</v>
      </c>
      <c r="B227" s="533" t="s">
        <v>1552</v>
      </c>
      <c r="C227" s="823" t="s">
        <v>2836</v>
      </c>
      <c r="D227" s="273" t="s">
        <v>405</v>
      </c>
      <c r="E227" s="712">
        <v>1</v>
      </c>
      <c r="F227" s="256">
        <f>VLOOKUP(B227,'[1]BASE DE DATOS'!$A$5:$E$964,5,FALSE)</f>
        <v>9000</v>
      </c>
      <c r="G227" s="708">
        <v>1.03</v>
      </c>
      <c r="H227" s="252">
        <f t="shared" si="6"/>
        <v>9270</v>
      </c>
    </row>
    <row r="228" spans="1:9" ht="15" x14ac:dyDescent="0.2">
      <c r="A228" s="267" t="s">
        <v>2555</v>
      </c>
      <c r="B228" s="534" t="s">
        <v>2667</v>
      </c>
      <c r="C228" s="822" t="s">
        <v>2600</v>
      </c>
      <c r="D228" s="273" t="s">
        <v>585</v>
      </c>
      <c r="E228" s="712">
        <v>1</v>
      </c>
      <c r="F228" s="256">
        <f>VLOOKUP(B228,'[1]BASE DE DATOS'!$A$5:$E$964,5,FALSE)</f>
        <v>319246</v>
      </c>
      <c r="G228" s="715">
        <f>1/40</f>
        <v>2.5000000000000001E-2</v>
      </c>
      <c r="H228" s="252">
        <f t="shared" si="6"/>
        <v>7981.1500000000005</v>
      </c>
    </row>
    <row r="229" spans="1:9" ht="13.5" thickBot="1" x14ac:dyDescent="0.25">
      <c r="A229" s="287" t="s">
        <v>293</v>
      </c>
      <c r="B229" s="535" t="s">
        <v>269</v>
      </c>
      <c r="C229" s="235" t="s">
        <v>284</v>
      </c>
      <c r="D229" s="177" t="s">
        <v>2199</v>
      </c>
      <c r="E229" s="712">
        <v>0.2</v>
      </c>
      <c r="F229" s="256">
        <f>H228</f>
        <v>7981.1500000000005</v>
      </c>
      <c r="G229" s="715">
        <v>0</v>
      </c>
      <c r="H229" s="252">
        <f t="shared" si="6"/>
        <v>1596.2300000000002</v>
      </c>
    </row>
    <row r="230" spans="1:9" ht="30" x14ac:dyDescent="0.2">
      <c r="A230" s="292" t="s">
        <v>2277</v>
      </c>
      <c r="B230" s="868"/>
      <c r="C230" s="275" t="s">
        <v>2278</v>
      </c>
      <c r="D230" s="276" t="s">
        <v>405</v>
      </c>
      <c r="E230" s="713"/>
      <c r="F230" s="259">
        <f>ROUND(SUM(H230:H233),0)</f>
        <v>1606302</v>
      </c>
      <c r="G230" s="716"/>
      <c r="H230" s="277"/>
    </row>
    <row r="231" spans="1:9" s="818" customFormat="1" ht="12.75" x14ac:dyDescent="0.2">
      <c r="A231" s="801" t="s">
        <v>382</v>
      </c>
      <c r="B231" s="533" t="s">
        <v>1500</v>
      </c>
      <c r="C231" s="823" t="s">
        <v>2822</v>
      </c>
      <c r="D231" s="273" t="s">
        <v>405</v>
      </c>
      <c r="E231" s="712">
        <v>8</v>
      </c>
      <c r="F231" s="256">
        <f>VLOOKUP(B231,'[1]BASE DE DATOS'!$A$5:$E$964,5,FALSE)</f>
        <v>132950</v>
      </c>
      <c r="G231" s="708">
        <v>1.03</v>
      </c>
      <c r="H231" s="252">
        <f t="shared" si="6"/>
        <v>1095508</v>
      </c>
      <c r="I231" s="924"/>
    </row>
    <row r="232" spans="1:9" s="818" customFormat="1" ht="12.75" x14ac:dyDescent="0.2">
      <c r="A232" s="280" t="s">
        <v>2555</v>
      </c>
      <c r="B232" s="534" t="s">
        <v>2667</v>
      </c>
      <c r="C232" s="822" t="s">
        <v>2600</v>
      </c>
      <c r="D232" s="273" t="s">
        <v>585</v>
      </c>
      <c r="E232" s="712">
        <v>1</v>
      </c>
      <c r="F232" s="256">
        <f>VLOOKUP(B232,'[1]BASE DE DATOS'!$A$5:$E$964,5,FALSE)</f>
        <v>319246</v>
      </c>
      <c r="G232" s="715">
        <f>1/1.25</f>
        <v>0.8</v>
      </c>
      <c r="H232" s="252">
        <f t="shared" si="6"/>
        <v>255396.80000000002</v>
      </c>
      <c r="I232" s="924"/>
    </row>
    <row r="233" spans="1:9" s="818" customFormat="1" ht="13.5" thickBot="1" x14ac:dyDescent="0.25">
      <c r="A233" s="287" t="s">
        <v>293</v>
      </c>
      <c r="B233" s="535" t="s">
        <v>269</v>
      </c>
      <c r="C233" s="235" t="s">
        <v>284</v>
      </c>
      <c r="D233" s="177" t="s">
        <v>2199</v>
      </c>
      <c r="E233" s="712">
        <v>1</v>
      </c>
      <c r="F233" s="251">
        <f>H232</f>
        <v>255396.80000000002</v>
      </c>
      <c r="G233" s="715">
        <v>0</v>
      </c>
      <c r="H233" s="252">
        <f t="shared" si="6"/>
        <v>255396.80000000002</v>
      </c>
      <c r="I233" s="924"/>
    </row>
    <row r="234" spans="1:9" ht="45" x14ac:dyDescent="0.2">
      <c r="A234" s="292" t="s">
        <v>2279</v>
      </c>
      <c r="B234" s="868"/>
      <c r="C234" s="275" t="s">
        <v>2280</v>
      </c>
      <c r="D234" s="276" t="s">
        <v>405</v>
      </c>
      <c r="E234" s="713"/>
      <c r="F234" s="259">
        <f>ROUND(SUM(H234:H242),0)</f>
        <v>236355</v>
      </c>
      <c r="G234" s="716"/>
      <c r="H234" s="277"/>
    </row>
    <row r="235" spans="1:9" s="818" customFormat="1" ht="12.75" x14ac:dyDescent="0.2">
      <c r="A235" s="1072" t="s">
        <v>295</v>
      </c>
      <c r="B235" s="533" t="s">
        <v>1256</v>
      </c>
      <c r="C235" s="823" t="s">
        <v>2572</v>
      </c>
      <c r="D235" s="273" t="s">
        <v>411</v>
      </c>
      <c r="E235" s="712">
        <v>0.67</v>
      </c>
      <c r="F235" s="256">
        <f>VLOOKUP(B235,'[1]BASE DE DATOS'!$A$5:$E$964,5,FALSE)</f>
        <v>1600</v>
      </c>
      <c r="G235" s="708">
        <v>0</v>
      </c>
      <c r="H235" s="252">
        <f t="shared" si="6"/>
        <v>1072</v>
      </c>
      <c r="I235" s="924"/>
    </row>
    <row r="236" spans="1:9" s="818" customFormat="1" ht="12.75" x14ac:dyDescent="0.2">
      <c r="A236" s="1073"/>
      <c r="B236" s="533" t="s">
        <v>1339</v>
      </c>
      <c r="C236" s="823" t="s">
        <v>2798</v>
      </c>
      <c r="D236" s="273" t="s">
        <v>411</v>
      </c>
      <c r="E236" s="712">
        <v>0.67</v>
      </c>
      <c r="F236" s="256">
        <f>VLOOKUP(B236,'[1]BASE DE DATOS'!$A$5:$E$964,5,FALSE)</f>
        <v>3700</v>
      </c>
      <c r="G236" s="708">
        <v>0</v>
      </c>
      <c r="H236" s="252">
        <f t="shared" si="6"/>
        <v>2479</v>
      </c>
      <c r="I236" s="924"/>
    </row>
    <row r="237" spans="1:9" s="818" customFormat="1" ht="12.75" x14ac:dyDescent="0.2">
      <c r="A237" s="1073"/>
      <c r="B237" s="533" t="s">
        <v>1489</v>
      </c>
      <c r="C237" s="823" t="s">
        <v>2820</v>
      </c>
      <c r="D237" s="273" t="s">
        <v>405</v>
      </c>
      <c r="E237" s="712">
        <v>3</v>
      </c>
      <c r="F237" s="256">
        <f>VLOOKUP(B237,'[1]BASE DE DATOS'!$A$5:$E$964,5,FALSE)</f>
        <v>24150</v>
      </c>
      <c r="G237" s="708">
        <v>1.03</v>
      </c>
      <c r="H237" s="252">
        <f t="shared" si="6"/>
        <v>74623.5</v>
      </c>
      <c r="I237" s="924"/>
    </row>
    <row r="238" spans="1:9" s="818" customFormat="1" ht="12.75" x14ac:dyDescent="0.2">
      <c r="A238" s="1073"/>
      <c r="B238" s="533" t="s">
        <v>1541</v>
      </c>
      <c r="C238" s="823" t="s">
        <v>2828</v>
      </c>
      <c r="D238" s="273" t="s">
        <v>405</v>
      </c>
      <c r="E238" s="712">
        <v>1</v>
      </c>
      <c r="F238" s="256">
        <f>VLOOKUP(B238,'[1]BASE DE DATOS'!$A$5:$E$964,5,FALSE)</f>
        <v>6700</v>
      </c>
      <c r="G238" s="708">
        <v>1.03</v>
      </c>
      <c r="H238" s="252">
        <f t="shared" si="6"/>
        <v>6901</v>
      </c>
      <c r="I238" s="924"/>
    </row>
    <row r="239" spans="1:9" s="818" customFormat="1" ht="12.75" x14ac:dyDescent="0.2">
      <c r="A239" s="1073"/>
      <c r="B239" s="533" t="s">
        <v>1641</v>
      </c>
      <c r="C239" s="823" t="s">
        <v>3167</v>
      </c>
      <c r="D239" s="273" t="s">
        <v>405</v>
      </c>
      <c r="E239" s="712">
        <v>4.4999999999999998E-2</v>
      </c>
      <c r="F239" s="256">
        <f>VLOOKUP(B239,'[1]BASE DE DATOS'!$A$5:$E$964,5,FALSE)</f>
        <v>7900</v>
      </c>
      <c r="G239" s="708">
        <v>1.03</v>
      </c>
      <c r="H239" s="252">
        <f t="shared" si="6"/>
        <v>366.16499999999996</v>
      </c>
      <c r="I239" s="924"/>
    </row>
    <row r="240" spans="1:9" s="818" customFormat="1" ht="12.75" x14ac:dyDescent="0.2">
      <c r="A240" s="1073"/>
      <c r="B240" s="533" t="s">
        <v>3069</v>
      </c>
      <c r="C240" s="823" t="s">
        <v>3070</v>
      </c>
      <c r="D240" s="273" t="s">
        <v>405</v>
      </c>
      <c r="E240" s="712">
        <v>1</v>
      </c>
      <c r="F240" s="256">
        <f>VLOOKUP(B240,'[1]BASE DE DATOS'!$A$5:$E$964,5,FALSE)</f>
        <v>53533.333333333336</v>
      </c>
      <c r="G240" s="708">
        <v>1.03</v>
      </c>
      <c r="H240" s="252">
        <f t="shared" si="6"/>
        <v>55139.333333333336</v>
      </c>
      <c r="I240" s="924"/>
    </row>
    <row r="241" spans="1:9" s="818" customFormat="1" ht="12.75" x14ac:dyDescent="0.2">
      <c r="A241" s="280" t="s">
        <v>2555</v>
      </c>
      <c r="B241" s="534" t="s">
        <v>2667</v>
      </c>
      <c r="C241" s="822" t="s">
        <v>2600</v>
      </c>
      <c r="D241" s="273" t="s">
        <v>585</v>
      </c>
      <c r="E241" s="712">
        <v>1</v>
      </c>
      <c r="F241" s="256">
        <f>VLOOKUP(B241,'[1]BASE DE DATOS'!$A$5:$E$964,5,FALSE)</f>
        <v>319246</v>
      </c>
      <c r="G241" s="715">
        <f>1/4</f>
        <v>0.25</v>
      </c>
      <c r="H241" s="252">
        <f t="shared" si="6"/>
        <v>79811.5</v>
      </c>
      <c r="I241" s="924"/>
    </row>
    <row r="242" spans="1:9" s="818" customFormat="1" ht="13.5" thickBot="1" x14ac:dyDescent="0.25">
      <c r="A242" s="287" t="s">
        <v>293</v>
      </c>
      <c r="B242" s="535" t="s">
        <v>269</v>
      </c>
      <c r="C242" s="235" t="s">
        <v>284</v>
      </c>
      <c r="D242" s="177" t="s">
        <v>2199</v>
      </c>
      <c r="E242" s="712">
        <v>0.2</v>
      </c>
      <c r="F242" s="251">
        <f>H241</f>
        <v>79811.5</v>
      </c>
      <c r="G242" s="715">
        <v>0</v>
      </c>
      <c r="H242" s="252">
        <f t="shared" si="6"/>
        <v>15962.300000000001</v>
      </c>
      <c r="I242" s="924"/>
    </row>
    <row r="243" spans="1:9" ht="15" x14ac:dyDescent="0.2">
      <c r="A243" s="270" t="s">
        <v>2281</v>
      </c>
      <c r="B243" s="870"/>
      <c r="C243" s="275" t="s">
        <v>2282</v>
      </c>
      <c r="D243" s="276" t="s">
        <v>405</v>
      </c>
      <c r="E243" s="713"/>
      <c r="F243" s="259">
        <f>ROUND(SUM(H243:H246),0)</f>
        <v>15757</v>
      </c>
      <c r="G243" s="716"/>
      <c r="H243" s="277"/>
    </row>
    <row r="244" spans="1:9" s="818" customFormat="1" ht="12.75" x14ac:dyDescent="0.2">
      <c r="A244" s="801" t="s">
        <v>382</v>
      </c>
      <c r="B244" s="533" t="s">
        <v>1556</v>
      </c>
      <c r="C244" s="823" t="s">
        <v>2837</v>
      </c>
      <c r="D244" s="273" t="s">
        <v>405</v>
      </c>
      <c r="E244" s="712">
        <v>1</v>
      </c>
      <c r="F244" s="256">
        <f>VLOOKUP(B244,'[1]BASE DE DATOS'!$A$5:$E$964,5,FALSE)</f>
        <v>6000</v>
      </c>
      <c r="G244" s="708">
        <v>1.03</v>
      </c>
      <c r="H244" s="252">
        <f t="shared" si="6"/>
        <v>6180</v>
      </c>
      <c r="I244" s="924"/>
    </row>
    <row r="245" spans="1:9" s="818" customFormat="1" ht="12.75" x14ac:dyDescent="0.2">
      <c r="A245" s="280" t="s">
        <v>2555</v>
      </c>
      <c r="B245" s="534" t="s">
        <v>2667</v>
      </c>
      <c r="C245" s="822" t="s">
        <v>2600</v>
      </c>
      <c r="D245" s="273" t="s">
        <v>585</v>
      </c>
      <c r="E245" s="712">
        <v>1</v>
      </c>
      <c r="F245" s="256">
        <f>VLOOKUP(B245,'[1]BASE DE DATOS'!$A$5:$E$964,5,FALSE)</f>
        <v>319246</v>
      </c>
      <c r="G245" s="715">
        <f>1/40</f>
        <v>2.5000000000000001E-2</v>
      </c>
      <c r="H245" s="252">
        <f t="shared" si="6"/>
        <v>7981.1500000000005</v>
      </c>
      <c r="I245" s="924"/>
    </row>
    <row r="246" spans="1:9" s="818" customFormat="1" ht="13.5" thickBot="1" x14ac:dyDescent="0.25">
      <c r="A246" s="287" t="s">
        <v>293</v>
      </c>
      <c r="B246" s="535" t="s">
        <v>269</v>
      </c>
      <c r="C246" s="235" t="s">
        <v>284</v>
      </c>
      <c r="D246" s="177" t="s">
        <v>2199</v>
      </c>
      <c r="E246" s="712">
        <v>0.2</v>
      </c>
      <c r="F246" s="251">
        <f>H245</f>
        <v>7981.1500000000005</v>
      </c>
      <c r="G246" s="715">
        <v>0</v>
      </c>
      <c r="H246" s="252">
        <f t="shared" si="6"/>
        <v>1596.2300000000002</v>
      </c>
      <c r="I246" s="924"/>
    </row>
    <row r="247" spans="1:9" ht="45" x14ac:dyDescent="0.2">
      <c r="A247" s="292" t="s">
        <v>2283</v>
      </c>
      <c r="B247" s="868"/>
      <c r="C247" s="275" t="s">
        <v>2280</v>
      </c>
      <c r="D247" s="276" t="s">
        <v>405</v>
      </c>
      <c r="E247" s="713"/>
      <c r="F247" s="259">
        <f>ROUND(SUM(H247:H255),0)</f>
        <v>236355</v>
      </c>
      <c r="G247" s="716"/>
      <c r="H247" s="277"/>
    </row>
    <row r="248" spans="1:9" s="818" customFormat="1" ht="12.75" x14ac:dyDescent="0.2">
      <c r="A248" s="1072" t="s">
        <v>295</v>
      </c>
      <c r="B248" s="533" t="s">
        <v>1256</v>
      </c>
      <c r="C248" s="823" t="s">
        <v>2572</v>
      </c>
      <c r="D248" s="273" t="s">
        <v>411</v>
      </c>
      <c r="E248" s="712">
        <v>0.67</v>
      </c>
      <c r="F248" s="256">
        <f>VLOOKUP(B248,'[1]BASE DE DATOS'!$A$5:$E$964,5,FALSE)</f>
        <v>1600</v>
      </c>
      <c r="G248" s="708">
        <v>0</v>
      </c>
      <c r="H248" s="252">
        <f t="shared" si="6"/>
        <v>1072</v>
      </c>
      <c r="I248" s="924"/>
    </row>
    <row r="249" spans="1:9" s="818" customFormat="1" ht="12.75" x14ac:dyDescent="0.2">
      <c r="A249" s="1073"/>
      <c r="B249" s="533" t="s">
        <v>1339</v>
      </c>
      <c r="C249" s="823" t="s">
        <v>2798</v>
      </c>
      <c r="D249" s="273" t="s">
        <v>411</v>
      </c>
      <c r="E249" s="712">
        <v>0.67</v>
      </c>
      <c r="F249" s="256">
        <f>VLOOKUP(B249,'[1]BASE DE DATOS'!$A$5:$E$964,5,FALSE)</f>
        <v>3700</v>
      </c>
      <c r="G249" s="708">
        <v>0</v>
      </c>
      <c r="H249" s="252">
        <f t="shared" si="6"/>
        <v>2479</v>
      </c>
      <c r="I249" s="924"/>
    </row>
    <row r="250" spans="1:9" s="818" customFormat="1" ht="12.75" x14ac:dyDescent="0.2">
      <c r="A250" s="1073"/>
      <c r="B250" s="533" t="s">
        <v>1489</v>
      </c>
      <c r="C250" s="823" t="s">
        <v>2820</v>
      </c>
      <c r="D250" s="273" t="s">
        <v>405</v>
      </c>
      <c r="E250" s="712">
        <v>3</v>
      </c>
      <c r="F250" s="256">
        <f>VLOOKUP(B250,'[1]BASE DE DATOS'!$A$5:$E$964,5,FALSE)</f>
        <v>24150</v>
      </c>
      <c r="G250" s="708">
        <v>1.03</v>
      </c>
      <c r="H250" s="252">
        <f t="shared" si="6"/>
        <v>74623.5</v>
      </c>
      <c r="I250" s="924"/>
    </row>
    <row r="251" spans="1:9" s="818" customFormat="1" ht="12.75" x14ac:dyDescent="0.2">
      <c r="A251" s="1073"/>
      <c r="B251" s="533" t="s">
        <v>1541</v>
      </c>
      <c r="C251" s="823" t="s">
        <v>2828</v>
      </c>
      <c r="D251" s="273" t="s">
        <v>405</v>
      </c>
      <c r="E251" s="712">
        <v>1</v>
      </c>
      <c r="F251" s="256">
        <f>VLOOKUP(B251,'[1]BASE DE DATOS'!$A$5:$E$964,5,FALSE)</f>
        <v>6700</v>
      </c>
      <c r="G251" s="708">
        <v>1.03</v>
      </c>
      <c r="H251" s="252">
        <f t="shared" si="6"/>
        <v>6901</v>
      </c>
      <c r="I251" s="924"/>
    </row>
    <row r="252" spans="1:9" s="818" customFormat="1" ht="12.75" x14ac:dyDescent="0.2">
      <c r="A252" s="1073"/>
      <c r="B252" s="533" t="s">
        <v>1641</v>
      </c>
      <c r="C252" s="823" t="s">
        <v>3167</v>
      </c>
      <c r="D252" s="273" t="s">
        <v>405</v>
      </c>
      <c r="E252" s="712">
        <v>4.4999999999999998E-2</v>
      </c>
      <c r="F252" s="256">
        <f>VLOOKUP(B252,'[1]BASE DE DATOS'!$A$5:$E$964,5,FALSE)</f>
        <v>7900</v>
      </c>
      <c r="G252" s="708">
        <v>1.03</v>
      </c>
      <c r="H252" s="252">
        <f t="shared" si="6"/>
        <v>366.16499999999996</v>
      </c>
      <c r="I252" s="924"/>
    </row>
    <row r="253" spans="1:9" s="818" customFormat="1" ht="12.75" x14ac:dyDescent="0.2">
      <c r="A253" s="1073"/>
      <c r="B253" s="533" t="s">
        <v>3069</v>
      </c>
      <c r="C253" s="823" t="s">
        <v>3070</v>
      </c>
      <c r="D253" s="273" t="s">
        <v>405</v>
      </c>
      <c r="E253" s="712">
        <v>1</v>
      </c>
      <c r="F253" s="256">
        <f>VLOOKUP(B253,'[1]BASE DE DATOS'!$A$5:$E$964,5,FALSE)</f>
        <v>53533.333333333336</v>
      </c>
      <c r="G253" s="708">
        <v>1.03</v>
      </c>
      <c r="H253" s="252">
        <f t="shared" si="6"/>
        <v>55139.333333333336</v>
      </c>
      <c r="I253" s="924"/>
    </row>
    <row r="254" spans="1:9" s="818" customFormat="1" ht="12.75" x14ac:dyDescent="0.2">
      <c r="A254" s="280" t="s">
        <v>2555</v>
      </c>
      <c r="B254" s="534" t="s">
        <v>2667</v>
      </c>
      <c r="C254" s="822" t="s">
        <v>2600</v>
      </c>
      <c r="D254" s="273" t="s">
        <v>585</v>
      </c>
      <c r="E254" s="712">
        <v>1</v>
      </c>
      <c r="F254" s="256">
        <f>VLOOKUP(B254,'[1]BASE DE DATOS'!$A$5:$E$964,5,FALSE)</f>
        <v>319246</v>
      </c>
      <c r="G254" s="715">
        <f>1/4</f>
        <v>0.25</v>
      </c>
      <c r="H254" s="252">
        <f t="shared" si="6"/>
        <v>79811.5</v>
      </c>
      <c r="I254" s="924"/>
    </row>
    <row r="255" spans="1:9" s="818" customFormat="1" ht="13.5" thickBot="1" x14ac:dyDescent="0.25">
      <c r="A255" s="287" t="s">
        <v>293</v>
      </c>
      <c r="B255" s="535" t="s">
        <v>269</v>
      </c>
      <c r="C255" s="235" t="s">
        <v>284</v>
      </c>
      <c r="D255" s="177" t="s">
        <v>2199</v>
      </c>
      <c r="E255" s="712">
        <v>0.2</v>
      </c>
      <c r="F255" s="251">
        <f>H254</f>
        <v>79811.5</v>
      </c>
      <c r="G255" s="715">
        <v>0</v>
      </c>
      <c r="H255" s="252">
        <f t="shared" si="6"/>
        <v>15962.300000000001</v>
      </c>
      <c r="I255" s="924"/>
    </row>
    <row r="256" spans="1:9" ht="30" x14ac:dyDescent="0.2">
      <c r="A256" s="292" t="s">
        <v>2284</v>
      </c>
      <c r="B256" s="868"/>
      <c r="C256" s="275" t="s">
        <v>2285</v>
      </c>
      <c r="D256" s="276" t="s">
        <v>405</v>
      </c>
      <c r="E256" s="713"/>
      <c r="F256" s="259">
        <f>ROUND(SUM(H256:H265),0)</f>
        <v>172670</v>
      </c>
      <c r="G256" s="716"/>
      <c r="H256" s="277"/>
    </row>
    <row r="257" spans="1:9" s="818" customFormat="1" ht="12.75" x14ac:dyDescent="0.2">
      <c r="A257" s="1072" t="s">
        <v>295</v>
      </c>
      <c r="B257" s="533" t="s">
        <v>1256</v>
      </c>
      <c r="C257" s="823" t="s">
        <v>2572</v>
      </c>
      <c r="D257" s="273" t="s">
        <v>411</v>
      </c>
      <c r="E257" s="712">
        <v>0.67</v>
      </c>
      <c r="F257" s="256">
        <f>VLOOKUP(B257,'[1]BASE DE DATOS'!$A$5:$E$964,5,FALSE)</f>
        <v>1600</v>
      </c>
      <c r="G257" s="708">
        <v>0</v>
      </c>
      <c r="H257" s="252">
        <f t="shared" si="6"/>
        <v>1072</v>
      </c>
      <c r="I257" s="924"/>
    </row>
    <row r="258" spans="1:9" s="818" customFormat="1" ht="12.75" x14ac:dyDescent="0.2">
      <c r="A258" s="1073"/>
      <c r="B258" s="533" t="s">
        <v>1339</v>
      </c>
      <c r="C258" s="823" t="s">
        <v>2798</v>
      </c>
      <c r="D258" s="273" t="s">
        <v>411</v>
      </c>
      <c r="E258" s="712">
        <v>0.67</v>
      </c>
      <c r="F258" s="256">
        <f>VLOOKUP(B258,'[1]BASE DE DATOS'!$A$5:$E$964,5,FALSE)</f>
        <v>3700</v>
      </c>
      <c r="G258" s="708">
        <v>0</v>
      </c>
      <c r="H258" s="252">
        <f t="shared" si="6"/>
        <v>2479</v>
      </c>
      <c r="I258" s="924"/>
    </row>
    <row r="259" spans="1:9" s="818" customFormat="1" ht="12.75" x14ac:dyDescent="0.2">
      <c r="A259" s="1073"/>
      <c r="B259" s="533" t="s">
        <v>1540</v>
      </c>
      <c r="C259" s="823" t="s">
        <v>2826</v>
      </c>
      <c r="D259" s="273" t="s">
        <v>405</v>
      </c>
      <c r="E259" s="712">
        <v>3</v>
      </c>
      <c r="F259" s="256">
        <f>VLOOKUP(B259,'[1]BASE DE DATOS'!$A$5:$E$964,5,FALSE)</f>
        <v>10200</v>
      </c>
      <c r="G259" s="708">
        <v>1.03</v>
      </c>
      <c r="H259" s="252">
        <f t="shared" si="6"/>
        <v>31518</v>
      </c>
      <c r="I259" s="924"/>
    </row>
    <row r="260" spans="1:9" s="818" customFormat="1" ht="12.75" x14ac:dyDescent="0.2">
      <c r="A260" s="1073"/>
      <c r="B260" s="533" t="s">
        <v>1541</v>
      </c>
      <c r="C260" s="823" t="s">
        <v>2828</v>
      </c>
      <c r="D260" s="273" t="s">
        <v>405</v>
      </c>
      <c r="E260" s="712">
        <v>1</v>
      </c>
      <c r="F260" s="256">
        <f>VLOOKUP(B260,'[1]BASE DE DATOS'!$A$5:$E$964,5,FALSE)</f>
        <v>6700</v>
      </c>
      <c r="G260" s="708">
        <v>1.03</v>
      </c>
      <c r="H260" s="252">
        <f t="shared" si="6"/>
        <v>6901</v>
      </c>
      <c r="I260" s="924"/>
    </row>
    <row r="261" spans="1:9" s="818" customFormat="1" ht="12.75" x14ac:dyDescent="0.2">
      <c r="A261" s="1073"/>
      <c r="B261" s="533" t="s">
        <v>1641</v>
      </c>
      <c r="C261" s="823" t="s">
        <v>3167</v>
      </c>
      <c r="D261" s="273" t="s">
        <v>405</v>
      </c>
      <c r="E261" s="712">
        <v>4.4999999999999998E-2</v>
      </c>
      <c r="F261" s="256">
        <f>VLOOKUP(B261,'[1]BASE DE DATOS'!$A$5:$E$964,5,FALSE)</f>
        <v>7900</v>
      </c>
      <c r="G261" s="708">
        <v>1.03</v>
      </c>
      <c r="H261" s="252">
        <f t="shared" si="6"/>
        <v>366.16499999999996</v>
      </c>
      <c r="I261" s="924"/>
    </row>
    <row r="262" spans="1:9" s="818" customFormat="1" ht="12.75" x14ac:dyDescent="0.2">
      <c r="A262" s="1073"/>
      <c r="B262" s="533" t="s">
        <v>3066</v>
      </c>
      <c r="C262" s="823" t="s">
        <v>3067</v>
      </c>
      <c r="D262" s="273" t="s">
        <v>405</v>
      </c>
      <c r="E262" s="712">
        <v>1</v>
      </c>
      <c r="F262" s="256">
        <f>VLOOKUP(B262,'[1]BASE DE DATOS'!$A$5:$E$964,5,FALSE)</f>
        <v>42516.666666666664</v>
      </c>
      <c r="G262" s="708">
        <v>1.03</v>
      </c>
      <c r="H262" s="252">
        <f t="shared" si="6"/>
        <v>43792.166666666664</v>
      </c>
      <c r="I262" s="924"/>
    </row>
    <row r="263" spans="1:9" s="818" customFormat="1" ht="12.75" x14ac:dyDescent="0.2">
      <c r="A263" s="1073"/>
      <c r="B263" s="533" t="s">
        <v>3098</v>
      </c>
      <c r="C263" s="823" t="s">
        <v>3099</v>
      </c>
      <c r="D263" s="273" t="s">
        <v>411</v>
      </c>
      <c r="E263" s="712">
        <v>0.67</v>
      </c>
      <c r="F263" s="256">
        <f>VLOOKUP(B263,'[1]BASE DE DATOS'!$A$5:$E$964,5,FALSE)</f>
        <v>3500</v>
      </c>
      <c r="G263" s="708">
        <v>0</v>
      </c>
      <c r="H263" s="252">
        <f t="shared" si="6"/>
        <v>2345</v>
      </c>
      <c r="I263" s="924"/>
    </row>
    <row r="264" spans="1:9" s="818" customFormat="1" ht="12.75" x14ac:dyDescent="0.2">
      <c r="A264" s="280" t="s">
        <v>2555</v>
      </c>
      <c r="B264" s="534" t="s">
        <v>2667</v>
      </c>
      <c r="C264" s="822" t="s">
        <v>2600</v>
      </c>
      <c r="D264" s="273" t="s">
        <v>585</v>
      </c>
      <c r="E264" s="712">
        <v>1</v>
      </c>
      <c r="F264" s="256">
        <f>VLOOKUP(B264,'[1]BASE DE DATOS'!$A$5:$E$964,5,FALSE)</f>
        <v>319246</v>
      </c>
      <c r="G264" s="715">
        <f>1/4.55</f>
        <v>0.21978021978021978</v>
      </c>
      <c r="H264" s="252">
        <f t="shared" si="6"/>
        <v>70163.956043956045</v>
      </c>
      <c r="I264" s="924"/>
    </row>
    <row r="265" spans="1:9" s="818" customFormat="1" ht="13.5" thickBot="1" x14ac:dyDescent="0.25">
      <c r="A265" s="287" t="s">
        <v>293</v>
      </c>
      <c r="B265" s="535" t="s">
        <v>269</v>
      </c>
      <c r="C265" s="235" t="s">
        <v>284</v>
      </c>
      <c r="D265" s="177" t="s">
        <v>2199</v>
      </c>
      <c r="E265" s="712">
        <v>0.2</v>
      </c>
      <c r="F265" s="251">
        <f>H264</f>
        <v>70163.956043956045</v>
      </c>
      <c r="G265" s="715">
        <v>0</v>
      </c>
      <c r="H265" s="252">
        <f t="shared" si="6"/>
        <v>14032.79120879121</v>
      </c>
      <c r="I265" s="924"/>
    </row>
    <row r="266" spans="1:9" ht="45" x14ac:dyDescent="0.2">
      <c r="A266" s="524" t="s">
        <v>2286</v>
      </c>
      <c r="B266" s="868"/>
      <c r="C266" s="275" t="s">
        <v>3220</v>
      </c>
      <c r="D266" s="276" t="s">
        <v>405</v>
      </c>
      <c r="E266" s="713"/>
      <c r="F266" s="259">
        <f>ROUND(SUM(H266:H274),0)</f>
        <v>142785</v>
      </c>
      <c r="G266" s="716"/>
      <c r="H266" s="277"/>
    </row>
    <row r="267" spans="1:9" s="818" customFormat="1" ht="12.75" x14ac:dyDescent="0.2">
      <c r="A267" s="1073" t="s">
        <v>295</v>
      </c>
      <c r="B267" s="533" t="s">
        <v>1256</v>
      </c>
      <c r="C267" s="823" t="s">
        <v>2572</v>
      </c>
      <c r="D267" s="273" t="s">
        <v>411</v>
      </c>
      <c r="E267" s="712">
        <v>0.67</v>
      </c>
      <c r="F267" s="256">
        <f>VLOOKUP(B267,'[1]BASE DE DATOS'!$A$5:$E$964,5,FALSE)</f>
        <v>1600</v>
      </c>
      <c r="G267" s="708">
        <v>0</v>
      </c>
      <c r="H267" s="252">
        <f t="shared" si="6"/>
        <v>1072</v>
      </c>
      <c r="I267" s="924"/>
    </row>
    <row r="268" spans="1:9" s="818" customFormat="1" ht="12.75" x14ac:dyDescent="0.2">
      <c r="A268" s="1073"/>
      <c r="B268" s="533" t="s">
        <v>1339</v>
      </c>
      <c r="C268" s="823" t="s">
        <v>2798</v>
      </c>
      <c r="D268" s="273" t="s">
        <v>411</v>
      </c>
      <c r="E268" s="712">
        <v>0.67</v>
      </c>
      <c r="F268" s="256">
        <f>VLOOKUP(B268,'[1]BASE DE DATOS'!$A$5:$E$964,5,FALSE)</f>
        <v>3700</v>
      </c>
      <c r="G268" s="708">
        <v>0</v>
      </c>
      <c r="H268" s="252">
        <f t="shared" si="6"/>
        <v>2479</v>
      </c>
      <c r="I268" s="924"/>
    </row>
    <row r="269" spans="1:9" s="818" customFormat="1" ht="12.75" x14ac:dyDescent="0.2">
      <c r="A269" s="1073"/>
      <c r="B269" s="533" t="s">
        <v>1541</v>
      </c>
      <c r="C269" s="823" t="s">
        <v>2828</v>
      </c>
      <c r="D269" s="273" t="s">
        <v>405</v>
      </c>
      <c r="E269" s="712">
        <v>4</v>
      </c>
      <c r="F269" s="256">
        <f>VLOOKUP(B269,'[1]BASE DE DATOS'!$A$5:$E$964,5,FALSE)</f>
        <v>6700</v>
      </c>
      <c r="G269" s="708">
        <v>1.03</v>
      </c>
      <c r="H269" s="252">
        <f t="shared" si="6"/>
        <v>27604</v>
      </c>
      <c r="I269" s="924"/>
    </row>
    <row r="270" spans="1:9" s="818" customFormat="1" ht="12.75" x14ac:dyDescent="0.2">
      <c r="A270" s="1073"/>
      <c r="B270" s="533" t="s">
        <v>1641</v>
      </c>
      <c r="C270" s="823" t="s">
        <v>3167</v>
      </c>
      <c r="D270" s="273" t="s">
        <v>405</v>
      </c>
      <c r="E270" s="712">
        <v>4.4999999999999998E-2</v>
      </c>
      <c r="F270" s="256">
        <f>VLOOKUP(B270,'[1]BASE DE DATOS'!$A$5:$E$964,5,FALSE)</f>
        <v>7900</v>
      </c>
      <c r="G270" s="708">
        <v>1.03</v>
      </c>
      <c r="H270" s="252">
        <f t="shared" si="6"/>
        <v>366.16499999999996</v>
      </c>
      <c r="I270" s="924"/>
    </row>
    <row r="271" spans="1:9" s="818" customFormat="1" ht="12.75" x14ac:dyDescent="0.2">
      <c r="A271" s="1073"/>
      <c r="B271" s="533" t="s">
        <v>3066</v>
      </c>
      <c r="C271" s="823" t="s">
        <v>3067</v>
      </c>
      <c r="D271" s="273" t="s">
        <v>405</v>
      </c>
      <c r="E271" s="712">
        <v>1</v>
      </c>
      <c r="F271" s="256">
        <f>VLOOKUP(B271,'[1]BASE DE DATOS'!$A$5:$E$964,5,FALSE)</f>
        <v>42516.666666666664</v>
      </c>
      <c r="G271" s="708">
        <v>1.03</v>
      </c>
      <c r="H271" s="252">
        <f t="shared" si="6"/>
        <v>43792.166666666664</v>
      </c>
      <c r="I271" s="924"/>
    </row>
    <row r="272" spans="1:9" s="818" customFormat="1" ht="12.75" x14ac:dyDescent="0.2">
      <c r="A272" s="1073"/>
      <c r="B272" s="533" t="s">
        <v>3098</v>
      </c>
      <c r="C272" s="823" t="s">
        <v>3099</v>
      </c>
      <c r="D272" s="273" t="s">
        <v>411</v>
      </c>
      <c r="E272" s="712">
        <v>0.67</v>
      </c>
      <c r="F272" s="256">
        <f>VLOOKUP(B272,'[1]BASE DE DATOS'!$A$5:$E$964,5,FALSE)</f>
        <v>3500</v>
      </c>
      <c r="G272" s="708">
        <v>0</v>
      </c>
      <c r="H272" s="252">
        <f t="shared" si="6"/>
        <v>2345</v>
      </c>
      <c r="I272" s="924"/>
    </row>
    <row r="273" spans="1:9" s="818" customFormat="1" ht="12.75" x14ac:dyDescent="0.2">
      <c r="A273" s="280" t="s">
        <v>2555</v>
      </c>
      <c r="B273" s="534" t="s">
        <v>2667</v>
      </c>
      <c r="C273" s="822" t="s">
        <v>2600</v>
      </c>
      <c r="D273" s="273" t="s">
        <v>585</v>
      </c>
      <c r="E273" s="712">
        <v>1</v>
      </c>
      <c r="F273" s="256">
        <f>VLOOKUP(B273,'[1]BASE DE DATOS'!$A$5:$E$964,5,FALSE)</f>
        <v>319246</v>
      </c>
      <c r="G273" s="715">
        <f>1/5</f>
        <v>0.2</v>
      </c>
      <c r="H273" s="252">
        <f t="shared" si="6"/>
        <v>63849.200000000004</v>
      </c>
      <c r="I273" s="924"/>
    </row>
    <row r="274" spans="1:9" s="818" customFormat="1" ht="13.5" thickBot="1" x14ac:dyDescent="0.25">
      <c r="A274" s="287" t="s">
        <v>293</v>
      </c>
      <c r="B274" s="535" t="s">
        <v>269</v>
      </c>
      <c r="C274" s="235" t="s">
        <v>284</v>
      </c>
      <c r="D274" s="177" t="s">
        <v>2199</v>
      </c>
      <c r="E274" s="712">
        <v>0.02</v>
      </c>
      <c r="F274" s="251">
        <f>H273</f>
        <v>63849.200000000004</v>
      </c>
      <c r="G274" s="715">
        <v>0</v>
      </c>
      <c r="H274" s="252">
        <f t="shared" si="6"/>
        <v>1276.9840000000002</v>
      </c>
      <c r="I274" s="924"/>
    </row>
    <row r="275" spans="1:9" ht="45" x14ac:dyDescent="0.2">
      <c r="A275" s="292" t="s">
        <v>2287</v>
      </c>
      <c r="B275" s="868"/>
      <c r="C275" s="275" t="s">
        <v>2290</v>
      </c>
      <c r="D275" s="276" t="s">
        <v>405</v>
      </c>
      <c r="E275" s="713"/>
      <c r="F275" s="259">
        <f>ROUND(SUM(H275:H283),0)</f>
        <v>82093</v>
      </c>
      <c r="G275" s="716"/>
      <c r="H275" s="277"/>
    </row>
    <row r="276" spans="1:9" s="818" customFormat="1" ht="12.75" x14ac:dyDescent="0.2">
      <c r="A276" s="1072" t="s">
        <v>295</v>
      </c>
      <c r="B276" s="533" t="s">
        <v>1255</v>
      </c>
      <c r="C276" s="823" t="s">
        <v>2574</v>
      </c>
      <c r="D276" s="273" t="s">
        <v>411</v>
      </c>
      <c r="E276" s="712">
        <v>0.67</v>
      </c>
      <c r="F276" s="256">
        <f>VLOOKUP(B276,'[1]BASE DE DATOS'!$A$5:$E$964,5,FALSE)</f>
        <v>850</v>
      </c>
      <c r="G276" s="708">
        <v>0</v>
      </c>
      <c r="H276" s="252">
        <f t="shared" ref="H276:H301" si="7">IF(G276&gt;0,(G276*F276*E276),(F276*E276))</f>
        <v>569.5</v>
      </c>
      <c r="I276" s="924"/>
    </row>
    <row r="277" spans="1:9" s="818" customFormat="1" ht="12.75" x14ac:dyDescent="0.2">
      <c r="A277" s="1073"/>
      <c r="B277" s="533" t="s">
        <v>1339</v>
      </c>
      <c r="C277" s="823" t="s">
        <v>2798</v>
      </c>
      <c r="D277" s="273" t="s">
        <v>411</v>
      </c>
      <c r="E277" s="712">
        <v>0.67</v>
      </c>
      <c r="F277" s="256">
        <f>VLOOKUP(B277,'[1]BASE DE DATOS'!$A$5:$E$964,5,FALSE)</f>
        <v>3700</v>
      </c>
      <c r="G277" s="708">
        <v>0</v>
      </c>
      <c r="H277" s="252">
        <f t="shared" si="7"/>
        <v>2479</v>
      </c>
      <c r="I277" s="924"/>
    </row>
    <row r="278" spans="1:9" s="818" customFormat="1" ht="12.75" x14ac:dyDescent="0.2">
      <c r="A278" s="1073"/>
      <c r="B278" s="533" t="s">
        <v>1447</v>
      </c>
      <c r="C278" s="823" t="s">
        <v>2817</v>
      </c>
      <c r="D278" s="273" t="s">
        <v>405</v>
      </c>
      <c r="E278" s="712">
        <v>3</v>
      </c>
      <c r="F278" s="256">
        <f>VLOOKUP(B278,'[1]BASE DE DATOS'!$A$5:$E$964,5,FALSE)</f>
        <v>2650</v>
      </c>
      <c r="G278" s="708">
        <v>1.03</v>
      </c>
      <c r="H278" s="252">
        <f t="shared" si="7"/>
        <v>8188.5</v>
      </c>
      <c r="I278" s="924"/>
    </row>
    <row r="279" spans="1:9" s="818" customFormat="1" ht="12.75" x14ac:dyDescent="0.2">
      <c r="A279" s="1073"/>
      <c r="B279" s="533" t="s">
        <v>1641</v>
      </c>
      <c r="C279" s="823" t="s">
        <v>3167</v>
      </c>
      <c r="D279" s="273" t="s">
        <v>405</v>
      </c>
      <c r="E279" s="712">
        <v>2.5000000000000001E-2</v>
      </c>
      <c r="F279" s="256">
        <f>VLOOKUP(B279,'[1]BASE DE DATOS'!$A$5:$E$964,5,FALSE)</f>
        <v>7900</v>
      </c>
      <c r="G279" s="708">
        <v>1.03</v>
      </c>
      <c r="H279" s="252">
        <f t="shared" si="7"/>
        <v>203.42500000000001</v>
      </c>
      <c r="I279" s="924"/>
    </row>
    <row r="280" spans="1:9" s="818" customFormat="1" ht="12.75" x14ac:dyDescent="0.2">
      <c r="A280" s="1073"/>
      <c r="B280" s="533" t="s">
        <v>1842</v>
      </c>
      <c r="C280" s="823" t="s">
        <v>3160</v>
      </c>
      <c r="D280" s="273" t="s">
        <v>405</v>
      </c>
      <c r="E280" s="712">
        <v>1</v>
      </c>
      <c r="F280" s="256">
        <f>VLOOKUP(B280,'[1]BASE DE DATOS'!$A$5:$E$964,5,FALSE)</f>
        <v>23050</v>
      </c>
      <c r="G280" s="708">
        <v>1.03</v>
      </c>
      <c r="H280" s="252">
        <f t="shared" si="7"/>
        <v>23741.5</v>
      </c>
      <c r="I280" s="924"/>
    </row>
    <row r="281" spans="1:9" s="818" customFormat="1" ht="12.75" x14ac:dyDescent="0.2">
      <c r="A281" s="1073"/>
      <c r="B281" s="533" t="s">
        <v>3102</v>
      </c>
      <c r="C281" s="823" t="s">
        <v>3103</v>
      </c>
      <c r="D281" s="273" t="s">
        <v>411</v>
      </c>
      <c r="E281" s="712">
        <v>0.67</v>
      </c>
      <c r="F281" s="256">
        <f>VLOOKUP(B281,'[1]BASE DE DATOS'!$A$5:$E$964,5,FALSE)</f>
        <v>1400</v>
      </c>
      <c r="G281" s="708">
        <v>0</v>
      </c>
      <c r="H281" s="252">
        <f t="shared" si="7"/>
        <v>938</v>
      </c>
      <c r="I281" s="924"/>
    </row>
    <row r="282" spans="1:9" s="818" customFormat="1" ht="12.75" x14ac:dyDescent="0.2">
      <c r="A282" s="280" t="s">
        <v>2555</v>
      </c>
      <c r="B282" s="534" t="s">
        <v>2667</v>
      </c>
      <c r="C282" s="822" t="s">
        <v>2600</v>
      </c>
      <c r="D282" s="273" t="s">
        <v>585</v>
      </c>
      <c r="E282" s="712">
        <v>1</v>
      </c>
      <c r="F282" s="256">
        <f>VLOOKUP(B282,'[1]BASE DE DATOS'!$A$5:$E$964,5,FALSE)</f>
        <v>319246</v>
      </c>
      <c r="G282" s="715">
        <f>1/8.333</f>
        <v>0.12000480019200768</v>
      </c>
      <c r="H282" s="252">
        <f t="shared" si="7"/>
        <v>38311.052442097687</v>
      </c>
      <c r="I282" s="924"/>
    </row>
    <row r="283" spans="1:9" s="818" customFormat="1" ht="13.5" thickBot="1" x14ac:dyDescent="0.25">
      <c r="A283" s="287" t="s">
        <v>293</v>
      </c>
      <c r="B283" s="535" t="s">
        <v>269</v>
      </c>
      <c r="C283" s="235" t="s">
        <v>284</v>
      </c>
      <c r="D283" s="177" t="s">
        <v>2199</v>
      </c>
      <c r="E283" s="712">
        <v>0.2</v>
      </c>
      <c r="F283" s="251">
        <f>H282</f>
        <v>38311.052442097687</v>
      </c>
      <c r="G283" s="715">
        <v>0</v>
      </c>
      <c r="H283" s="252">
        <f t="shared" si="7"/>
        <v>7662.2104884195378</v>
      </c>
      <c r="I283" s="924"/>
    </row>
    <row r="284" spans="1:9" ht="30" x14ac:dyDescent="0.2">
      <c r="A284" s="292" t="s">
        <v>2288</v>
      </c>
      <c r="B284" s="871"/>
      <c r="C284" s="275" t="s">
        <v>3228</v>
      </c>
      <c r="D284" s="276" t="s">
        <v>405</v>
      </c>
      <c r="E284" s="713"/>
      <c r="F284" s="259">
        <f>ROUND(SUM(H284:H291),0)</f>
        <v>184112</v>
      </c>
      <c r="G284" s="716"/>
      <c r="H284" s="277"/>
    </row>
    <row r="285" spans="1:9" s="818" customFormat="1" ht="12.75" x14ac:dyDescent="0.2">
      <c r="A285" s="1070" t="s">
        <v>382</v>
      </c>
      <c r="B285" s="533" t="s">
        <v>1334</v>
      </c>
      <c r="C285" s="823" t="s">
        <v>2575</v>
      </c>
      <c r="D285" s="273" t="s">
        <v>411</v>
      </c>
      <c r="E285" s="712">
        <v>1</v>
      </c>
      <c r="F285" s="256">
        <f>VLOOKUP(B285,'[1]BASE DE DATOS'!$A$5:$E$964,5,FALSE)</f>
        <v>5734</v>
      </c>
      <c r="G285" s="708">
        <v>0</v>
      </c>
      <c r="H285" s="252">
        <f t="shared" si="7"/>
        <v>5734</v>
      </c>
      <c r="I285" s="924"/>
    </row>
    <row r="286" spans="1:9" s="818" customFormat="1" ht="12.75" x14ac:dyDescent="0.2">
      <c r="A286" s="1071"/>
      <c r="B286" s="533" t="s">
        <v>1339</v>
      </c>
      <c r="C286" s="823" t="s">
        <v>2798</v>
      </c>
      <c r="D286" s="273" t="s">
        <v>411</v>
      </c>
      <c r="E286" s="712">
        <v>0.8</v>
      </c>
      <c r="F286" s="256">
        <f>VLOOKUP(B286,'[1]BASE DE DATOS'!$A$5:$E$964,5,FALSE)</f>
        <v>3700</v>
      </c>
      <c r="G286" s="708">
        <v>0</v>
      </c>
      <c r="H286" s="252">
        <f t="shared" si="7"/>
        <v>2960</v>
      </c>
      <c r="I286" s="924"/>
    </row>
    <row r="287" spans="1:9" s="818" customFormat="1" ht="12.75" x14ac:dyDescent="0.2">
      <c r="A287" s="1071"/>
      <c r="B287" s="533" t="s">
        <v>1641</v>
      </c>
      <c r="C287" s="823" t="s">
        <v>3167</v>
      </c>
      <c r="D287" s="273" t="s">
        <v>405</v>
      </c>
      <c r="E287" s="712">
        <v>6.4000000000000015E-2</v>
      </c>
      <c r="F287" s="256">
        <f>VLOOKUP(B287,'[1]BASE DE DATOS'!$A$5:$E$964,5,FALSE)</f>
        <v>7900</v>
      </c>
      <c r="G287" s="708">
        <v>1.03</v>
      </c>
      <c r="H287" s="252">
        <f t="shared" si="7"/>
        <v>520.76800000000014</v>
      </c>
      <c r="I287" s="924"/>
    </row>
    <row r="288" spans="1:9" s="818" customFormat="1" ht="12.75" x14ac:dyDescent="0.2">
      <c r="A288" s="1071"/>
      <c r="B288" s="533" t="s">
        <v>3060</v>
      </c>
      <c r="C288" s="823" t="s">
        <v>3064</v>
      </c>
      <c r="D288" s="273" t="s">
        <v>405</v>
      </c>
      <c r="E288" s="712">
        <v>1</v>
      </c>
      <c r="F288" s="256">
        <f>VLOOKUP(B288,'[1]BASE DE DATOS'!$A$5:$E$964,5,FALSE)</f>
        <v>79100</v>
      </c>
      <c r="G288" s="708">
        <v>1.03</v>
      </c>
      <c r="H288" s="252">
        <f t="shared" si="7"/>
        <v>81473</v>
      </c>
      <c r="I288" s="924"/>
    </row>
    <row r="289" spans="1:9" s="818" customFormat="1" ht="12.75" x14ac:dyDescent="0.2">
      <c r="A289" s="1071"/>
      <c r="B289" s="533" t="s">
        <v>3096</v>
      </c>
      <c r="C289" s="823" t="s">
        <v>3097</v>
      </c>
      <c r="D289" s="273" t="s">
        <v>411</v>
      </c>
      <c r="E289" s="712">
        <v>0.34</v>
      </c>
      <c r="F289" s="256">
        <f>VLOOKUP(B289,'[1]BASE DE DATOS'!$A$5:$E$964,5,FALSE)</f>
        <v>28300</v>
      </c>
      <c r="G289" s="708">
        <v>0</v>
      </c>
      <c r="H289" s="252">
        <f t="shared" si="7"/>
        <v>9622</v>
      </c>
      <c r="I289" s="924"/>
    </row>
    <row r="290" spans="1:9" s="818" customFormat="1" ht="12.75" x14ac:dyDescent="0.2">
      <c r="A290" s="280" t="s">
        <v>2555</v>
      </c>
      <c r="B290" s="534" t="s">
        <v>2667</v>
      </c>
      <c r="C290" s="822" t="s">
        <v>2600</v>
      </c>
      <c r="D290" s="273" t="s">
        <v>3737</v>
      </c>
      <c r="E290" s="712">
        <v>1</v>
      </c>
      <c r="F290" s="256">
        <f>VLOOKUP(B290,'[1]BASE DE DATOS'!$A$5:$E$964,5,FALSE)</f>
        <v>319246</v>
      </c>
      <c r="G290" s="715">
        <f>1/4</f>
        <v>0.25</v>
      </c>
      <c r="H290" s="252">
        <f t="shared" si="7"/>
        <v>79811.5</v>
      </c>
      <c r="I290" s="924"/>
    </row>
    <row r="291" spans="1:9" s="818" customFormat="1" ht="13.5" thickBot="1" x14ac:dyDescent="0.25">
      <c r="A291" s="287" t="s">
        <v>293</v>
      </c>
      <c r="B291" s="535" t="s">
        <v>269</v>
      </c>
      <c r="C291" s="235" t="s">
        <v>284</v>
      </c>
      <c r="D291" s="177" t="s">
        <v>2199</v>
      </c>
      <c r="E291" s="712">
        <v>0.05</v>
      </c>
      <c r="F291" s="251">
        <f>H290</f>
        <v>79811.5</v>
      </c>
      <c r="G291" s="715">
        <v>0</v>
      </c>
      <c r="H291" s="252">
        <f t="shared" si="7"/>
        <v>3990.5750000000003</v>
      </c>
      <c r="I291" s="924"/>
    </row>
    <row r="292" spans="1:9" s="814" customFormat="1" ht="60" x14ac:dyDescent="0.2">
      <c r="A292" s="292" t="s">
        <v>2289</v>
      </c>
      <c r="B292" s="868"/>
      <c r="C292" s="275" t="s">
        <v>2291</v>
      </c>
      <c r="D292" s="276" t="s">
        <v>405</v>
      </c>
      <c r="E292" s="713"/>
      <c r="F292" s="259">
        <f>ROUND(SUM(H292:H301),0)</f>
        <v>75620</v>
      </c>
      <c r="G292" s="716"/>
      <c r="H292" s="277"/>
      <c r="I292" s="925">
        <v>31</v>
      </c>
    </row>
    <row r="293" spans="1:9" s="825" customFormat="1" ht="12.75" x14ac:dyDescent="0.2">
      <c r="A293" s="1072" t="s">
        <v>295</v>
      </c>
      <c r="B293" s="533" t="s">
        <v>1255</v>
      </c>
      <c r="C293" s="824" t="s">
        <v>2574</v>
      </c>
      <c r="D293" s="278" t="s">
        <v>411</v>
      </c>
      <c r="E293" s="714">
        <v>0.67</v>
      </c>
      <c r="F293" s="256">
        <f>VLOOKUP(B293,'[1]BASE DE DATOS'!$A$5:$E$964,5,FALSE)</f>
        <v>850</v>
      </c>
      <c r="G293" s="709">
        <v>0</v>
      </c>
      <c r="H293" s="252">
        <f t="shared" si="7"/>
        <v>569.5</v>
      </c>
      <c r="I293" s="924"/>
    </row>
    <row r="294" spans="1:9" s="825" customFormat="1" ht="12.75" x14ac:dyDescent="0.2">
      <c r="A294" s="1073"/>
      <c r="B294" s="533" t="s">
        <v>1339</v>
      </c>
      <c r="C294" s="824" t="s">
        <v>2798</v>
      </c>
      <c r="D294" s="278" t="s">
        <v>411</v>
      </c>
      <c r="E294" s="714">
        <v>0.67</v>
      </c>
      <c r="F294" s="256">
        <f>VLOOKUP(B294,'[1]BASE DE DATOS'!$A$5:$E$964,5,FALSE)</f>
        <v>3700</v>
      </c>
      <c r="G294" s="709">
        <v>0</v>
      </c>
      <c r="H294" s="252">
        <f t="shared" si="7"/>
        <v>2479</v>
      </c>
      <c r="I294" s="924"/>
    </row>
    <row r="295" spans="1:9" s="825" customFormat="1" ht="12.75" x14ac:dyDescent="0.2">
      <c r="A295" s="1073"/>
      <c r="B295" s="533" t="s">
        <v>1426</v>
      </c>
      <c r="C295" s="824" t="s">
        <v>2813</v>
      </c>
      <c r="D295" s="278" t="s">
        <v>405</v>
      </c>
      <c r="E295" s="714">
        <v>1</v>
      </c>
      <c r="F295" s="256">
        <f>VLOOKUP(B295,'[1]BASE DE DATOS'!$A$5:$E$964,5,FALSE)</f>
        <v>11700</v>
      </c>
      <c r="G295" s="709">
        <v>1.03</v>
      </c>
      <c r="H295" s="252">
        <f t="shared" si="7"/>
        <v>12051</v>
      </c>
      <c r="I295" s="924"/>
    </row>
    <row r="296" spans="1:9" s="825" customFormat="1" ht="12.75" x14ac:dyDescent="0.2">
      <c r="A296" s="1073"/>
      <c r="B296" s="533" t="s">
        <v>1641</v>
      </c>
      <c r="C296" s="823" t="s">
        <v>3167</v>
      </c>
      <c r="D296" s="273" t="s">
        <v>405</v>
      </c>
      <c r="E296" s="714">
        <v>2.998249469253976E-2</v>
      </c>
      <c r="F296" s="256">
        <f>VLOOKUP(B296,'[1]BASE DE DATOS'!$A$5:$E$964,5,FALSE)</f>
        <v>7900</v>
      </c>
      <c r="G296" s="709">
        <v>1.03</v>
      </c>
      <c r="H296" s="252">
        <f t="shared" si="7"/>
        <v>243.96755931319603</v>
      </c>
      <c r="I296" s="924"/>
    </row>
    <row r="297" spans="1:9" s="825" customFormat="1" ht="12.75" x14ac:dyDescent="0.2">
      <c r="A297" s="1073"/>
      <c r="B297" s="533" t="s">
        <v>1853</v>
      </c>
      <c r="C297" s="824" t="s">
        <v>3062</v>
      </c>
      <c r="D297" s="278" t="s">
        <v>405</v>
      </c>
      <c r="E297" s="714">
        <v>1</v>
      </c>
      <c r="F297" s="256">
        <f>VLOOKUP(B297,'[1]BASE DE DATOS'!$A$5:$E$964,5,FALSE)</f>
        <v>9100</v>
      </c>
      <c r="G297" s="709">
        <v>1.03</v>
      </c>
      <c r="H297" s="252">
        <f t="shared" si="7"/>
        <v>9373</v>
      </c>
      <c r="I297" s="924"/>
    </row>
    <row r="298" spans="1:9" s="825" customFormat="1" ht="12.75" x14ac:dyDescent="0.2">
      <c r="A298" s="1073"/>
      <c r="B298" s="533" t="s">
        <v>3094</v>
      </c>
      <c r="C298" s="824" t="s">
        <v>3095</v>
      </c>
      <c r="D298" s="278" t="s">
        <v>411</v>
      </c>
      <c r="E298" s="714">
        <v>2.2999999999999998</v>
      </c>
      <c r="F298" s="256">
        <f>VLOOKUP(B298,'[1]BASE DE DATOS'!$A$5:$E$964,5,FALSE)</f>
        <v>1150</v>
      </c>
      <c r="G298" s="709">
        <v>0</v>
      </c>
      <c r="H298" s="252">
        <f t="shared" si="7"/>
        <v>2645</v>
      </c>
      <c r="I298" s="924"/>
    </row>
    <row r="299" spans="1:9" s="825" customFormat="1" ht="12.75" x14ac:dyDescent="0.2">
      <c r="A299" s="1073"/>
      <c r="B299" s="533" t="s">
        <v>1700</v>
      </c>
      <c r="C299" s="824" t="s">
        <v>2866</v>
      </c>
      <c r="D299" s="278" t="s">
        <v>411</v>
      </c>
      <c r="E299" s="714">
        <v>0.25</v>
      </c>
      <c r="F299" s="256">
        <f>VLOOKUP(B299,'[1]BASE DE DATOS'!$A$5:$E$964,5,FALSE)</f>
        <v>9150</v>
      </c>
      <c r="G299" s="709">
        <v>0</v>
      </c>
      <c r="H299" s="252">
        <f t="shared" si="7"/>
        <v>2287.5</v>
      </c>
      <c r="I299" s="924"/>
    </row>
    <row r="300" spans="1:9" s="825" customFormat="1" ht="12.75" x14ac:dyDescent="0.2">
      <c r="A300" s="280" t="s">
        <v>2555</v>
      </c>
      <c r="B300" s="534" t="s">
        <v>2667</v>
      </c>
      <c r="C300" s="822" t="s">
        <v>2600</v>
      </c>
      <c r="D300" s="273" t="s">
        <v>585</v>
      </c>
      <c r="E300" s="714">
        <v>1</v>
      </c>
      <c r="F300" s="256">
        <f>VLOOKUP(B300,'[1]BASE DE DATOS'!$A$5:$E$964,5,FALSE)</f>
        <v>319246</v>
      </c>
      <c r="G300" s="717">
        <f>1/8.33333</f>
        <v>0.1200000480000192</v>
      </c>
      <c r="H300" s="252">
        <f t="shared" si="7"/>
        <v>38309.535323814132</v>
      </c>
      <c r="I300" s="924"/>
    </row>
    <row r="301" spans="1:9" s="818" customFormat="1" ht="13.5" thickBot="1" x14ac:dyDescent="0.25">
      <c r="A301" s="287" t="s">
        <v>293</v>
      </c>
      <c r="B301" s="535" t="s">
        <v>269</v>
      </c>
      <c r="C301" s="235" t="s">
        <v>284</v>
      </c>
      <c r="D301" s="177" t="s">
        <v>2199</v>
      </c>
      <c r="E301" s="712">
        <v>0.2</v>
      </c>
      <c r="F301" s="251">
        <f>H300</f>
        <v>38309.535323814132</v>
      </c>
      <c r="G301" s="715">
        <v>0</v>
      </c>
      <c r="H301" s="252">
        <f t="shared" si="7"/>
        <v>7661.9070647628268</v>
      </c>
      <c r="I301" s="924"/>
    </row>
    <row r="302" spans="1:9" s="41" customFormat="1" ht="15.75" thickBot="1" x14ac:dyDescent="0.25">
      <c r="A302" s="1093" t="s">
        <v>2292</v>
      </c>
      <c r="B302" s="1094"/>
      <c r="C302" s="1094"/>
      <c r="D302" s="1094"/>
      <c r="E302" s="1094"/>
      <c r="F302" s="1094"/>
      <c r="G302" s="1094"/>
      <c r="H302" s="1095"/>
      <c r="I302" s="914"/>
    </row>
    <row r="303" spans="1:9" s="826" customFormat="1" ht="58.5" customHeight="1" thickBot="1" x14ac:dyDescent="0.25">
      <c r="A303" s="798" t="s">
        <v>2044</v>
      </c>
      <c r="B303" s="866" t="s">
        <v>265</v>
      </c>
      <c r="C303" s="798" t="s">
        <v>402</v>
      </c>
      <c r="D303" s="798" t="s">
        <v>346</v>
      </c>
      <c r="E303" s="192" t="s">
        <v>1913</v>
      </c>
      <c r="F303" s="73" t="s">
        <v>3165</v>
      </c>
      <c r="G303" s="290" t="s">
        <v>281</v>
      </c>
      <c r="H303" s="74" t="s">
        <v>3164</v>
      </c>
      <c r="I303" s="926"/>
    </row>
    <row r="304" spans="1:9" s="826" customFormat="1" ht="90" x14ac:dyDescent="0.2">
      <c r="A304" s="859" t="s">
        <v>2293</v>
      </c>
      <c r="B304" s="870"/>
      <c r="C304" s="264" t="s">
        <v>4146</v>
      </c>
      <c r="D304" s="265" t="s">
        <v>411</v>
      </c>
      <c r="E304" s="707"/>
      <c r="F304" s="259">
        <f>ROUND(SUM(H304:H312),0)</f>
        <v>447437</v>
      </c>
      <c r="G304" s="711"/>
      <c r="H304" s="250"/>
      <c r="I304" s="926"/>
    </row>
    <row r="305" spans="1:9" s="826" customFormat="1" x14ac:dyDescent="0.2">
      <c r="A305" s="1072" t="s">
        <v>295</v>
      </c>
      <c r="B305" s="533" t="s">
        <v>3991</v>
      </c>
      <c r="C305" s="827" t="s">
        <v>4137</v>
      </c>
      <c r="D305" s="828" t="s">
        <v>411</v>
      </c>
      <c r="E305" s="829">
        <v>1</v>
      </c>
      <c r="F305" s="256">
        <f>VLOOKUP(B305,'[1]BASE DE DATOS'!$A$5:$E$964,5,FALSE)</f>
        <v>3000</v>
      </c>
      <c r="G305" s="708">
        <v>1.03</v>
      </c>
      <c r="H305" s="252">
        <f>IF(G305&gt;0,(G305*F305*E305),(F305*E305))</f>
        <v>3090</v>
      </c>
      <c r="I305" s="926"/>
    </row>
    <row r="306" spans="1:9" s="826" customFormat="1" x14ac:dyDescent="0.2">
      <c r="A306" s="1073"/>
      <c r="B306" s="533" t="s">
        <v>3990</v>
      </c>
      <c r="C306" s="827" t="s">
        <v>4138</v>
      </c>
      <c r="D306" s="828" t="s">
        <v>411</v>
      </c>
      <c r="E306" s="829">
        <v>1</v>
      </c>
      <c r="F306" s="256">
        <f>VLOOKUP(B306,'[1]BASE DE DATOS'!$A$5:$E$964,5,FALSE)</f>
        <v>3000</v>
      </c>
      <c r="G306" s="708">
        <v>1.03</v>
      </c>
      <c r="H306" s="252">
        <f t="shared" ref="H306:H308" si="8">IF(G306&gt;0,(G306*F306*E306),(F306*E306))</f>
        <v>3090</v>
      </c>
      <c r="I306" s="926"/>
    </row>
    <row r="307" spans="1:9" s="826" customFormat="1" x14ac:dyDescent="0.2">
      <c r="A307" s="1073"/>
      <c r="B307" s="860" t="s">
        <v>3993</v>
      </c>
      <c r="C307" s="827" t="s">
        <v>4140</v>
      </c>
      <c r="D307" s="828" t="s">
        <v>411</v>
      </c>
      <c r="E307" s="829">
        <v>1</v>
      </c>
      <c r="F307" s="256">
        <f>VLOOKUP(B307,'[1]BASE DE DATOS'!$A$5:$E$964,5,FALSE)</f>
        <v>6000</v>
      </c>
      <c r="G307" s="708">
        <v>0</v>
      </c>
      <c r="H307" s="252">
        <f t="shared" si="8"/>
        <v>6000</v>
      </c>
      <c r="I307" s="926"/>
    </row>
    <row r="308" spans="1:9" s="826" customFormat="1" x14ac:dyDescent="0.2">
      <c r="A308" s="1073"/>
      <c r="B308" s="860" t="s">
        <v>4046</v>
      </c>
      <c r="C308" s="827" t="s">
        <v>4141</v>
      </c>
      <c r="D308" s="828" t="s">
        <v>411</v>
      </c>
      <c r="E308" s="829">
        <v>12</v>
      </c>
      <c r="F308" s="256">
        <f>VLOOKUP(B308,'[1]BASE DE DATOS'!$A$5:$E$964,5,FALSE)</f>
        <v>500</v>
      </c>
      <c r="G308" s="708">
        <v>0</v>
      </c>
      <c r="H308" s="252">
        <f t="shared" si="8"/>
        <v>6000</v>
      </c>
      <c r="I308" s="926"/>
    </row>
    <row r="309" spans="1:9" s="826" customFormat="1" x14ac:dyDescent="0.2">
      <c r="A309" s="1073"/>
      <c r="B309" s="533" t="s">
        <v>3004</v>
      </c>
      <c r="C309" s="827" t="s">
        <v>3005</v>
      </c>
      <c r="D309" s="828" t="str">
        <f>VLOOKUP(B309,'[2]BASE DE DATOS'!$A$5:$E$961,3,FALSE)</f>
        <v>Un</v>
      </c>
      <c r="E309" s="829">
        <v>1</v>
      </c>
      <c r="F309" s="256">
        <f>VLOOKUP(B309,'[1]BASE DE DATOS'!$A$5:$E$964,5,FALSE)</f>
        <v>163490</v>
      </c>
      <c r="G309" s="708">
        <v>0</v>
      </c>
      <c r="H309" s="252">
        <f>IF(G309&gt;0,(G309*F309*E309),(F309*E309))</f>
        <v>163490</v>
      </c>
      <c r="I309" s="926"/>
    </row>
    <row r="310" spans="1:9" s="826" customFormat="1" x14ac:dyDescent="0.2">
      <c r="A310" s="803" t="s">
        <v>2044</v>
      </c>
      <c r="B310" s="533" t="s">
        <v>811</v>
      </c>
      <c r="C310" s="827" t="s">
        <v>2098</v>
      </c>
      <c r="D310" s="828" t="s">
        <v>4136</v>
      </c>
      <c r="E310" s="829">
        <v>0.02</v>
      </c>
      <c r="F310" s="256">
        <f>[1]CONSTRUCCION!F96</f>
        <v>471394</v>
      </c>
      <c r="G310" s="708">
        <v>1.1000000000000001</v>
      </c>
      <c r="H310" s="252">
        <f>IF(G310&gt;0,(G310*F310*E310),(F310*E310))</f>
        <v>10370.668000000001</v>
      </c>
      <c r="I310" s="926"/>
    </row>
    <row r="311" spans="1:9" s="826" customFormat="1" x14ac:dyDescent="0.2">
      <c r="A311" s="280" t="s">
        <v>2555</v>
      </c>
      <c r="B311" s="534" t="s">
        <v>2667</v>
      </c>
      <c r="C311" s="827" t="s">
        <v>2600</v>
      </c>
      <c r="D311" s="828" t="s">
        <v>585</v>
      </c>
      <c r="E311" s="829">
        <v>1</v>
      </c>
      <c r="F311" s="256">
        <f>VLOOKUP(B311,'[1]BASE DE DATOS'!$A$5:$E$964,5,FALSE)</f>
        <v>319246</v>
      </c>
      <c r="G311" s="708">
        <f>2/3</f>
        <v>0.66666666666666663</v>
      </c>
      <c r="H311" s="252">
        <f t="shared" ref="H311:H312" si="9">IF(G311&gt;0,(G311*F311*E311),(F311*E311))</f>
        <v>212830.66666666666</v>
      </c>
      <c r="I311" s="926"/>
    </row>
    <row r="312" spans="1:9" s="826" customFormat="1" ht="15" thickBot="1" x14ac:dyDescent="0.25">
      <c r="A312" s="611" t="s">
        <v>293</v>
      </c>
      <c r="B312" s="536" t="s">
        <v>269</v>
      </c>
      <c r="C312" s="612" t="s">
        <v>284</v>
      </c>
      <c r="D312" s="613" t="s">
        <v>2199</v>
      </c>
      <c r="E312" s="724">
        <v>0.2</v>
      </c>
      <c r="F312" s="830">
        <f>H311</f>
        <v>212830.66666666666</v>
      </c>
      <c r="G312" s="723">
        <v>0</v>
      </c>
      <c r="H312" s="479">
        <f t="shared" si="9"/>
        <v>42566.133333333331</v>
      </c>
      <c r="I312" s="926"/>
    </row>
    <row r="313" spans="1:9" s="826" customFormat="1" ht="60" x14ac:dyDescent="0.2">
      <c r="A313" s="859" t="s">
        <v>2294</v>
      </c>
      <c r="B313" s="870"/>
      <c r="C313" s="264" t="s">
        <v>4145</v>
      </c>
      <c r="D313" s="265" t="s">
        <v>411</v>
      </c>
      <c r="E313" s="707"/>
      <c r="F313" s="259">
        <f>ROUND(SUM(H313:H320),0)</f>
        <v>277444</v>
      </c>
      <c r="G313" s="711"/>
      <c r="H313" s="250"/>
      <c r="I313" s="926"/>
    </row>
    <row r="314" spans="1:9" s="826" customFormat="1" x14ac:dyDescent="0.2">
      <c r="A314" s="1072" t="s">
        <v>295</v>
      </c>
      <c r="B314" s="533" t="s">
        <v>3991</v>
      </c>
      <c r="C314" s="827" t="s">
        <v>4137</v>
      </c>
      <c r="D314" s="828" t="s">
        <v>411</v>
      </c>
      <c r="E314" s="704">
        <v>1</v>
      </c>
      <c r="F314" s="256">
        <f>VLOOKUP(B314,'[1]BASE DE DATOS'!$A$5:$E$964,5,FALSE)</f>
        <v>3000</v>
      </c>
      <c r="G314" s="708">
        <v>1.03</v>
      </c>
      <c r="H314" s="252">
        <f t="shared" ref="H314:H319" si="10">IF(G314&gt;0,(G314*F314*E314),(F314*E314))</f>
        <v>3090</v>
      </c>
      <c r="I314" s="926"/>
    </row>
    <row r="315" spans="1:9" s="826" customFormat="1" x14ac:dyDescent="0.2">
      <c r="A315" s="1073"/>
      <c r="B315" s="533" t="s">
        <v>3990</v>
      </c>
      <c r="C315" s="827" t="s">
        <v>4138</v>
      </c>
      <c r="D315" s="828" t="s">
        <v>411</v>
      </c>
      <c r="E315" s="704">
        <v>1</v>
      </c>
      <c r="F315" s="256">
        <f>VLOOKUP(B315,'[1]BASE DE DATOS'!$A$5:$E$964,5,FALSE)</f>
        <v>3000</v>
      </c>
      <c r="G315" s="708">
        <v>1.03</v>
      </c>
      <c r="H315" s="252">
        <f t="shared" si="10"/>
        <v>3090</v>
      </c>
      <c r="I315" s="926"/>
    </row>
    <row r="316" spans="1:9" s="826" customFormat="1" x14ac:dyDescent="0.2">
      <c r="A316" s="1073"/>
      <c r="B316" s="860" t="s">
        <v>3993</v>
      </c>
      <c r="C316" s="827" t="s">
        <v>4140</v>
      </c>
      <c r="D316" s="828" t="s">
        <v>411</v>
      </c>
      <c r="E316" s="704">
        <v>1</v>
      </c>
      <c r="F316" s="256">
        <f>VLOOKUP(B316,'[1]BASE DE DATOS'!$A$5:$E$964,5,FALSE)</f>
        <v>6000</v>
      </c>
      <c r="G316" s="708">
        <v>0</v>
      </c>
      <c r="H316" s="252">
        <f t="shared" si="10"/>
        <v>6000</v>
      </c>
      <c r="I316" s="926"/>
    </row>
    <row r="317" spans="1:9" s="826" customFormat="1" x14ac:dyDescent="0.2">
      <c r="A317" s="1073"/>
      <c r="B317" s="860" t="s">
        <v>4046</v>
      </c>
      <c r="C317" s="827" t="s">
        <v>4141</v>
      </c>
      <c r="D317" s="828" t="s">
        <v>411</v>
      </c>
      <c r="E317" s="704">
        <v>12</v>
      </c>
      <c r="F317" s="256">
        <f>VLOOKUP(B317,'[1]BASE DE DATOS'!$A$5:$E$964,5,FALSE)</f>
        <v>500</v>
      </c>
      <c r="G317" s="708">
        <v>0</v>
      </c>
      <c r="H317" s="252">
        <f t="shared" si="10"/>
        <v>6000</v>
      </c>
      <c r="I317" s="926"/>
    </row>
    <row r="318" spans="1:9" s="826" customFormat="1" x14ac:dyDescent="0.2">
      <c r="A318" s="1073"/>
      <c r="B318" s="533" t="s">
        <v>3004</v>
      </c>
      <c r="C318" s="827" t="s">
        <v>3005</v>
      </c>
      <c r="D318" s="266" t="str">
        <f>VLOOKUP(B318,'[2]BASE DE DATOS'!$A$5:$E$961,3,FALSE)</f>
        <v>Un</v>
      </c>
      <c r="E318" s="704">
        <v>1</v>
      </c>
      <c r="F318" s="256">
        <f>VLOOKUP(B318,'[1]BASE DE DATOS'!$A$5:$E$964,5,FALSE)</f>
        <v>163490</v>
      </c>
      <c r="G318" s="708">
        <v>0</v>
      </c>
      <c r="H318" s="252">
        <f>IF(G318&gt;0,(G318*F318*E318),(F318*E318))</f>
        <v>163490</v>
      </c>
      <c r="I318" s="926"/>
    </row>
    <row r="319" spans="1:9" s="826" customFormat="1" x14ac:dyDescent="0.2">
      <c r="A319" s="280" t="s">
        <v>2555</v>
      </c>
      <c r="B319" s="534" t="s">
        <v>2667</v>
      </c>
      <c r="C319" s="822" t="s">
        <v>2600</v>
      </c>
      <c r="D319" s="266" t="s">
        <v>585</v>
      </c>
      <c r="E319" s="704">
        <v>1</v>
      </c>
      <c r="F319" s="256">
        <f>VLOOKUP(B319,'[1]BASE DE DATOS'!$A$5:$E$964,5,FALSE)</f>
        <v>319246</v>
      </c>
      <c r="G319" s="708">
        <f>1/3.5</f>
        <v>0.2857142857142857</v>
      </c>
      <c r="H319" s="252">
        <f t="shared" si="10"/>
        <v>91213.142857142855</v>
      </c>
      <c r="I319" s="926"/>
    </row>
    <row r="320" spans="1:9" s="826" customFormat="1" ht="15" thickBot="1" x14ac:dyDescent="0.25">
      <c r="A320" s="287" t="s">
        <v>293</v>
      </c>
      <c r="B320" s="535" t="s">
        <v>269</v>
      </c>
      <c r="C320" s="235" t="s">
        <v>4139</v>
      </c>
      <c r="D320" s="177" t="s">
        <v>2199</v>
      </c>
      <c r="E320" s="704">
        <v>0.05</v>
      </c>
      <c r="F320" s="251">
        <f>H319</f>
        <v>91213.142857142855</v>
      </c>
      <c r="G320" s="708">
        <v>0</v>
      </c>
      <c r="H320" s="252">
        <f>IF(G320&gt;0,(G320*F320*E320),(F320*E320))</f>
        <v>4560.6571428571433</v>
      </c>
      <c r="I320" s="926"/>
    </row>
    <row r="321" spans="1:9" s="826" customFormat="1" ht="90.75" customHeight="1" x14ac:dyDescent="0.2">
      <c r="A321" s="861" t="s">
        <v>2295</v>
      </c>
      <c r="B321" s="872"/>
      <c r="C321" s="264" t="s">
        <v>4144</v>
      </c>
      <c r="D321" s="265" t="s">
        <v>411</v>
      </c>
      <c r="E321" s="707"/>
      <c r="F321" s="259">
        <f>ROUND(SUM(H321:H329),0)</f>
        <v>641215</v>
      </c>
      <c r="G321" s="711"/>
      <c r="H321" s="250"/>
      <c r="I321" s="926"/>
    </row>
    <row r="322" spans="1:9" s="826" customFormat="1" x14ac:dyDescent="0.2">
      <c r="A322" s="1072" t="s">
        <v>295</v>
      </c>
      <c r="B322" s="533" t="s">
        <v>3991</v>
      </c>
      <c r="C322" s="827" t="s">
        <v>4137</v>
      </c>
      <c r="D322" s="828" t="s">
        <v>411</v>
      </c>
      <c r="E322" s="704">
        <v>1</v>
      </c>
      <c r="F322" s="256">
        <f>VLOOKUP(B322,'[1]BASE DE DATOS'!$A$5:$E$964,5,FALSE)</f>
        <v>3000</v>
      </c>
      <c r="G322" s="708">
        <v>1.03</v>
      </c>
      <c r="H322" s="252">
        <f t="shared" ref="H322:H346" si="11">IF(G322&gt;0,(G322*F322*E322),(F322*E322))</f>
        <v>3090</v>
      </c>
      <c r="I322" s="926"/>
    </row>
    <row r="323" spans="1:9" s="826" customFormat="1" x14ac:dyDescent="0.2">
      <c r="A323" s="1073"/>
      <c r="B323" s="533" t="s">
        <v>3990</v>
      </c>
      <c r="C323" s="827" t="s">
        <v>4138</v>
      </c>
      <c r="D323" s="828" t="s">
        <v>411</v>
      </c>
      <c r="E323" s="704">
        <v>1</v>
      </c>
      <c r="F323" s="256">
        <f>VLOOKUP(B323,'[1]BASE DE DATOS'!$A$5:$E$964,5,FALSE)</f>
        <v>3000</v>
      </c>
      <c r="G323" s="708">
        <v>1.03</v>
      </c>
      <c r="H323" s="252">
        <f t="shared" si="11"/>
        <v>3090</v>
      </c>
      <c r="I323" s="926"/>
    </row>
    <row r="324" spans="1:9" s="826" customFormat="1" x14ac:dyDescent="0.2">
      <c r="A324" s="1073"/>
      <c r="B324" s="860" t="s">
        <v>3993</v>
      </c>
      <c r="C324" s="827" t="s">
        <v>4140</v>
      </c>
      <c r="D324" s="828" t="s">
        <v>411</v>
      </c>
      <c r="E324" s="704">
        <v>1</v>
      </c>
      <c r="F324" s="256">
        <f>VLOOKUP(B324,'[1]BASE DE DATOS'!$A$5:$E$964,5,FALSE)</f>
        <v>6000</v>
      </c>
      <c r="G324" s="708">
        <v>0</v>
      </c>
      <c r="H324" s="252">
        <f t="shared" si="11"/>
        <v>6000</v>
      </c>
      <c r="I324" s="926"/>
    </row>
    <row r="325" spans="1:9" s="826" customFormat="1" x14ac:dyDescent="0.2">
      <c r="A325" s="1073"/>
      <c r="B325" s="860" t="s">
        <v>4046</v>
      </c>
      <c r="C325" s="827" t="s">
        <v>4141</v>
      </c>
      <c r="D325" s="828" t="s">
        <v>411</v>
      </c>
      <c r="E325" s="704">
        <v>12</v>
      </c>
      <c r="F325" s="256">
        <f>VLOOKUP(B325,'[1]BASE DE DATOS'!$A$5:$E$964,5,FALSE)</f>
        <v>500</v>
      </c>
      <c r="G325" s="708">
        <v>0</v>
      </c>
      <c r="H325" s="252">
        <f t="shared" si="11"/>
        <v>6000</v>
      </c>
      <c r="I325" s="926"/>
    </row>
    <row r="326" spans="1:9" s="826" customFormat="1" x14ac:dyDescent="0.2">
      <c r="A326" s="1073"/>
      <c r="B326" s="533" t="s">
        <v>3006</v>
      </c>
      <c r="C326" s="822" t="s">
        <v>3007</v>
      </c>
      <c r="D326" s="266" t="str">
        <f>VLOOKUP(B326,'[2]BASE DE DATOS'!$A$5:$E$961,3,FALSE)</f>
        <v>Un</v>
      </c>
      <c r="E326" s="704">
        <v>1</v>
      </c>
      <c r="F326" s="256">
        <f>VLOOKUP(B326,'[1]BASE DE DATOS'!$A$5:$E$964,5,FALSE)</f>
        <v>349900</v>
      </c>
      <c r="G326" s="708">
        <v>0</v>
      </c>
      <c r="H326" s="252">
        <f>IF(G326&gt;0,(G326*F326*E326),(F326*E326))</f>
        <v>349900</v>
      </c>
      <c r="I326" s="926"/>
    </row>
    <row r="327" spans="1:9" s="826" customFormat="1" x14ac:dyDescent="0.2">
      <c r="A327" s="803" t="s">
        <v>2044</v>
      </c>
      <c r="B327" s="533" t="s">
        <v>811</v>
      </c>
      <c r="C327" s="827" t="s">
        <v>2098</v>
      </c>
      <c r="D327" s="828" t="s">
        <v>4136</v>
      </c>
      <c r="E327" s="829">
        <v>0.02</v>
      </c>
      <c r="F327" s="256">
        <f>[1]CONSTRUCCION!F96</f>
        <v>471394</v>
      </c>
      <c r="G327" s="708">
        <v>1.1000000000000001</v>
      </c>
      <c r="H327" s="252">
        <f>IF(G327&gt;0,(G327*F327*E327),(F327*E327))</f>
        <v>10370.668000000001</v>
      </c>
      <c r="I327" s="926"/>
    </row>
    <row r="328" spans="1:9" s="826" customFormat="1" x14ac:dyDescent="0.2">
      <c r="A328" s="280" t="s">
        <v>2555</v>
      </c>
      <c r="B328" s="534" t="s">
        <v>2667</v>
      </c>
      <c r="C328" s="822" t="s">
        <v>2600</v>
      </c>
      <c r="D328" s="266" t="str">
        <f>VLOOKUP(B328,'[2]BASE DE DATOS'!$A$5:$E$961,3,FALSE)</f>
        <v>Día</v>
      </c>
      <c r="E328" s="704">
        <v>1</v>
      </c>
      <c r="F328" s="256">
        <f>VLOOKUP(B328,'[1]BASE DE DATOS'!$A$5:$E$964,5,FALSE)</f>
        <v>319246</v>
      </c>
      <c r="G328" s="708">
        <f>1/1.3</f>
        <v>0.76923076923076916</v>
      </c>
      <c r="H328" s="252">
        <f t="shared" si="11"/>
        <v>245573.84615384613</v>
      </c>
      <c r="I328" s="926"/>
    </row>
    <row r="329" spans="1:9" s="826" customFormat="1" ht="15" thickBot="1" x14ac:dyDescent="0.25">
      <c r="A329" s="287" t="s">
        <v>293</v>
      </c>
      <c r="B329" s="535" t="s">
        <v>269</v>
      </c>
      <c r="C329" s="235" t="s">
        <v>4139</v>
      </c>
      <c r="D329" s="177" t="s">
        <v>2199</v>
      </c>
      <c r="E329" s="704">
        <v>7.0000000000000007E-2</v>
      </c>
      <c r="F329" s="251">
        <f>H328</f>
        <v>245573.84615384613</v>
      </c>
      <c r="G329" s="708">
        <v>0</v>
      </c>
      <c r="H329" s="252">
        <f t="shared" si="11"/>
        <v>17190.169230769232</v>
      </c>
      <c r="I329" s="926"/>
    </row>
    <row r="330" spans="1:9" s="826" customFormat="1" ht="90" x14ac:dyDescent="0.2">
      <c r="A330" s="861" t="s">
        <v>2296</v>
      </c>
      <c r="B330" s="872"/>
      <c r="C330" s="264" t="s">
        <v>4143</v>
      </c>
      <c r="D330" s="265" t="s">
        <v>411</v>
      </c>
      <c r="E330" s="707"/>
      <c r="F330" s="259">
        <f>ROUND(SUM(H330:H337),0)</f>
        <v>479816</v>
      </c>
      <c r="G330" s="711"/>
      <c r="H330" s="250"/>
      <c r="I330" s="926"/>
    </row>
    <row r="331" spans="1:9" s="826" customFormat="1" x14ac:dyDescent="0.2">
      <c r="A331" s="1072" t="s">
        <v>295</v>
      </c>
      <c r="B331" s="533" t="s">
        <v>3991</v>
      </c>
      <c r="C331" s="827" t="s">
        <v>4137</v>
      </c>
      <c r="D331" s="828" t="s">
        <v>411</v>
      </c>
      <c r="E331" s="704">
        <v>1</v>
      </c>
      <c r="F331" s="256">
        <f>VLOOKUP(B331,'[1]BASE DE DATOS'!$A$5:$E$964,5,FALSE)</f>
        <v>3000</v>
      </c>
      <c r="G331" s="708">
        <v>1.03</v>
      </c>
      <c r="H331" s="252">
        <f t="shared" ref="H331:H337" si="12">IF(G331&gt;0,(G331*F331*E331),(F331*E331))</f>
        <v>3090</v>
      </c>
      <c r="I331" s="926"/>
    </row>
    <row r="332" spans="1:9" s="826" customFormat="1" x14ac:dyDescent="0.2">
      <c r="A332" s="1073"/>
      <c r="B332" s="533" t="s">
        <v>3990</v>
      </c>
      <c r="C332" s="827" t="s">
        <v>4138</v>
      </c>
      <c r="D332" s="828" t="s">
        <v>411</v>
      </c>
      <c r="E332" s="704">
        <v>1</v>
      </c>
      <c r="F332" s="256">
        <f>VLOOKUP(B332,'[1]BASE DE DATOS'!$A$5:$E$964,5,FALSE)</f>
        <v>3000</v>
      </c>
      <c r="G332" s="708">
        <v>1.03</v>
      </c>
      <c r="H332" s="252">
        <f t="shared" si="12"/>
        <v>3090</v>
      </c>
      <c r="I332" s="926"/>
    </row>
    <row r="333" spans="1:9" s="826" customFormat="1" x14ac:dyDescent="0.2">
      <c r="A333" s="1073"/>
      <c r="B333" s="860" t="s">
        <v>3993</v>
      </c>
      <c r="C333" s="827" t="s">
        <v>4140</v>
      </c>
      <c r="D333" s="828" t="s">
        <v>411</v>
      </c>
      <c r="E333" s="704">
        <v>1</v>
      </c>
      <c r="F333" s="256">
        <f>VLOOKUP(B333,'[1]BASE DE DATOS'!$A$5:$E$964,5,FALSE)</f>
        <v>6000</v>
      </c>
      <c r="G333" s="708">
        <v>0</v>
      </c>
      <c r="H333" s="252">
        <f t="shared" si="12"/>
        <v>6000</v>
      </c>
      <c r="I333" s="926"/>
    </row>
    <row r="334" spans="1:9" s="826" customFormat="1" x14ac:dyDescent="0.2">
      <c r="A334" s="1073"/>
      <c r="B334" s="860" t="s">
        <v>4046</v>
      </c>
      <c r="C334" s="827" t="s">
        <v>4141</v>
      </c>
      <c r="D334" s="828" t="s">
        <v>411</v>
      </c>
      <c r="E334" s="704">
        <v>12</v>
      </c>
      <c r="F334" s="256">
        <f>VLOOKUP(B334,'[1]BASE DE DATOS'!$A$5:$E$964,5,FALSE)</f>
        <v>500</v>
      </c>
      <c r="G334" s="708">
        <v>0</v>
      </c>
      <c r="H334" s="252">
        <f t="shared" si="12"/>
        <v>6000</v>
      </c>
      <c r="I334" s="926"/>
    </row>
    <row r="335" spans="1:9" s="826" customFormat="1" x14ac:dyDescent="0.2">
      <c r="A335" s="1073"/>
      <c r="B335" s="533" t="s">
        <v>3006</v>
      </c>
      <c r="C335" s="822" t="s">
        <v>3007</v>
      </c>
      <c r="D335" s="266" t="str">
        <f>VLOOKUP(B335,'[2]BASE DE DATOS'!$A$5:$E$961,3,FALSE)</f>
        <v>Un</v>
      </c>
      <c r="E335" s="704">
        <v>1</v>
      </c>
      <c r="F335" s="256">
        <f>VLOOKUP(B335,'[1]BASE DE DATOS'!$A$5:$E$964,5,FALSE)</f>
        <v>349900</v>
      </c>
      <c r="G335" s="708">
        <v>0</v>
      </c>
      <c r="H335" s="252">
        <f>IF(G335&gt;0,(G335*F335*E335),(F335*E335))</f>
        <v>349900</v>
      </c>
      <c r="I335" s="926"/>
    </row>
    <row r="336" spans="1:9" s="826" customFormat="1" x14ac:dyDescent="0.2">
      <c r="A336" s="280" t="s">
        <v>2555</v>
      </c>
      <c r="B336" s="534" t="s">
        <v>2667</v>
      </c>
      <c r="C336" s="822" t="str">
        <f>VLOOKUP(B336,'[2]BASE DE DATOS'!$A$5:$E$961,2,FALSE)</f>
        <v>Cuadrilla EE 1 Of E + 1 Ay E (jornal + prestaciones)</v>
      </c>
      <c r="D336" s="266" t="str">
        <f>VLOOKUP(B336,'[2]BASE DE DATOS'!$A$5:$E$961,3,FALSE)</f>
        <v>Día</v>
      </c>
      <c r="E336" s="704">
        <v>1</v>
      </c>
      <c r="F336" s="256">
        <f>VLOOKUP(B336,'[1]BASE DE DATOS'!$A$5:$E$964,5,FALSE)</f>
        <v>319246</v>
      </c>
      <c r="G336" s="708">
        <f>1/3</f>
        <v>0.33333333333333331</v>
      </c>
      <c r="H336" s="252">
        <f t="shared" si="12"/>
        <v>106415.33333333333</v>
      </c>
      <c r="I336" s="926"/>
    </row>
    <row r="337" spans="1:9" s="826" customFormat="1" ht="15" thickBot="1" x14ac:dyDescent="0.25">
      <c r="A337" s="287" t="s">
        <v>293</v>
      </c>
      <c r="B337" s="535" t="s">
        <v>269</v>
      </c>
      <c r="C337" s="235" t="s">
        <v>4139</v>
      </c>
      <c r="D337" s="177" t="s">
        <v>2199</v>
      </c>
      <c r="E337" s="704">
        <v>0.05</v>
      </c>
      <c r="F337" s="251">
        <f>H336</f>
        <v>106415.33333333333</v>
      </c>
      <c r="G337" s="708">
        <v>0</v>
      </c>
      <c r="H337" s="252">
        <f t="shared" si="12"/>
        <v>5320.7666666666664</v>
      </c>
      <c r="I337" s="926"/>
    </row>
    <row r="338" spans="1:9" s="826" customFormat="1" ht="105" x14ac:dyDescent="0.2">
      <c r="A338" s="861" t="s">
        <v>2297</v>
      </c>
      <c r="B338" s="872"/>
      <c r="C338" s="264" t="s">
        <v>4142</v>
      </c>
      <c r="D338" s="265" t="s">
        <v>411</v>
      </c>
      <c r="E338" s="707"/>
      <c r="F338" s="259">
        <f>ROUND(SUM(H338:H346),0)</f>
        <v>939082</v>
      </c>
      <c r="G338" s="711"/>
      <c r="H338" s="250"/>
      <c r="I338" s="926"/>
    </row>
    <row r="339" spans="1:9" s="826" customFormat="1" ht="14.25" customHeight="1" x14ac:dyDescent="0.2">
      <c r="A339" s="1072" t="s">
        <v>295</v>
      </c>
      <c r="B339" s="533" t="s">
        <v>3991</v>
      </c>
      <c r="C339" s="827" t="s">
        <v>4137</v>
      </c>
      <c r="D339" s="828" t="s">
        <v>411</v>
      </c>
      <c r="E339" s="704">
        <v>1</v>
      </c>
      <c r="F339" s="256">
        <f>VLOOKUP(B339,'[1]BASE DE DATOS'!$A$5:$E$964,5,FALSE)</f>
        <v>3000</v>
      </c>
      <c r="G339" s="708">
        <v>1.03</v>
      </c>
      <c r="H339" s="252">
        <f t="shared" si="11"/>
        <v>3090</v>
      </c>
      <c r="I339" s="926"/>
    </row>
    <row r="340" spans="1:9" s="826" customFormat="1" x14ac:dyDescent="0.2">
      <c r="A340" s="1073"/>
      <c r="B340" s="533" t="s">
        <v>3990</v>
      </c>
      <c r="C340" s="827" t="s">
        <v>4138</v>
      </c>
      <c r="D340" s="828" t="s">
        <v>411</v>
      </c>
      <c r="E340" s="704">
        <v>1</v>
      </c>
      <c r="F340" s="256">
        <f>VLOOKUP(B340,'[1]BASE DE DATOS'!$A$5:$E$964,5,FALSE)</f>
        <v>3000</v>
      </c>
      <c r="G340" s="708">
        <v>1.03</v>
      </c>
      <c r="H340" s="252">
        <f t="shared" si="11"/>
        <v>3090</v>
      </c>
      <c r="I340" s="926"/>
    </row>
    <row r="341" spans="1:9" s="826" customFormat="1" x14ac:dyDescent="0.2">
      <c r="A341" s="1073"/>
      <c r="B341" s="860" t="s">
        <v>3993</v>
      </c>
      <c r="C341" s="827" t="s">
        <v>4140</v>
      </c>
      <c r="D341" s="828" t="s">
        <v>411</v>
      </c>
      <c r="E341" s="704">
        <v>1</v>
      </c>
      <c r="F341" s="256">
        <f>VLOOKUP(B341,'[1]BASE DE DATOS'!$A$5:$E$964,5,FALSE)</f>
        <v>6000</v>
      </c>
      <c r="G341" s="708">
        <v>0</v>
      </c>
      <c r="H341" s="252">
        <f t="shared" si="11"/>
        <v>6000</v>
      </c>
      <c r="I341" s="926"/>
    </row>
    <row r="342" spans="1:9" s="826" customFormat="1" x14ac:dyDescent="0.2">
      <c r="A342" s="1073"/>
      <c r="B342" s="860" t="s">
        <v>4046</v>
      </c>
      <c r="C342" s="827" t="s">
        <v>4141</v>
      </c>
      <c r="D342" s="828" t="s">
        <v>411</v>
      </c>
      <c r="E342" s="704">
        <v>30</v>
      </c>
      <c r="F342" s="256">
        <f>VLOOKUP(B342,'[1]BASE DE DATOS'!$A$5:$E$964,5,FALSE)</f>
        <v>500</v>
      </c>
      <c r="G342" s="708">
        <v>0</v>
      </c>
      <c r="H342" s="252">
        <f t="shared" si="11"/>
        <v>15000</v>
      </c>
      <c r="I342" s="926"/>
    </row>
    <row r="343" spans="1:9" s="826" customFormat="1" x14ac:dyDescent="0.2">
      <c r="A343" s="1073"/>
      <c r="B343" s="533" t="s">
        <v>3010</v>
      </c>
      <c r="C343" s="822" t="s">
        <v>3011</v>
      </c>
      <c r="D343" s="266" t="str">
        <f>VLOOKUP(B343,'[2]BASE DE DATOS'!$A$5:$E$961,3,FALSE)</f>
        <v>Un</v>
      </c>
      <c r="E343" s="704">
        <v>1</v>
      </c>
      <c r="F343" s="256">
        <f>VLOOKUP(B343,'[1]BASE DE DATOS'!$A$5:$E$964,5,FALSE)</f>
        <v>599000</v>
      </c>
      <c r="G343" s="708">
        <v>0</v>
      </c>
      <c r="H343" s="252">
        <f>IF(G343&gt;0,(G343*F343*E343),(F343*E343))</f>
        <v>599000</v>
      </c>
      <c r="I343" s="926"/>
    </row>
    <row r="344" spans="1:9" s="826" customFormat="1" x14ac:dyDescent="0.2">
      <c r="A344" s="803" t="s">
        <v>2044</v>
      </c>
      <c r="B344" s="533" t="s">
        <v>811</v>
      </c>
      <c r="C344" s="822" t="str">
        <f>VLOOKUP(B344,[2]CONSTRUCCION!$A$5:$H$923,3,FALSE)</f>
        <v xml:space="preserve">Mortero 1:4 (Producción) </v>
      </c>
      <c r="D344" s="828" t="s">
        <v>4136</v>
      </c>
      <c r="E344" s="704">
        <v>2.1999999999999999E-2</v>
      </c>
      <c r="F344" s="256">
        <f>[1]CONSTRUCCION!F96</f>
        <v>471394</v>
      </c>
      <c r="G344" s="708">
        <v>1.1000000000000001</v>
      </c>
      <c r="H344" s="252">
        <f>IF(G344&gt;0,(G344*F344*E344),(F344*E344))</f>
        <v>11407.7348</v>
      </c>
      <c r="I344" s="926"/>
    </row>
    <row r="345" spans="1:9" s="826" customFormat="1" x14ac:dyDescent="0.2">
      <c r="A345" s="280" t="s">
        <v>2555</v>
      </c>
      <c r="B345" s="534" t="s">
        <v>2667</v>
      </c>
      <c r="C345" s="822" t="str">
        <f>VLOOKUP(B345,'[2]BASE DE DATOS'!$A$5:$E$961,2,FALSE)</f>
        <v>Cuadrilla EE 1 Of E + 1 Ay E (jornal + prestaciones)</v>
      </c>
      <c r="D345" s="266" t="str">
        <f>VLOOKUP(B345,'[2]BASE DE DATOS'!$A$5:$E$961,3,FALSE)</f>
        <v>Día</v>
      </c>
      <c r="E345" s="704">
        <v>1</v>
      </c>
      <c r="F345" s="256">
        <f>VLOOKUP(B345,'[1]BASE DE DATOS'!$A$5:$E$964,5,FALSE)</f>
        <v>319246</v>
      </c>
      <c r="G345" s="708">
        <f>1/1.133</f>
        <v>0.88261253309796994</v>
      </c>
      <c r="H345" s="252">
        <f t="shared" si="11"/>
        <v>281770.52074139449</v>
      </c>
      <c r="I345" s="926"/>
    </row>
    <row r="346" spans="1:9" s="826" customFormat="1" ht="15" thickBot="1" x14ac:dyDescent="0.25">
      <c r="A346" s="287" t="s">
        <v>293</v>
      </c>
      <c r="B346" s="535" t="s">
        <v>269</v>
      </c>
      <c r="C346" s="235" t="s">
        <v>4139</v>
      </c>
      <c r="D346" s="177" t="s">
        <v>2199</v>
      </c>
      <c r="E346" s="704">
        <v>7.0000000000000007E-2</v>
      </c>
      <c r="F346" s="251">
        <f>H345</f>
        <v>281770.52074139449</v>
      </c>
      <c r="G346" s="708">
        <v>0</v>
      </c>
      <c r="H346" s="252">
        <f t="shared" si="11"/>
        <v>19723.936451897614</v>
      </c>
      <c r="I346" s="926"/>
    </row>
    <row r="347" spans="1:9" s="826" customFormat="1" ht="78.75" customHeight="1" x14ac:dyDescent="0.2">
      <c r="A347" s="861" t="s">
        <v>2298</v>
      </c>
      <c r="B347" s="872"/>
      <c r="C347" s="264" t="s">
        <v>4147</v>
      </c>
      <c r="D347" s="265" t="s">
        <v>411</v>
      </c>
      <c r="E347" s="707"/>
      <c r="F347" s="259">
        <f>ROUND(SUM(H347:H354),0)</f>
        <v>760263</v>
      </c>
      <c r="G347" s="711"/>
      <c r="H347" s="250"/>
      <c r="I347" s="926"/>
    </row>
    <row r="348" spans="1:9" s="826" customFormat="1" ht="14.25" customHeight="1" x14ac:dyDescent="0.2">
      <c r="A348" s="1072" t="s">
        <v>295</v>
      </c>
      <c r="B348" s="533" t="s">
        <v>3991</v>
      </c>
      <c r="C348" s="827" t="s">
        <v>4137</v>
      </c>
      <c r="D348" s="828" t="s">
        <v>411</v>
      </c>
      <c r="E348" s="704">
        <v>1</v>
      </c>
      <c r="F348" s="256">
        <f>VLOOKUP(B348,'[1]BASE DE DATOS'!$A$5:$E$964,5,FALSE)</f>
        <v>3000</v>
      </c>
      <c r="G348" s="708">
        <v>1.03</v>
      </c>
      <c r="H348" s="252">
        <f t="shared" ref="H348:H354" si="13">IF(G348&gt;0,(G348*F348*E348),(F348*E348))</f>
        <v>3090</v>
      </c>
      <c r="I348" s="926"/>
    </row>
    <row r="349" spans="1:9" s="826" customFormat="1" x14ac:dyDescent="0.2">
      <c r="A349" s="1073"/>
      <c r="B349" s="533" t="s">
        <v>3990</v>
      </c>
      <c r="C349" s="827" t="s">
        <v>4138</v>
      </c>
      <c r="D349" s="828" t="s">
        <v>411</v>
      </c>
      <c r="E349" s="704">
        <v>1</v>
      </c>
      <c r="F349" s="256">
        <f>VLOOKUP(B349,'[1]BASE DE DATOS'!$A$5:$E$964,5,FALSE)</f>
        <v>3000</v>
      </c>
      <c r="G349" s="708">
        <v>1.03</v>
      </c>
      <c r="H349" s="252">
        <f t="shared" si="13"/>
        <v>3090</v>
      </c>
      <c r="I349" s="926"/>
    </row>
    <row r="350" spans="1:9" s="826" customFormat="1" x14ac:dyDescent="0.2">
      <c r="A350" s="1073"/>
      <c r="B350" s="860" t="s">
        <v>3993</v>
      </c>
      <c r="C350" s="827" t="s">
        <v>4140</v>
      </c>
      <c r="D350" s="828" t="s">
        <v>411</v>
      </c>
      <c r="E350" s="704">
        <v>1</v>
      </c>
      <c r="F350" s="256">
        <f>VLOOKUP(B350,'[1]BASE DE DATOS'!$A$5:$E$964,5,FALSE)</f>
        <v>6000</v>
      </c>
      <c r="G350" s="708">
        <v>0</v>
      </c>
      <c r="H350" s="252">
        <f t="shared" si="13"/>
        <v>6000</v>
      </c>
      <c r="I350" s="926"/>
    </row>
    <row r="351" spans="1:9" s="826" customFormat="1" x14ac:dyDescent="0.2">
      <c r="A351" s="1073"/>
      <c r="B351" s="860" t="s">
        <v>4046</v>
      </c>
      <c r="C351" s="827" t="s">
        <v>4141</v>
      </c>
      <c r="D351" s="828" t="s">
        <v>411</v>
      </c>
      <c r="E351" s="704">
        <v>30</v>
      </c>
      <c r="F351" s="256">
        <f>VLOOKUP(B351,'[1]BASE DE DATOS'!$A$5:$E$964,5,FALSE)</f>
        <v>500</v>
      </c>
      <c r="G351" s="708">
        <v>0</v>
      </c>
      <c r="H351" s="252">
        <f t="shared" si="13"/>
        <v>15000</v>
      </c>
      <c r="I351" s="926"/>
    </row>
    <row r="352" spans="1:9" s="826" customFormat="1" x14ac:dyDescent="0.2">
      <c r="A352" s="1073"/>
      <c r="B352" s="533" t="s">
        <v>3010</v>
      </c>
      <c r="C352" s="822" t="s">
        <v>3011</v>
      </c>
      <c r="D352" s="266" t="str">
        <f>VLOOKUP(B352,'[2]BASE DE DATOS'!$A$5:$E$961,3,FALSE)</f>
        <v>Un</v>
      </c>
      <c r="E352" s="704">
        <v>1</v>
      </c>
      <c r="F352" s="256">
        <f>VLOOKUP(B352,'[1]BASE DE DATOS'!$A$5:$E$964,5,FALSE)</f>
        <v>599000</v>
      </c>
      <c r="G352" s="708">
        <v>0</v>
      </c>
      <c r="H352" s="252">
        <f>IF(G352&gt;0,(G352*F352*E352),(F352*E352))</f>
        <v>599000</v>
      </c>
      <c r="I352" s="926"/>
    </row>
    <row r="353" spans="1:9" s="826" customFormat="1" x14ac:dyDescent="0.2">
      <c r="A353" s="280" t="s">
        <v>2555</v>
      </c>
      <c r="B353" s="534" t="s">
        <v>2667</v>
      </c>
      <c r="C353" s="822" t="str">
        <f>VLOOKUP(B353,'[2]BASE DE DATOS'!$A$5:$E$961,2,FALSE)</f>
        <v>Cuadrilla EE 1 Of E + 1 Ay E (jornal + prestaciones)</v>
      </c>
      <c r="D353" s="266" t="str">
        <f>VLOOKUP(B353,'[2]BASE DE DATOS'!$A$5:$E$961,3,FALSE)</f>
        <v>Día</v>
      </c>
      <c r="E353" s="704">
        <v>1</v>
      </c>
      <c r="F353" s="256">
        <f>VLOOKUP(B353,'[1]BASE DE DATOS'!$A$5:$E$964,5,FALSE)</f>
        <v>319246</v>
      </c>
      <c r="G353" s="708">
        <f>1/2.5</f>
        <v>0.4</v>
      </c>
      <c r="H353" s="252">
        <f t="shared" si="13"/>
        <v>127698.40000000001</v>
      </c>
      <c r="I353" s="926"/>
    </row>
    <row r="354" spans="1:9" s="826" customFormat="1" ht="15" thickBot="1" x14ac:dyDescent="0.25">
      <c r="A354" s="287" t="s">
        <v>293</v>
      </c>
      <c r="B354" s="535" t="s">
        <v>269</v>
      </c>
      <c r="C354" s="235" t="s">
        <v>4139</v>
      </c>
      <c r="D354" s="177" t="s">
        <v>2199</v>
      </c>
      <c r="E354" s="704">
        <v>0.05</v>
      </c>
      <c r="F354" s="251">
        <f>H353</f>
        <v>127698.40000000001</v>
      </c>
      <c r="G354" s="708">
        <v>0</v>
      </c>
      <c r="H354" s="252">
        <f t="shared" si="13"/>
        <v>6384.920000000001</v>
      </c>
      <c r="I354" s="926"/>
    </row>
    <row r="355" spans="1:9" s="826" customFormat="1" ht="101.25" customHeight="1" x14ac:dyDescent="0.2">
      <c r="A355" s="861" t="s">
        <v>2299</v>
      </c>
      <c r="B355" s="872"/>
      <c r="C355" s="264" t="s">
        <v>4148</v>
      </c>
      <c r="D355" s="265" t="s">
        <v>411</v>
      </c>
      <c r="E355" s="707"/>
      <c r="F355" s="259">
        <f>ROUND(SUM(H355:H363),0)</f>
        <v>1002546</v>
      </c>
      <c r="G355" s="711"/>
      <c r="H355" s="250"/>
      <c r="I355" s="926"/>
    </row>
    <row r="356" spans="1:9" s="826" customFormat="1" x14ac:dyDescent="0.2">
      <c r="A356" s="1072" t="s">
        <v>295</v>
      </c>
      <c r="B356" s="533" t="s">
        <v>3991</v>
      </c>
      <c r="C356" s="827" t="s">
        <v>4137</v>
      </c>
      <c r="D356" s="828" t="s">
        <v>411</v>
      </c>
      <c r="E356" s="704">
        <v>1</v>
      </c>
      <c r="F356" s="256">
        <f>VLOOKUP(B356,'[1]BASE DE DATOS'!$A$5:$E$964,5,FALSE)</f>
        <v>3000</v>
      </c>
      <c r="G356" s="708">
        <v>1.03</v>
      </c>
      <c r="H356" s="252">
        <f t="shared" ref="H356:H363" si="14">IF(G356&gt;0,(G356*F356*E356),(F356*E356))</f>
        <v>3090</v>
      </c>
      <c r="I356" s="926"/>
    </row>
    <row r="357" spans="1:9" s="826" customFormat="1" x14ac:dyDescent="0.2">
      <c r="A357" s="1073"/>
      <c r="B357" s="533" t="s">
        <v>3990</v>
      </c>
      <c r="C357" s="827" t="s">
        <v>4138</v>
      </c>
      <c r="D357" s="828" t="s">
        <v>411</v>
      </c>
      <c r="E357" s="704">
        <v>1</v>
      </c>
      <c r="F357" s="256">
        <f>VLOOKUP(B357,'[1]BASE DE DATOS'!$A$5:$E$964,5,FALSE)</f>
        <v>3000</v>
      </c>
      <c r="G357" s="708">
        <v>1.03</v>
      </c>
      <c r="H357" s="252">
        <f t="shared" si="14"/>
        <v>3090</v>
      </c>
      <c r="I357" s="926"/>
    </row>
    <row r="358" spans="1:9" s="826" customFormat="1" x14ac:dyDescent="0.2">
      <c r="A358" s="1073"/>
      <c r="B358" s="860" t="s">
        <v>3993</v>
      </c>
      <c r="C358" s="827" t="s">
        <v>4140</v>
      </c>
      <c r="D358" s="828" t="s">
        <v>411</v>
      </c>
      <c r="E358" s="704">
        <v>1</v>
      </c>
      <c r="F358" s="256">
        <f>VLOOKUP(B358,'[1]BASE DE DATOS'!$A$5:$E$964,5,FALSE)</f>
        <v>6000</v>
      </c>
      <c r="G358" s="708">
        <v>0</v>
      </c>
      <c r="H358" s="252">
        <f t="shared" si="14"/>
        <v>6000</v>
      </c>
      <c r="I358" s="926"/>
    </row>
    <row r="359" spans="1:9" s="826" customFormat="1" x14ac:dyDescent="0.2">
      <c r="A359" s="1073"/>
      <c r="B359" s="860" t="s">
        <v>4046</v>
      </c>
      <c r="C359" s="827" t="s">
        <v>4141</v>
      </c>
      <c r="D359" s="828" t="s">
        <v>411</v>
      </c>
      <c r="E359" s="704">
        <v>36</v>
      </c>
      <c r="F359" s="256">
        <f>VLOOKUP(B359,'[1]BASE DE DATOS'!$A$5:$E$964,5,FALSE)</f>
        <v>500</v>
      </c>
      <c r="G359" s="708">
        <v>0</v>
      </c>
      <c r="H359" s="252">
        <f t="shared" si="14"/>
        <v>18000</v>
      </c>
      <c r="I359" s="926"/>
    </row>
    <row r="360" spans="1:9" s="826" customFormat="1" x14ac:dyDescent="0.2">
      <c r="A360" s="1073"/>
      <c r="B360" s="533" t="s">
        <v>3012</v>
      </c>
      <c r="C360" s="822" t="s">
        <v>3013</v>
      </c>
      <c r="D360" s="266" t="str">
        <f>VLOOKUP(B360,'[2]BASE DE DATOS'!$A$5:$E$961,3,FALSE)</f>
        <v>Un</v>
      </c>
      <c r="E360" s="704">
        <v>1</v>
      </c>
      <c r="F360" s="256">
        <f>VLOOKUP(B360,'[1]BASE DE DATOS'!$A$5:$E$964,5,FALSE)</f>
        <v>649900</v>
      </c>
      <c r="G360" s="708">
        <v>0</v>
      </c>
      <c r="H360" s="252">
        <f>IF(G360&gt;0,(G360*F360*E360),(F360*E360))</f>
        <v>649900</v>
      </c>
      <c r="I360" s="926"/>
    </row>
    <row r="361" spans="1:9" s="826" customFormat="1" x14ac:dyDescent="0.2">
      <c r="A361" s="803" t="s">
        <v>2044</v>
      </c>
      <c r="B361" s="533" t="s">
        <v>811</v>
      </c>
      <c r="C361" s="822" t="s">
        <v>2098</v>
      </c>
      <c r="D361" s="828" t="s">
        <v>4136</v>
      </c>
      <c r="E361" s="704">
        <v>2.3E-2</v>
      </c>
      <c r="F361" s="256">
        <f>[1]CONSTRUCCION!F96</f>
        <v>471394</v>
      </c>
      <c r="G361" s="708">
        <v>1.1000000000000001</v>
      </c>
      <c r="H361" s="252">
        <f t="shared" si="14"/>
        <v>11926.2682</v>
      </c>
      <c r="I361" s="926"/>
    </row>
    <row r="362" spans="1:9" s="826" customFormat="1" x14ac:dyDescent="0.2">
      <c r="A362" s="280" t="s">
        <v>2555</v>
      </c>
      <c r="B362" s="534" t="s">
        <v>2667</v>
      </c>
      <c r="C362" s="822" t="s">
        <v>2600</v>
      </c>
      <c r="D362" s="266" t="str">
        <f>VLOOKUP(B362,'[2]BASE DE DATOS'!$A$5:$E$961,3,FALSE)</f>
        <v>Día</v>
      </c>
      <c r="E362" s="704">
        <v>1</v>
      </c>
      <c r="F362" s="256">
        <f>VLOOKUP(B362,'[1]BASE DE DATOS'!$A$5:$E$964,5,FALSE)</f>
        <v>319246</v>
      </c>
      <c r="G362" s="708">
        <f>1/1.1</f>
        <v>0.90909090909090906</v>
      </c>
      <c r="H362" s="252">
        <f t="shared" si="14"/>
        <v>290223.63636363635</v>
      </c>
      <c r="I362" s="926"/>
    </row>
    <row r="363" spans="1:9" s="826" customFormat="1" ht="15" thickBot="1" x14ac:dyDescent="0.25">
      <c r="A363" s="287" t="s">
        <v>293</v>
      </c>
      <c r="B363" s="535" t="s">
        <v>269</v>
      </c>
      <c r="C363" s="235" t="s">
        <v>4139</v>
      </c>
      <c r="D363" s="177" t="s">
        <v>2199</v>
      </c>
      <c r="E363" s="704">
        <v>7.0000000000000007E-2</v>
      </c>
      <c r="F363" s="251">
        <f>H362</f>
        <v>290223.63636363635</v>
      </c>
      <c r="G363" s="708">
        <v>0</v>
      </c>
      <c r="H363" s="252">
        <f t="shared" si="14"/>
        <v>20315.654545454545</v>
      </c>
      <c r="I363" s="926"/>
    </row>
    <row r="364" spans="1:9" s="826" customFormat="1" ht="90" x14ac:dyDescent="0.2">
      <c r="A364" s="861" t="s">
        <v>2300</v>
      </c>
      <c r="B364" s="872"/>
      <c r="C364" s="264" t="s">
        <v>4149</v>
      </c>
      <c r="D364" s="265" t="s">
        <v>411</v>
      </c>
      <c r="E364" s="707"/>
      <c r="F364" s="259">
        <f>ROUND(SUM(H364:H371),0)</f>
        <v>791704</v>
      </c>
      <c r="G364" s="711"/>
      <c r="H364" s="250"/>
      <c r="I364" s="926"/>
    </row>
    <row r="365" spans="1:9" s="826" customFormat="1" ht="14.25" customHeight="1" x14ac:dyDescent="0.2">
      <c r="A365" s="1072" t="s">
        <v>295</v>
      </c>
      <c r="B365" s="533" t="s">
        <v>3991</v>
      </c>
      <c r="C365" s="827" t="s">
        <v>4137</v>
      </c>
      <c r="D365" s="828" t="s">
        <v>411</v>
      </c>
      <c r="E365" s="704">
        <v>1</v>
      </c>
      <c r="F365" s="256">
        <f>VLOOKUP(B365,'[1]BASE DE DATOS'!$A$5:$E$964,5,FALSE)</f>
        <v>3000</v>
      </c>
      <c r="G365" s="708">
        <v>1.03</v>
      </c>
      <c r="H365" s="252">
        <f t="shared" ref="H365:H371" si="15">IF(G365&gt;0,(G365*F365*E365),(F365*E365))</f>
        <v>3090</v>
      </c>
      <c r="I365" s="926"/>
    </row>
    <row r="366" spans="1:9" s="826" customFormat="1" x14ac:dyDescent="0.2">
      <c r="A366" s="1073"/>
      <c r="B366" s="533" t="s">
        <v>3990</v>
      </c>
      <c r="C366" s="827" t="s">
        <v>4138</v>
      </c>
      <c r="D366" s="828" t="s">
        <v>411</v>
      </c>
      <c r="E366" s="704">
        <v>1</v>
      </c>
      <c r="F366" s="256">
        <f>VLOOKUP(B366,'[1]BASE DE DATOS'!$A$5:$E$964,5,FALSE)</f>
        <v>3000</v>
      </c>
      <c r="G366" s="708">
        <v>1.03</v>
      </c>
      <c r="H366" s="252">
        <f t="shared" si="15"/>
        <v>3090</v>
      </c>
      <c r="I366" s="926"/>
    </row>
    <row r="367" spans="1:9" s="826" customFormat="1" x14ac:dyDescent="0.2">
      <c r="A367" s="1073"/>
      <c r="B367" s="860" t="s">
        <v>3993</v>
      </c>
      <c r="C367" s="827" t="s">
        <v>4140</v>
      </c>
      <c r="D367" s="828" t="s">
        <v>411</v>
      </c>
      <c r="E367" s="704">
        <v>1</v>
      </c>
      <c r="F367" s="256">
        <f>VLOOKUP(B367,'[1]BASE DE DATOS'!$A$5:$E$964,5,FALSE)</f>
        <v>6000</v>
      </c>
      <c r="G367" s="708">
        <v>0</v>
      </c>
      <c r="H367" s="252">
        <f t="shared" si="15"/>
        <v>6000</v>
      </c>
      <c r="I367" s="926"/>
    </row>
    <row r="368" spans="1:9" s="826" customFormat="1" x14ac:dyDescent="0.2">
      <c r="A368" s="1073"/>
      <c r="B368" s="860" t="s">
        <v>4046</v>
      </c>
      <c r="C368" s="827" t="s">
        <v>4141</v>
      </c>
      <c r="D368" s="828" t="s">
        <v>411</v>
      </c>
      <c r="E368" s="704">
        <v>36</v>
      </c>
      <c r="F368" s="256">
        <f>VLOOKUP(B368,'[1]BASE DE DATOS'!$A$5:$E$964,5,FALSE)</f>
        <v>500</v>
      </c>
      <c r="G368" s="708">
        <v>0</v>
      </c>
      <c r="H368" s="252">
        <f t="shared" si="15"/>
        <v>18000</v>
      </c>
      <c r="I368" s="926"/>
    </row>
    <row r="369" spans="1:9" s="826" customFormat="1" x14ac:dyDescent="0.2">
      <c r="A369" s="1073"/>
      <c r="B369" s="533" t="s">
        <v>3012</v>
      </c>
      <c r="C369" s="822" t="s">
        <v>3013</v>
      </c>
      <c r="D369" s="266" t="str">
        <f>VLOOKUP(B369,'[2]BASE DE DATOS'!$A$5:$E$961,3,FALSE)</f>
        <v>Un</v>
      </c>
      <c r="E369" s="704">
        <v>1</v>
      </c>
      <c r="F369" s="256">
        <f>VLOOKUP(B369,'[1]BASE DE DATOS'!$A$5:$E$964,5,FALSE)</f>
        <v>649900</v>
      </c>
      <c r="G369" s="708">
        <v>0</v>
      </c>
      <c r="H369" s="252">
        <f>IF(G369&gt;0,(G369*F369*E369),(F369*E369))</f>
        <v>649900</v>
      </c>
      <c r="I369" s="926"/>
    </row>
    <row r="370" spans="1:9" s="826" customFormat="1" x14ac:dyDescent="0.2">
      <c r="A370" s="280" t="s">
        <v>2555</v>
      </c>
      <c r="B370" s="534" t="s">
        <v>2667</v>
      </c>
      <c r="C370" s="822" t="s">
        <v>2600</v>
      </c>
      <c r="D370" s="266" t="s">
        <v>585</v>
      </c>
      <c r="E370" s="704">
        <v>1</v>
      </c>
      <c r="F370" s="256">
        <f>VLOOKUP(B370,'[1]BASE DE DATOS'!$A$5:$E$964,5,FALSE)</f>
        <v>319246</v>
      </c>
      <c r="G370" s="708">
        <f>1/3.003</f>
        <v>0.33300033300033299</v>
      </c>
      <c r="H370" s="252">
        <f t="shared" si="15"/>
        <v>106309.0243090243</v>
      </c>
      <c r="I370" s="926"/>
    </row>
    <row r="371" spans="1:9" s="826" customFormat="1" ht="15" thickBot="1" x14ac:dyDescent="0.25">
      <c r="A371" s="287" t="s">
        <v>293</v>
      </c>
      <c r="B371" s="535" t="s">
        <v>269</v>
      </c>
      <c r="C371" s="235" t="s">
        <v>4139</v>
      </c>
      <c r="D371" s="177" t="s">
        <v>2199</v>
      </c>
      <c r="E371" s="704">
        <v>0.05</v>
      </c>
      <c r="F371" s="251">
        <f>H370</f>
        <v>106309.0243090243</v>
      </c>
      <c r="G371" s="708">
        <v>0</v>
      </c>
      <c r="H371" s="252">
        <f t="shared" si="15"/>
        <v>5315.4512154512158</v>
      </c>
      <c r="I371" s="926"/>
    </row>
    <row r="372" spans="1:9" s="826" customFormat="1" ht="95.25" customHeight="1" x14ac:dyDescent="0.2">
      <c r="A372" s="861" t="s">
        <v>2301</v>
      </c>
      <c r="B372" s="872"/>
      <c r="C372" s="264" t="s">
        <v>4150</v>
      </c>
      <c r="D372" s="265" t="s">
        <v>411</v>
      </c>
      <c r="E372" s="707"/>
      <c r="F372" s="259">
        <f>ROUND(SUM(H372:H380),0)</f>
        <v>920592</v>
      </c>
      <c r="G372" s="711"/>
      <c r="H372" s="250"/>
      <c r="I372" s="926"/>
    </row>
    <row r="373" spans="1:9" s="826" customFormat="1" ht="14.25" customHeight="1" x14ac:dyDescent="0.2">
      <c r="A373" s="1072" t="s">
        <v>295</v>
      </c>
      <c r="B373" s="533" t="s">
        <v>3991</v>
      </c>
      <c r="C373" s="827" t="s">
        <v>4137</v>
      </c>
      <c r="D373" s="828" t="s">
        <v>411</v>
      </c>
      <c r="E373" s="704">
        <v>1</v>
      </c>
      <c r="F373" s="256">
        <f>VLOOKUP(B373,'[1]BASE DE DATOS'!$A$5:$E$964,5,FALSE)</f>
        <v>3000</v>
      </c>
      <c r="G373" s="708">
        <v>1.03</v>
      </c>
      <c r="H373" s="252">
        <f t="shared" ref="H373:H380" si="16">IF(G373&gt;0,(G373*F373*E373),(F373*E373))</f>
        <v>3090</v>
      </c>
      <c r="I373" s="926"/>
    </row>
    <row r="374" spans="1:9" s="826" customFormat="1" x14ac:dyDescent="0.2">
      <c r="A374" s="1073"/>
      <c r="B374" s="533" t="s">
        <v>3990</v>
      </c>
      <c r="C374" s="827" t="s">
        <v>4138</v>
      </c>
      <c r="D374" s="828" t="s">
        <v>411</v>
      </c>
      <c r="E374" s="704">
        <v>1</v>
      </c>
      <c r="F374" s="256">
        <f>VLOOKUP(B374,'[1]BASE DE DATOS'!$A$5:$E$964,5,FALSE)</f>
        <v>3000</v>
      </c>
      <c r="G374" s="708">
        <v>1.03</v>
      </c>
      <c r="H374" s="252">
        <f t="shared" si="16"/>
        <v>3090</v>
      </c>
      <c r="I374" s="926"/>
    </row>
    <row r="375" spans="1:9" s="826" customFormat="1" x14ac:dyDescent="0.2">
      <c r="A375" s="1073"/>
      <c r="B375" s="860" t="s">
        <v>3993</v>
      </c>
      <c r="C375" s="827" t="s">
        <v>4140</v>
      </c>
      <c r="D375" s="828" t="s">
        <v>411</v>
      </c>
      <c r="E375" s="704">
        <v>1</v>
      </c>
      <c r="F375" s="256">
        <f>VLOOKUP(B375,'[1]BASE DE DATOS'!$A$5:$E$964,5,FALSE)</f>
        <v>6000</v>
      </c>
      <c r="G375" s="708">
        <v>0</v>
      </c>
      <c r="H375" s="252">
        <f t="shared" si="16"/>
        <v>6000</v>
      </c>
      <c r="I375" s="926"/>
    </row>
    <row r="376" spans="1:9" s="826" customFormat="1" x14ac:dyDescent="0.2">
      <c r="A376" s="1073"/>
      <c r="B376" s="860" t="s">
        <v>4046</v>
      </c>
      <c r="C376" s="827" t="s">
        <v>4141</v>
      </c>
      <c r="D376" s="828" t="s">
        <v>411</v>
      </c>
      <c r="E376" s="704">
        <v>42</v>
      </c>
      <c r="F376" s="256">
        <f>VLOOKUP(B376,'[1]BASE DE DATOS'!$A$5:$E$964,5,FALSE)</f>
        <v>500</v>
      </c>
      <c r="G376" s="708">
        <v>0</v>
      </c>
      <c r="H376" s="252">
        <f t="shared" si="16"/>
        <v>21000</v>
      </c>
      <c r="I376" s="926"/>
    </row>
    <row r="377" spans="1:9" s="826" customFormat="1" x14ac:dyDescent="0.2">
      <c r="A377" s="1073"/>
      <c r="B377" s="533" t="s">
        <v>3014</v>
      </c>
      <c r="C377" s="822" t="s">
        <v>3013</v>
      </c>
      <c r="D377" s="266" t="str">
        <f>VLOOKUP(B377,'[2]BASE DE DATOS'!$A$5:$E$961,3,FALSE)</f>
        <v>Un</v>
      </c>
      <c r="E377" s="704">
        <v>1</v>
      </c>
      <c r="F377" s="256">
        <f>VLOOKUP(B377,'[1]BASE DE DATOS'!$A$5:$E$964,5,FALSE)</f>
        <v>699900</v>
      </c>
      <c r="G377" s="708">
        <v>0</v>
      </c>
      <c r="H377" s="252">
        <f>IF(G377&gt;0,(G377*F377*E377),(F377*E377))</f>
        <v>699900</v>
      </c>
      <c r="I377" s="926"/>
    </row>
    <row r="378" spans="1:9" s="826" customFormat="1" x14ac:dyDescent="0.2">
      <c r="A378" s="803" t="s">
        <v>2044</v>
      </c>
      <c r="B378" s="533" t="s">
        <v>811</v>
      </c>
      <c r="C378" s="822" t="s">
        <v>2098</v>
      </c>
      <c r="D378" s="828" t="s">
        <v>4136</v>
      </c>
      <c r="E378" s="704">
        <v>2.3E-2</v>
      </c>
      <c r="F378" s="256">
        <f>[1]CONSTRUCCION!F96</f>
        <v>471394</v>
      </c>
      <c r="G378" s="708">
        <v>1.1000000000000001</v>
      </c>
      <c r="H378" s="252">
        <f t="shared" si="16"/>
        <v>11926.2682</v>
      </c>
      <c r="I378" s="926"/>
    </row>
    <row r="379" spans="1:9" s="826" customFormat="1" x14ac:dyDescent="0.2">
      <c r="A379" s="280" t="s">
        <v>2555</v>
      </c>
      <c r="B379" s="534" t="s">
        <v>2667</v>
      </c>
      <c r="C379" s="822" t="s">
        <v>2600</v>
      </c>
      <c r="D379" s="266" t="str">
        <f>VLOOKUP(B379,'[2]BASE DE DATOS'!$A$5:$E$961,3,FALSE)</f>
        <v>Día</v>
      </c>
      <c r="E379" s="704">
        <v>1</v>
      </c>
      <c r="F379" s="256">
        <f>VLOOKUP(B379,'[1]BASE DE DATOS'!$A$5:$E$964,5,FALSE)</f>
        <v>319246</v>
      </c>
      <c r="G379" s="708">
        <f>1/2</f>
        <v>0.5</v>
      </c>
      <c r="H379" s="252">
        <f t="shared" si="16"/>
        <v>159623</v>
      </c>
      <c r="I379" s="926"/>
    </row>
    <row r="380" spans="1:9" s="826" customFormat="1" ht="15" thickBot="1" x14ac:dyDescent="0.25">
      <c r="A380" s="287" t="s">
        <v>293</v>
      </c>
      <c r="B380" s="535" t="s">
        <v>269</v>
      </c>
      <c r="C380" s="235" t="s">
        <v>4139</v>
      </c>
      <c r="D380" s="177" t="s">
        <v>2199</v>
      </c>
      <c r="E380" s="704">
        <v>0.1</v>
      </c>
      <c r="F380" s="251">
        <f>H379</f>
        <v>159623</v>
      </c>
      <c r="G380" s="708">
        <v>0</v>
      </c>
      <c r="H380" s="252">
        <f t="shared" si="16"/>
        <v>15962.300000000001</v>
      </c>
      <c r="I380" s="926"/>
    </row>
    <row r="381" spans="1:9" s="826" customFormat="1" ht="90" x14ac:dyDescent="0.2">
      <c r="A381" s="861" t="s">
        <v>2302</v>
      </c>
      <c r="B381" s="872"/>
      <c r="C381" s="264" t="s">
        <v>4216</v>
      </c>
      <c r="D381" s="265" t="s">
        <v>411</v>
      </c>
      <c r="E381" s="707"/>
      <c r="F381" s="259">
        <f>ROUND(SUM(H381:H388),0)</f>
        <v>850020</v>
      </c>
      <c r="G381" s="711"/>
      <c r="H381" s="250"/>
      <c r="I381" s="926"/>
    </row>
    <row r="382" spans="1:9" s="826" customFormat="1" ht="14.25" customHeight="1" x14ac:dyDescent="0.2">
      <c r="A382" s="1072" t="s">
        <v>295</v>
      </c>
      <c r="B382" s="533" t="s">
        <v>3991</v>
      </c>
      <c r="C382" s="827" t="s">
        <v>4137</v>
      </c>
      <c r="D382" s="828" t="s">
        <v>411</v>
      </c>
      <c r="E382" s="704">
        <v>1</v>
      </c>
      <c r="F382" s="256">
        <f>VLOOKUP(B382,'[1]BASE DE DATOS'!$A$5:$E$964,5,FALSE)</f>
        <v>3000</v>
      </c>
      <c r="G382" s="708">
        <v>1.03</v>
      </c>
      <c r="H382" s="252">
        <f t="shared" ref="H382:H388" si="17">IF(G382&gt;0,(G382*F382*E382),(F382*E382))</f>
        <v>3090</v>
      </c>
      <c r="I382" s="926"/>
    </row>
    <row r="383" spans="1:9" s="826" customFormat="1" x14ac:dyDescent="0.2">
      <c r="A383" s="1073"/>
      <c r="B383" s="533" t="s">
        <v>3990</v>
      </c>
      <c r="C383" s="827" t="s">
        <v>4138</v>
      </c>
      <c r="D383" s="828" t="s">
        <v>411</v>
      </c>
      <c r="E383" s="704">
        <v>1</v>
      </c>
      <c r="F383" s="256">
        <f>VLOOKUP(B383,'[1]BASE DE DATOS'!$A$5:$E$964,5,FALSE)</f>
        <v>3000</v>
      </c>
      <c r="G383" s="708">
        <v>1.03</v>
      </c>
      <c r="H383" s="252">
        <f t="shared" si="17"/>
        <v>3090</v>
      </c>
      <c r="I383" s="926"/>
    </row>
    <row r="384" spans="1:9" s="826" customFormat="1" x14ac:dyDescent="0.2">
      <c r="A384" s="1073"/>
      <c r="B384" s="860" t="s">
        <v>3993</v>
      </c>
      <c r="C384" s="827" t="s">
        <v>4140</v>
      </c>
      <c r="D384" s="828" t="s">
        <v>411</v>
      </c>
      <c r="E384" s="704">
        <v>1</v>
      </c>
      <c r="F384" s="256">
        <f>VLOOKUP(B384,'[1]BASE DE DATOS'!$A$5:$E$964,5,FALSE)</f>
        <v>6000</v>
      </c>
      <c r="G384" s="708">
        <v>0</v>
      </c>
      <c r="H384" s="252">
        <f t="shared" si="17"/>
        <v>6000</v>
      </c>
      <c r="I384" s="926"/>
    </row>
    <row r="385" spans="1:9" s="826" customFormat="1" x14ac:dyDescent="0.2">
      <c r="A385" s="1073"/>
      <c r="B385" s="860" t="s">
        <v>4046</v>
      </c>
      <c r="C385" s="827" t="s">
        <v>4141</v>
      </c>
      <c r="D385" s="828" t="s">
        <v>411</v>
      </c>
      <c r="E385" s="704">
        <v>42</v>
      </c>
      <c r="F385" s="256">
        <f>VLOOKUP(B385,'[1]BASE DE DATOS'!$A$5:$E$964,5,FALSE)</f>
        <v>500</v>
      </c>
      <c r="G385" s="708">
        <v>0</v>
      </c>
      <c r="H385" s="252">
        <f t="shared" si="17"/>
        <v>21000</v>
      </c>
      <c r="I385" s="926"/>
    </row>
    <row r="386" spans="1:9" s="826" customFormat="1" x14ac:dyDescent="0.2">
      <c r="A386" s="1073"/>
      <c r="B386" s="533" t="s">
        <v>3014</v>
      </c>
      <c r="C386" s="822" t="s">
        <v>3013</v>
      </c>
      <c r="D386" s="266" t="str">
        <f>VLOOKUP(B386,'[2]BASE DE DATOS'!$A$5:$E$961,3,FALSE)</f>
        <v>Un</v>
      </c>
      <c r="E386" s="704">
        <v>1</v>
      </c>
      <c r="F386" s="256">
        <f>VLOOKUP(B386,'[1]BASE DE DATOS'!$A$5:$E$964,5,FALSE)</f>
        <v>699900</v>
      </c>
      <c r="G386" s="708">
        <v>0</v>
      </c>
      <c r="H386" s="252">
        <f>IF(G386&gt;0,(G386*F386*E386),(F386*E386))</f>
        <v>699900</v>
      </c>
      <c r="I386" s="926"/>
    </row>
    <row r="387" spans="1:9" s="826" customFormat="1" x14ac:dyDescent="0.2">
      <c r="A387" s="280" t="s">
        <v>2555</v>
      </c>
      <c r="B387" s="534" t="s">
        <v>2667</v>
      </c>
      <c r="C387" s="822" t="s">
        <v>2600</v>
      </c>
      <c r="D387" s="266" t="str">
        <f>VLOOKUP(B387,'[2]BASE DE DATOS'!$A$5:$E$961,3,FALSE)</f>
        <v>Día</v>
      </c>
      <c r="E387" s="704">
        <v>1</v>
      </c>
      <c r="F387" s="256">
        <f>VLOOKUP(B387,'[1]BASE DE DATOS'!$A$5:$E$964,5,FALSE)</f>
        <v>319246</v>
      </c>
      <c r="G387" s="708">
        <f>1/3.003</f>
        <v>0.33300033300033299</v>
      </c>
      <c r="H387" s="252">
        <f t="shared" si="17"/>
        <v>106309.0243090243</v>
      </c>
      <c r="I387" s="926"/>
    </row>
    <row r="388" spans="1:9" s="826" customFormat="1" ht="15" thickBot="1" x14ac:dyDescent="0.25">
      <c r="A388" s="287" t="s">
        <v>293</v>
      </c>
      <c r="B388" s="535" t="s">
        <v>269</v>
      </c>
      <c r="C388" s="235" t="s">
        <v>4139</v>
      </c>
      <c r="D388" s="177" t="s">
        <v>2199</v>
      </c>
      <c r="E388" s="704">
        <v>0.1</v>
      </c>
      <c r="F388" s="251">
        <f>H387</f>
        <v>106309.0243090243</v>
      </c>
      <c r="G388" s="708">
        <v>0</v>
      </c>
      <c r="H388" s="252">
        <f t="shared" si="17"/>
        <v>10630.902430902432</v>
      </c>
      <c r="I388" s="926"/>
    </row>
    <row r="389" spans="1:9" s="826" customFormat="1" ht="89.25" customHeight="1" x14ac:dyDescent="0.2">
      <c r="A389" s="861" t="s">
        <v>2303</v>
      </c>
      <c r="B389" s="872"/>
      <c r="C389" s="264" t="s">
        <v>4151</v>
      </c>
      <c r="D389" s="265" t="s">
        <v>411</v>
      </c>
      <c r="E389" s="707"/>
      <c r="F389" s="259">
        <f>ROUND(SUM(H389:H397),0)</f>
        <v>656045</v>
      </c>
      <c r="G389" s="711"/>
      <c r="H389" s="250"/>
      <c r="I389" s="926"/>
    </row>
    <row r="390" spans="1:9" s="826" customFormat="1" ht="14.25" customHeight="1" x14ac:dyDescent="0.2">
      <c r="A390" s="1072" t="s">
        <v>295</v>
      </c>
      <c r="B390" s="533" t="s">
        <v>3991</v>
      </c>
      <c r="C390" s="827" t="s">
        <v>4137</v>
      </c>
      <c r="D390" s="828" t="s">
        <v>411</v>
      </c>
      <c r="E390" s="704">
        <v>1</v>
      </c>
      <c r="F390" s="256">
        <f>VLOOKUP(B390,'[1]BASE DE DATOS'!$A$5:$E$964,5,FALSE)</f>
        <v>3000</v>
      </c>
      <c r="G390" s="708">
        <v>1.03</v>
      </c>
      <c r="H390" s="252">
        <f t="shared" ref="H390:H397" si="18">IF(G390&gt;0,(G390*F390*E390),(F390*E390))</f>
        <v>3090</v>
      </c>
      <c r="I390" s="926"/>
    </row>
    <row r="391" spans="1:9" s="826" customFormat="1" x14ac:dyDescent="0.2">
      <c r="A391" s="1073"/>
      <c r="B391" s="533" t="s">
        <v>3990</v>
      </c>
      <c r="C391" s="827" t="s">
        <v>4138</v>
      </c>
      <c r="D391" s="828" t="s">
        <v>411</v>
      </c>
      <c r="E391" s="704">
        <v>1</v>
      </c>
      <c r="F391" s="256">
        <f>VLOOKUP(B391,'[1]BASE DE DATOS'!$A$5:$E$964,5,FALSE)</f>
        <v>3000</v>
      </c>
      <c r="G391" s="708">
        <v>1.03</v>
      </c>
      <c r="H391" s="252">
        <f t="shared" si="18"/>
        <v>3090</v>
      </c>
      <c r="I391" s="926"/>
    </row>
    <row r="392" spans="1:9" s="826" customFormat="1" x14ac:dyDescent="0.2">
      <c r="A392" s="1073"/>
      <c r="B392" s="860" t="s">
        <v>3993</v>
      </c>
      <c r="C392" s="827" t="s">
        <v>4140</v>
      </c>
      <c r="D392" s="828" t="s">
        <v>411</v>
      </c>
      <c r="E392" s="704">
        <v>1</v>
      </c>
      <c r="F392" s="256">
        <f>VLOOKUP(B392,'[1]BASE DE DATOS'!$A$5:$E$964,5,FALSE)</f>
        <v>6000</v>
      </c>
      <c r="G392" s="708">
        <v>0</v>
      </c>
      <c r="H392" s="252">
        <f t="shared" si="18"/>
        <v>6000</v>
      </c>
      <c r="I392" s="926"/>
    </row>
    <row r="393" spans="1:9" s="826" customFormat="1" x14ac:dyDescent="0.2">
      <c r="A393" s="1073"/>
      <c r="B393" s="860" t="s">
        <v>4046</v>
      </c>
      <c r="C393" s="827" t="s">
        <v>4141</v>
      </c>
      <c r="D393" s="828" t="s">
        <v>411</v>
      </c>
      <c r="E393" s="704">
        <v>18</v>
      </c>
      <c r="F393" s="256">
        <f>VLOOKUP(B393,'[1]BASE DE DATOS'!$A$5:$E$964,5,FALSE)</f>
        <v>500</v>
      </c>
      <c r="G393" s="708">
        <v>0</v>
      </c>
      <c r="H393" s="252">
        <f t="shared" si="18"/>
        <v>9000</v>
      </c>
      <c r="I393" s="926"/>
    </row>
    <row r="394" spans="1:9" s="826" customFormat="1" x14ac:dyDescent="0.2">
      <c r="A394" s="1073"/>
      <c r="B394" s="533" t="s">
        <v>3008</v>
      </c>
      <c r="C394" s="822" t="s">
        <v>3009</v>
      </c>
      <c r="D394" s="266" t="str">
        <f>VLOOKUP(B394,'[2]BASE DE DATOS'!$A$5:$E$961,3,FALSE)</f>
        <v>Un</v>
      </c>
      <c r="E394" s="704">
        <v>1</v>
      </c>
      <c r="F394" s="256">
        <f>VLOOKUP(B394,'[1]BASE DE DATOS'!$A$5:$E$964,5,FALSE)</f>
        <v>505999</v>
      </c>
      <c r="G394" s="708">
        <v>0</v>
      </c>
      <c r="H394" s="252">
        <f>IF(G394&gt;0,(G394*F394*E394),(F394*E394))</f>
        <v>505999</v>
      </c>
      <c r="I394" s="926"/>
    </row>
    <row r="395" spans="1:9" s="826" customFormat="1" x14ac:dyDescent="0.2">
      <c r="A395" s="803" t="s">
        <v>2044</v>
      </c>
      <c r="B395" s="533" t="s">
        <v>811</v>
      </c>
      <c r="C395" s="822" t="s">
        <v>2098</v>
      </c>
      <c r="D395" s="828" t="s">
        <v>4136</v>
      </c>
      <c r="E395" s="704">
        <v>2.3E-2</v>
      </c>
      <c r="F395" s="256">
        <f>[1]CONSTRUCCION!F96</f>
        <v>471394</v>
      </c>
      <c r="G395" s="708">
        <v>1.1000000000000001</v>
      </c>
      <c r="H395" s="252">
        <f t="shared" si="18"/>
        <v>11926.2682</v>
      </c>
      <c r="I395" s="926"/>
    </row>
    <row r="396" spans="1:9" s="826" customFormat="1" x14ac:dyDescent="0.2">
      <c r="A396" s="280" t="s">
        <v>2555</v>
      </c>
      <c r="B396" s="534" t="s">
        <v>2667</v>
      </c>
      <c r="C396" s="822" t="s">
        <v>2600</v>
      </c>
      <c r="D396" s="266" t="str">
        <f>VLOOKUP(B396,'[2]BASE DE DATOS'!$A$5:$E$961,3,FALSE)</f>
        <v>Día</v>
      </c>
      <c r="E396" s="704">
        <v>1</v>
      </c>
      <c r="F396" s="256">
        <f>VLOOKUP(B396,'[1]BASE DE DATOS'!$A$5:$E$964,5,FALSE)</f>
        <v>319246</v>
      </c>
      <c r="G396" s="708">
        <f>1/3.003</f>
        <v>0.33300033300033299</v>
      </c>
      <c r="H396" s="252">
        <f t="shared" si="18"/>
        <v>106309.0243090243</v>
      </c>
      <c r="I396" s="926"/>
    </row>
    <row r="397" spans="1:9" s="826" customFormat="1" ht="15" thickBot="1" x14ac:dyDescent="0.25">
      <c r="A397" s="287" t="s">
        <v>293</v>
      </c>
      <c r="B397" s="535" t="s">
        <v>269</v>
      </c>
      <c r="C397" s="235" t="s">
        <v>4139</v>
      </c>
      <c r="D397" s="177" t="s">
        <v>2199</v>
      </c>
      <c r="E397" s="704">
        <v>0.1</v>
      </c>
      <c r="F397" s="251">
        <f>H396</f>
        <v>106309.0243090243</v>
      </c>
      <c r="G397" s="708">
        <v>0</v>
      </c>
      <c r="H397" s="252">
        <f t="shared" si="18"/>
        <v>10630.902430902432</v>
      </c>
      <c r="I397" s="926"/>
    </row>
    <row r="398" spans="1:9" s="826" customFormat="1" ht="90" x14ac:dyDescent="0.2">
      <c r="A398" s="861" t="s">
        <v>2304</v>
      </c>
      <c r="B398" s="872"/>
      <c r="C398" s="264" t="s">
        <v>4152</v>
      </c>
      <c r="D398" s="265" t="s">
        <v>411</v>
      </c>
      <c r="E398" s="707"/>
      <c r="F398" s="259">
        <f>ROUND(SUM(H398:H405),0)</f>
        <v>597413</v>
      </c>
      <c r="G398" s="711"/>
      <c r="H398" s="250"/>
      <c r="I398" s="926"/>
    </row>
    <row r="399" spans="1:9" s="826" customFormat="1" ht="14.25" customHeight="1" x14ac:dyDescent="0.2">
      <c r="A399" s="1072" t="s">
        <v>295</v>
      </c>
      <c r="B399" s="533" t="s">
        <v>3991</v>
      </c>
      <c r="C399" s="827" t="s">
        <v>4137</v>
      </c>
      <c r="D399" s="828" t="s">
        <v>411</v>
      </c>
      <c r="E399" s="829">
        <v>1</v>
      </c>
      <c r="F399" s="256">
        <f>VLOOKUP(B399,'[1]BASE DE DATOS'!$A$5:$E$964,5,FALSE)</f>
        <v>3000</v>
      </c>
      <c r="G399" s="708">
        <v>1.03</v>
      </c>
      <c r="H399" s="252">
        <f t="shared" ref="H399:H405" si="19">IF(G399&gt;0,(G399*F399*E399),(F399*E399))</f>
        <v>3090</v>
      </c>
      <c r="I399" s="926"/>
    </row>
    <row r="400" spans="1:9" s="826" customFormat="1" x14ac:dyDescent="0.2">
      <c r="A400" s="1073"/>
      <c r="B400" s="533" t="s">
        <v>3990</v>
      </c>
      <c r="C400" s="827" t="s">
        <v>4138</v>
      </c>
      <c r="D400" s="828" t="s">
        <v>411</v>
      </c>
      <c r="E400" s="829">
        <v>1</v>
      </c>
      <c r="F400" s="256">
        <f>VLOOKUP(B400,'[1]BASE DE DATOS'!$A$5:$E$964,5,FALSE)</f>
        <v>3000</v>
      </c>
      <c r="G400" s="708">
        <v>1.03</v>
      </c>
      <c r="H400" s="252">
        <f t="shared" si="19"/>
        <v>3090</v>
      </c>
      <c r="I400" s="926"/>
    </row>
    <row r="401" spans="1:9" s="826" customFormat="1" x14ac:dyDescent="0.2">
      <c r="A401" s="1073"/>
      <c r="B401" s="860" t="s">
        <v>3993</v>
      </c>
      <c r="C401" s="827" t="s">
        <v>4140</v>
      </c>
      <c r="D401" s="828" t="s">
        <v>411</v>
      </c>
      <c r="E401" s="829">
        <v>1</v>
      </c>
      <c r="F401" s="256">
        <f>VLOOKUP(B401,'[1]BASE DE DATOS'!$A$5:$E$964,5,FALSE)</f>
        <v>6000</v>
      </c>
      <c r="G401" s="708">
        <v>0</v>
      </c>
      <c r="H401" s="252">
        <f t="shared" si="19"/>
        <v>6000</v>
      </c>
      <c r="I401" s="926"/>
    </row>
    <row r="402" spans="1:9" s="826" customFormat="1" x14ac:dyDescent="0.2">
      <c r="A402" s="1073"/>
      <c r="B402" s="860" t="s">
        <v>4046</v>
      </c>
      <c r="C402" s="827" t="s">
        <v>4141</v>
      </c>
      <c r="D402" s="828" t="s">
        <v>411</v>
      </c>
      <c r="E402" s="829">
        <v>18</v>
      </c>
      <c r="F402" s="256">
        <f>VLOOKUP(B402,'[1]BASE DE DATOS'!$A$5:$E$964,5,FALSE)</f>
        <v>500</v>
      </c>
      <c r="G402" s="708">
        <v>0</v>
      </c>
      <c r="H402" s="252">
        <f t="shared" si="19"/>
        <v>9000</v>
      </c>
      <c r="I402" s="926"/>
    </row>
    <row r="403" spans="1:9" s="826" customFormat="1" x14ac:dyDescent="0.2">
      <c r="A403" s="1073"/>
      <c r="B403" s="533" t="s">
        <v>3008</v>
      </c>
      <c r="C403" s="822" t="s">
        <v>3009</v>
      </c>
      <c r="D403" s="828" t="str">
        <f>VLOOKUP(B403,'[2]BASE DE DATOS'!$A$5:$E$961,3,FALSE)</f>
        <v>Un</v>
      </c>
      <c r="E403" s="829">
        <v>1</v>
      </c>
      <c r="F403" s="256">
        <f>VLOOKUP(B403,'[1]BASE DE DATOS'!$A$5:$E$964,5,FALSE)</f>
        <v>505999</v>
      </c>
      <c r="G403" s="708">
        <v>0</v>
      </c>
      <c r="H403" s="252">
        <f>IF(G403&gt;0,(G403*F403*E403),(F403*E403))</f>
        <v>505999</v>
      </c>
      <c r="I403" s="926"/>
    </row>
    <row r="404" spans="1:9" s="826" customFormat="1" x14ac:dyDescent="0.2">
      <c r="A404" s="280" t="s">
        <v>2555</v>
      </c>
      <c r="B404" s="534" t="s">
        <v>2667</v>
      </c>
      <c r="C404" s="827" t="s">
        <v>2600</v>
      </c>
      <c r="D404" s="828" t="str">
        <f>VLOOKUP(B404,'[2]BASE DE DATOS'!$A$5:$E$961,3,FALSE)</f>
        <v>Día</v>
      </c>
      <c r="E404" s="829">
        <v>1</v>
      </c>
      <c r="F404" s="256">
        <f>VLOOKUP(B404,'[1]BASE DE DATOS'!$A$5:$E$964,5,FALSE)</f>
        <v>319246</v>
      </c>
      <c r="G404" s="708">
        <f>1/5</f>
        <v>0.2</v>
      </c>
      <c r="H404" s="252">
        <f t="shared" si="19"/>
        <v>63849.200000000004</v>
      </c>
      <c r="I404" s="926"/>
    </row>
    <row r="405" spans="1:9" s="826" customFormat="1" ht="15" thickBot="1" x14ac:dyDescent="0.25">
      <c r="A405" s="611" t="s">
        <v>293</v>
      </c>
      <c r="B405" s="536" t="s">
        <v>269</v>
      </c>
      <c r="C405" s="833" t="s">
        <v>4139</v>
      </c>
      <c r="D405" s="613" t="s">
        <v>2199</v>
      </c>
      <c r="E405" s="724">
        <v>0.1</v>
      </c>
      <c r="F405" s="614">
        <f>H404</f>
        <v>63849.200000000004</v>
      </c>
      <c r="G405" s="723">
        <v>0</v>
      </c>
      <c r="H405" s="479">
        <f t="shared" si="19"/>
        <v>6384.920000000001</v>
      </c>
      <c r="I405" s="926"/>
    </row>
    <row r="406" spans="1:9" ht="60" x14ac:dyDescent="0.2">
      <c r="A406" s="524" t="s">
        <v>2306</v>
      </c>
      <c r="B406" s="872"/>
      <c r="C406" s="264" t="s">
        <v>4153</v>
      </c>
      <c r="D406" s="265" t="s">
        <v>411</v>
      </c>
      <c r="E406" s="707"/>
      <c r="F406" s="259">
        <f>ROUND(SUM(H406:H409),0)</f>
        <v>26939</v>
      </c>
      <c r="G406" s="711"/>
      <c r="H406" s="250"/>
    </row>
    <row r="407" spans="1:9" s="818" customFormat="1" ht="12.75" x14ac:dyDescent="0.2">
      <c r="A407" s="801" t="s">
        <v>382</v>
      </c>
      <c r="B407" s="533" t="s">
        <v>1397</v>
      </c>
      <c r="C407" s="827" t="s">
        <v>2807</v>
      </c>
      <c r="D407" s="828" t="s">
        <v>411</v>
      </c>
      <c r="E407" s="829">
        <v>1</v>
      </c>
      <c r="F407" s="256">
        <f>VLOOKUP(B407,'[1]BASE DE DATOS'!$A$5:$E$964,5,FALSE)</f>
        <v>17500</v>
      </c>
      <c r="G407" s="708">
        <v>0</v>
      </c>
      <c r="H407" s="252">
        <f t="shared" ref="H407:H590" si="20">IF(G407&gt;0,(G407*F407*E407),(F407*E407))</f>
        <v>17500</v>
      </c>
      <c r="I407" s="924"/>
    </row>
    <row r="408" spans="1:9" s="818" customFormat="1" ht="12.75" x14ac:dyDescent="0.2">
      <c r="A408" s="280" t="s">
        <v>2555</v>
      </c>
      <c r="B408" s="534" t="s">
        <v>2667</v>
      </c>
      <c r="C408" s="827" t="s">
        <v>2600</v>
      </c>
      <c r="D408" s="828" t="s">
        <v>585</v>
      </c>
      <c r="E408" s="829">
        <v>1</v>
      </c>
      <c r="F408" s="256">
        <f>VLOOKUP(B408,'[1]BASE DE DATOS'!$A$5:$E$964,5,FALSE)</f>
        <v>319246</v>
      </c>
      <c r="G408" s="708">
        <f>1/34.5</f>
        <v>2.8985507246376812E-2</v>
      </c>
      <c r="H408" s="252">
        <f t="shared" si="20"/>
        <v>9253.507246376812</v>
      </c>
      <c r="I408" s="924"/>
    </row>
    <row r="409" spans="1:9" s="818" customFormat="1" ht="13.5" thickBot="1" x14ac:dyDescent="0.25">
      <c r="A409" s="611" t="s">
        <v>293</v>
      </c>
      <c r="B409" s="536" t="s">
        <v>269</v>
      </c>
      <c r="C409" s="612" t="s">
        <v>284</v>
      </c>
      <c r="D409" s="613" t="s">
        <v>2199</v>
      </c>
      <c r="E409" s="724">
        <v>0.02</v>
      </c>
      <c r="F409" s="830">
        <f>H408</f>
        <v>9253.507246376812</v>
      </c>
      <c r="G409" s="723">
        <v>0</v>
      </c>
      <c r="H409" s="479">
        <f t="shared" si="20"/>
        <v>185.07014492753623</v>
      </c>
      <c r="I409" s="924"/>
    </row>
    <row r="410" spans="1:9" s="831" customFormat="1" ht="60" x14ac:dyDescent="0.2">
      <c r="A410" s="863" t="s">
        <v>2308</v>
      </c>
      <c r="B410" s="872"/>
      <c r="C410" s="264" t="s">
        <v>4154</v>
      </c>
      <c r="D410" s="265" t="s">
        <v>411</v>
      </c>
      <c r="E410" s="707"/>
      <c r="F410" s="259">
        <f>ROUND(SUM(H410:H415),0)</f>
        <v>27871</v>
      </c>
      <c r="G410" s="711"/>
      <c r="H410" s="250"/>
      <c r="I410" s="924"/>
    </row>
    <row r="411" spans="1:9" s="831" customFormat="1" ht="12.75" x14ac:dyDescent="0.2">
      <c r="A411" s="1071" t="s">
        <v>382</v>
      </c>
      <c r="B411" s="533" t="s">
        <v>4065</v>
      </c>
      <c r="C411" s="822" t="s">
        <v>4155</v>
      </c>
      <c r="D411" s="266" t="str">
        <f>VLOOKUP(B411,'[2]BASE DE DATOS'!$A$5:$E$961,3,FALSE)</f>
        <v>Un</v>
      </c>
      <c r="E411" s="704">
        <v>3</v>
      </c>
      <c r="F411" s="256">
        <f>VLOOKUP(B411,'[1]BASE DE DATOS'!$A$5:$E$964,5,FALSE)</f>
        <v>36</v>
      </c>
      <c r="G411" s="708">
        <v>1.333</v>
      </c>
      <c r="H411" s="252">
        <f t="shared" ref="H411:H415" si="21">IF(G411&gt;0,(G411*F411*E411),(F411*E411))</f>
        <v>143.964</v>
      </c>
      <c r="I411" s="924"/>
    </row>
    <row r="412" spans="1:9" s="831" customFormat="1" ht="12.75" x14ac:dyDescent="0.2">
      <c r="A412" s="1071"/>
      <c r="B412" s="533" t="s">
        <v>4063</v>
      </c>
      <c r="C412" s="822" t="s">
        <v>4064</v>
      </c>
      <c r="D412" s="266" t="str">
        <f>VLOOKUP(B412,'[2]BASE DE DATOS'!$A$5:$E$961,3,FALSE)</f>
        <v>Un</v>
      </c>
      <c r="E412" s="704">
        <v>3</v>
      </c>
      <c r="F412" s="256">
        <f>VLOOKUP(B412,'[1]BASE DE DATOS'!$A$5:$E$964,5,FALSE)</f>
        <v>55.57</v>
      </c>
      <c r="G412" s="708">
        <v>1.5</v>
      </c>
      <c r="H412" s="252">
        <f>IF(G412&gt;0,(G412*F412*E412),(F412*E412))</f>
        <v>250.065</v>
      </c>
      <c r="I412" s="924"/>
    </row>
    <row r="413" spans="1:9" s="831" customFormat="1" ht="25.5" x14ac:dyDescent="0.2">
      <c r="A413" s="1071"/>
      <c r="B413" s="533" t="s">
        <v>4047</v>
      </c>
      <c r="C413" s="279" t="s">
        <v>4050</v>
      </c>
      <c r="D413" s="266" t="str">
        <f>VLOOKUP(B413,'[2]BASE DE DATOS'!$A$5:$E$961,3,FALSE)</f>
        <v>Un</v>
      </c>
      <c r="E413" s="704">
        <v>1</v>
      </c>
      <c r="F413" s="256">
        <f>VLOOKUP(B413,'[1]BASE DE DATOS'!$A$5:$E$964,5,FALSE)</f>
        <v>17900</v>
      </c>
      <c r="G413" s="708">
        <v>0</v>
      </c>
      <c r="H413" s="252">
        <f>IF(G413&gt;0,(G413*F413*E413),(F413*E413))</f>
        <v>17900</v>
      </c>
      <c r="I413" s="924"/>
    </row>
    <row r="414" spans="1:9" s="831" customFormat="1" ht="12.75" x14ac:dyDescent="0.2">
      <c r="A414" s="280" t="s">
        <v>2555</v>
      </c>
      <c r="B414" s="534" t="s">
        <v>2667</v>
      </c>
      <c r="C414" s="822" t="s">
        <v>2600</v>
      </c>
      <c r="D414" s="266" t="str">
        <f>VLOOKUP(B414,'[2]BASE DE DATOS'!$A$5:$E$961,3,FALSE)</f>
        <v>Día</v>
      </c>
      <c r="E414" s="704">
        <v>1</v>
      </c>
      <c r="F414" s="256">
        <f>VLOOKUP(B414,'[1]BASE DE DATOS'!$A$5:$E$964,5,FALSE)</f>
        <v>319246</v>
      </c>
      <c r="G414" s="708">
        <f>1/35</f>
        <v>2.8571428571428571E-2</v>
      </c>
      <c r="H414" s="252">
        <f t="shared" si="21"/>
        <v>9121.3142857142848</v>
      </c>
      <c r="I414" s="924"/>
    </row>
    <row r="415" spans="1:9" s="831" customFormat="1" ht="13.5" thickBot="1" x14ac:dyDescent="0.25">
      <c r="A415" s="287" t="s">
        <v>293</v>
      </c>
      <c r="B415" s="535" t="s">
        <v>269</v>
      </c>
      <c r="C415" s="612" t="s">
        <v>284</v>
      </c>
      <c r="D415" s="177" t="s">
        <v>2199</v>
      </c>
      <c r="E415" s="724">
        <v>0.05</v>
      </c>
      <c r="F415" s="256">
        <f>H414</f>
        <v>9121.3142857142848</v>
      </c>
      <c r="G415" s="708">
        <v>0</v>
      </c>
      <c r="H415" s="252">
        <f t="shared" si="21"/>
        <v>456.06571428571425</v>
      </c>
      <c r="I415" s="924"/>
    </row>
    <row r="416" spans="1:9" s="831" customFormat="1" ht="30" x14ac:dyDescent="0.2">
      <c r="A416" s="864" t="s">
        <v>2309</v>
      </c>
      <c r="B416" s="872"/>
      <c r="C416" s="264" t="s">
        <v>4048</v>
      </c>
      <c r="D416" s="265" t="s">
        <v>411</v>
      </c>
      <c r="E416" s="707"/>
      <c r="F416" s="259">
        <f>ROUND(SUM(H416:H421),0)</f>
        <v>32871</v>
      </c>
      <c r="G416" s="711"/>
      <c r="H416" s="250"/>
      <c r="I416" s="924"/>
    </row>
    <row r="417" spans="1:9" s="831" customFormat="1" ht="12.75" x14ac:dyDescent="0.2">
      <c r="A417" s="1071" t="s">
        <v>382</v>
      </c>
      <c r="B417" s="533" t="s">
        <v>4065</v>
      </c>
      <c r="C417" s="822" t="s">
        <v>4155</v>
      </c>
      <c r="D417" s="266" t="str">
        <f>VLOOKUP(B417,'[2]BASE DE DATOS'!$A$5:$E$961,3,FALSE)</f>
        <v>Un</v>
      </c>
      <c r="E417" s="704">
        <v>3</v>
      </c>
      <c r="F417" s="256">
        <f>VLOOKUP(B417,'[1]BASE DE DATOS'!$A$5:$E$964,5,FALSE)</f>
        <v>36</v>
      </c>
      <c r="G417" s="708">
        <v>1.333</v>
      </c>
      <c r="H417" s="252">
        <f>IF(G417&gt;0,(G417*F417*E417),(F417*E417))</f>
        <v>143.964</v>
      </c>
      <c r="I417" s="924"/>
    </row>
    <row r="418" spans="1:9" s="831" customFormat="1" ht="12.75" x14ac:dyDescent="0.2">
      <c r="A418" s="1071"/>
      <c r="B418" s="533" t="s">
        <v>4063</v>
      </c>
      <c r="C418" s="822" t="s">
        <v>4064</v>
      </c>
      <c r="D418" s="266" t="str">
        <f>VLOOKUP(B418,'[2]BASE DE DATOS'!$A$5:$E$961,3,FALSE)</f>
        <v>Un</v>
      </c>
      <c r="E418" s="704">
        <v>3</v>
      </c>
      <c r="F418" s="256">
        <f>VLOOKUP(B418,'[1]BASE DE DATOS'!$A$5:$E$964,5,FALSE)</f>
        <v>55.57</v>
      </c>
      <c r="G418" s="708">
        <v>1.5</v>
      </c>
      <c r="H418" s="252">
        <f t="shared" ref="H418:H421" si="22">IF(G418&gt;0,(G418*F418*E418),(F418*E418))</f>
        <v>250.065</v>
      </c>
      <c r="I418" s="924"/>
    </row>
    <row r="419" spans="1:9" s="831" customFormat="1" ht="25.5" x14ac:dyDescent="0.2">
      <c r="A419" s="1071"/>
      <c r="B419" s="533" t="s">
        <v>4049</v>
      </c>
      <c r="C419" s="279" t="s">
        <v>4050</v>
      </c>
      <c r="D419" s="266" t="str">
        <f>VLOOKUP(B419,'[2]BASE DE DATOS'!$A$5:$E$961,3,FALSE)</f>
        <v>Un</v>
      </c>
      <c r="E419" s="704">
        <v>1</v>
      </c>
      <c r="F419" s="256">
        <f>VLOOKUP(B419,'[1]BASE DE DATOS'!$A$5:$E$964,5,FALSE)</f>
        <v>22900</v>
      </c>
      <c r="G419" s="708">
        <v>0</v>
      </c>
      <c r="H419" s="252">
        <f>IF(G419&gt;0,(G419*F419*E419),(F419*E419))</f>
        <v>22900</v>
      </c>
      <c r="I419" s="924"/>
    </row>
    <row r="420" spans="1:9" s="831" customFormat="1" ht="12.75" x14ac:dyDescent="0.2">
      <c r="A420" s="280" t="s">
        <v>2555</v>
      </c>
      <c r="B420" s="534" t="s">
        <v>2667</v>
      </c>
      <c r="C420" s="822" t="s">
        <v>2600</v>
      </c>
      <c r="D420" s="266" t="str">
        <f>VLOOKUP(B420,'[2]BASE DE DATOS'!$A$5:$E$961,3,FALSE)</f>
        <v>Día</v>
      </c>
      <c r="E420" s="704">
        <v>1</v>
      </c>
      <c r="F420" s="256">
        <f>VLOOKUP(B420,'[1]BASE DE DATOS'!$A$5:$E$964,5,FALSE)</f>
        <v>319246</v>
      </c>
      <c r="G420" s="708">
        <f>1/35</f>
        <v>2.8571428571428571E-2</v>
      </c>
      <c r="H420" s="252">
        <f t="shared" si="22"/>
        <v>9121.3142857142848</v>
      </c>
      <c r="I420" s="924"/>
    </row>
    <row r="421" spans="1:9" s="831" customFormat="1" ht="13.5" thickBot="1" x14ac:dyDescent="0.25">
      <c r="A421" s="287" t="s">
        <v>293</v>
      </c>
      <c r="B421" s="535" t="s">
        <v>269</v>
      </c>
      <c r="C421" s="612" t="s">
        <v>284</v>
      </c>
      <c r="D421" s="177" t="s">
        <v>2199</v>
      </c>
      <c r="E421" s="724">
        <v>0.05</v>
      </c>
      <c r="F421" s="256">
        <f>H420</f>
        <v>9121.3142857142848</v>
      </c>
      <c r="G421" s="708">
        <v>0</v>
      </c>
      <c r="H421" s="252">
        <f t="shared" si="22"/>
        <v>456.06571428571425</v>
      </c>
      <c r="I421" s="924"/>
    </row>
    <row r="422" spans="1:9" s="831" customFormat="1" ht="60" x14ac:dyDescent="0.2">
      <c r="A422" s="864" t="s">
        <v>2310</v>
      </c>
      <c r="B422" s="872"/>
      <c r="C422" s="264" t="s">
        <v>4156</v>
      </c>
      <c r="D422" s="265" t="s">
        <v>411</v>
      </c>
      <c r="E422" s="707"/>
      <c r="F422" s="259">
        <f>ROUND(SUM(H422:H427),0)</f>
        <v>32948</v>
      </c>
      <c r="G422" s="711"/>
      <c r="H422" s="250"/>
      <c r="I422" s="924"/>
    </row>
    <row r="423" spans="1:9" s="831" customFormat="1" ht="12.75" x14ac:dyDescent="0.2">
      <c r="A423" s="1071" t="s">
        <v>382</v>
      </c>
      <c r="B423" s="533" t="s">
        <v>4065</v>
      </c>
      <c r="C423" s="822" t="s">
        <v>4155</v>
      </c>
      <c r="D423" s="266" t="str">
        <f>VLOOKUP(B423,'[2]BASE DE DATOS'!$A$5:$E$961,3,FALSE)</f>
        <v>Un</v>
      </c>
      <c r="E423" s="704">
        <v>3</v>
      </c>
      <c r="F423" s="256">
        <f>VLOOKUP(B423,'[2]BASE DE DATOS'!$A$5:$E$961,5,FALSE)</f>
        <v>36</v>
      </c>
      <c r="G423" s="708">
        <v>1.333</v>
      </c>
      <c r="H423" s="252">
        <f>IF(G423&gt;0,(G423*F423*E423),(F423*E423))</f>
        <v>143.964</v>
      </c>
      <c r="I423" s="924"/>
    </row>
    <row r="424" spans="1:9" s="831" customFormat="1" ht="12.75" x14ac:dyDescent="0.2">
      <c r="A424" s="1071"/>
      <c r="B424" s="533" t="s">
        <v>4063</v>
      </c>
      <c r="C424" s="279" t="s">
        <v>4064</v>
      </c>
      <c r="D424" s="266" t="str">
        <f>VLOOKUP(B424,'[2]BASE DE DATOS'!$A$5:$E$961,3,FALSE)</f>
        <v>Un</v>
      </c>
      <c r="E424" s="704">
        <v>3</v>
      </c>
      <c r="F424" s="256">
        <f>VLOOKUP(B424,'[2]BASE DE DATOS'!$A$5:$E$961,5,FALSE)</f>
        <v>55.57</v>
      </c>
      <c r="G424" s="708">
        <v>1.5</v>
      </c>
      <c r="H424" s="252">
        <f t="shared" ref="H424:H427" si="23">IF(G424&gt;0,(G424*F424*E424),(F424*E424))</f>
        <v>250.065</v>
      </c>
      <c r="I424" s="924"/>
    </row>
    <row r="425" spans="1:9" s="831" customFormat="1" ht="27.75" customHeight="1" x14ac:dyDescent="0.2">
      <c r="A425" s="1071"/>
      <c r="B425" s="533" t="s">
        <v>4051</v>
      </c>
      <c r="C425" s="279" t="s">
        <v>4052</v>
      </c>
      <c r="D425" s="266" t="str">
        <f>VLOOKUP(B425,'[2]BASE DE DATOS'!$A$5:$E$961,3,FALSE)</f>
        <v>Un</v>
      </c>
      <c r="E425" s="704">
        <v>1</v>
      </c>
      <c r="F425" s="256">
        <f>VLOOKUP(B425,'[2]BASE DE DATOS'!$A$5:$E$961,5,FALSE)</f>
        <v>22900</v>
      </c>
      <c r="G425" s="708">
        <v>0</v>
      </c>
      <c r="H425" s="252">
        <f>IF(G425&gt;0,(G425*F425*E425),(F425*E425))</f>
        <v>22900</v>
      </c>
      <c r="I425" s="924"/>
    </row>
    <row r="426" spans="1:9" s="831" customFormat="1" ht="12.75" x14ac:dyDescent="0.2">
      <c r="A426" s="280" t="s">
        <v>2555</v>
      </c>
      <c r="B426" s="534" t="s">
        <v>2667</v>
      </c>
      <c r="C426" s="822" t="str">
        <f>VLOOKUP(B426,'[2]BASE DE DATOS'!$A$5:$E$961,2,FALSE)</f>
        <v>Cuadrilla EE 1 Of E + 1 Ay E (jornal + prestaciones)</v>
      </c>
      <c r="D426" s="266" t="str">
        <f>VLOOKUP(B426,'[2]BASE DE DATOS'!$A$5:$E$961,3,FALSE)</f>
        <v>Día</v>
      </c>
      <c r="E426" s="704">
        <v>1</v>
      </c>
      <c r="F426" s="256">
        <f>VLOOKUP(B426,'[2]BASE DE DATOS'!$A$5:$E$961,5,FALSE)</f>
        <v>321808</v>
      </c>
      <c r="G426" s="708">
        <f>1/35</f>
        <v>2.8571428571428571E-2</v>
      </c>
      <c r="H426" s="252">
        <f t="shared" si="23"/>
        <v>9194.5142857142855</v>
      </c>
      <c r="I426" s="924"/>
    </row>
    <row r="427" spans="1:9" s="831" customFormat="1" ht="13.5" thickBot="1" x14ac:dyDescent="0.25">
      <c r="A427" s="287" t="s">
        <v>293</v>
      </c>
      <c r="B427" s="535" t="s">
        <v>269</v>
      </c>
      <c r="C427" s="235" t="s">
        <v>284</v>
      </c>
      <c r="D427" s="177" t="s">
        <v>2199</v>
      </c>
      <c r="E427" s="724">
        <v>0.05</v>
      </c>
      <c r="F427" s="256">
        <f>H426</f>
        <v>9194.5142857142855</v>
      </c>
      <c r="G427" s="708">
        <v>0</v>
      </c>
      <c r="H427" s="252">
        <f t="shared" si="23"/>
        <v>459.72571428571428</v>
      </c>
      <c r="I427" s="924"/>
    </row>
    <row r="428" spans="1:9" s="831" customFormat="1" ht="60" x14ac:dyDescent="0.2">
      <c r="A428" s="864" t="s">
        <v>2313</v>
      </c>
      <c r="B428" s="872"/>
      <c r="C428" s="264" t="s">
        <v>4159</v>
      </c>
      <c r="D428" s="265" t="s">
        <v>411</v>
      </c>
      <c r="E428" s="707"/>
      <c r="F428" s="259">
        <f>ROUND(SUM(H428:H433),0)</f>
        <v>30871</v>
      </c>
      <c r="G428" s="711"/>
      <c r="H428" s="250"/>
      <c r="I428" s="924"/>
    </row>
    <row r="429" spans="1:9" s="831" customFormat="1" ht="12.75" x14ac:dyDescent="0.2">
      <c r="A429" s="1071" t="s">
        <v>382</v>
      </c>
      <c r="B429" s="533" t="s">
        <v>4065</v>
      </c>
      <c r="C429" s="822" t="s">
        <v>4155</v>
      </c>
      <c r="D429" s="266" t="str">
        <f>VLOOKUP(B429,'[2]BASE DE DATOS'!$A$5:$E$961,3,FALSE)</f>
        <v>Un</v>
      </c>
      <c r="E429" s="704">
        <v>3</v>
      </c>
      <c r="F429" s="256">
        <f>VLOOKUP(B429,'[1]BASE DE DATOS'!$A$5:$E$964,5,FALSE)</f>
        <v>36</v>
      </c>
      <c r="G429" s="708">
        <v>1.333</v>
      </c>
      <c r="H429" s="252">
        <f>IF(G429&gt;0,(G429*F429*E429),(F429*E429))</f>
        <v>143.964</v>
      </c>
      <c r="I429" s="924"/>
    </row>
    <row r="430" spans="1:9" s="831" customFormat="1" ht="12.75" x14ac:dyDescent="0.2">
      <c r="A430" s="1071"/>
      <c r="B430" s="533" t="s">
        <v>4063</v>
      </c>
      <c r="C430" s="822" t="s">
        <v>4064</v>
      </c>
      <c r="D430" s="266" t="str">
        <f>VLOOKUP(B430,'[2]BASE DE DATOS'!$A$5:$E$961,3,FALSE)</f>
        <v>Un</v>
      </c>
      <c r="E430" s="704">
        <v>3</v>
      </c>
      <c r="F430" s="256">
        <f>VLOOKUP(B430,'[1]BASE DE DATOS'!$A$5:$E$964,5,FALSE)</f>
        <v>55.57</v>
      </c>
      <c r="G430" s="708">
        <v>1.5</v>
      </c>
      <c r="H430" s="252">
        <f t="shared" ref="H430:H433" si="24">IF(G430&gt;0,(G430*F430*E430),(F430*E430))</f>
        <v>250.065</v>
      </c>
      <c r="I430" s="924"/>
    </row>
    <row r="431" spans="1:9" s="831" customFormat="1" ht="25.5" x14ac:dyDescent="0.2">
      <c r="A431" s="1071"/>
      <c r="B431" s="533" t="s">
        <v>4053</v>
      </c>
      <c r="C431" s="279" t="s">
        <v>4054</v>
      </c>
      <c r="D431" s="266" t="str">
        <f>VLOOKUP(B431,'[2]BASE DE DATOS'!$A$5:$E$961,3,FALSE)</f>
        <v>Un</v>
      </c>
      <c r="E431" s="704">
        <v>1</v>
      </c>
      <c r="F431" s="256">
        <f>VLOOKUP(B431,'[1]BASE DE DATOS'!$A$5:$E$964,5,FALSE)</f>
        <v>20900</v>
      </c>
      <c r="G431" s="708">
        <v>0</v>
      </c>
      <c r="H431" s="252">
        <f>IF(G431&gt;0,(G431*F431*E431),(F431*E431))</f>
        <v>20900</v>
      </c>
      <c r="I431" s="924"/>
    </row>
    <row r="432" spans="1:9" s="831" customFormat="1" ht="12.75" x14ac:dyDescent="0.2">
      <c r="A432" s="280" t="s">
        <v>2555</v>
      </c>
      <c r="B432" s="534" t="s">
        <v>2667</v>
      </c>
      <c r="C432" s="822" t="s">
        <v>2600</v>
      </c>
      <c r="D432" s="266" t="str">
        <f>VLOOKUP(B432,'[2]BASE DE DATOS'!$A$5:$E$961,3,FALSE)</f>
        <v>Día</v>
      </c>
      <c r="E432" s="704">
        <v>1</v>
      </c>
      <c r="F432" s="256">
        <f>VLOOKUP(B432,'[1]BASE DE DATOS'!$A$5:$E$964,5,FALSE)</f>
        <v>319246</v>
      </c>
      <c r="G432" s="708">
        <f>1/35</f>
        <v>2.8571428571428571E-2</v>
      </c>
      <c r="H432" s="252">
        <f t="shared" si="24"/>
        <v>9121.3142857142848</v>
      </c>
      <c r="I432" s="924"/>
    </row>
    <row r="433" spans="1:9" s="831" customFormat="1" ht="13.5" thickBot="1" x14ac:dyDescent="0.25">
      <c r="A433" s="287" t="s">
        <v>293</v>
      </c>
      <c r="B433" s="535" t="s">
        <v>269</v>
      </c>
      <c r="C433" s="235" t="s">
        <v>284</v>
      </c>
      <c r="D433" s="177" t="s">
        <v>2199</v>
      </c>
      <c r="E433" s="724">
        <v>0.05</v>
      </c>
      <c r="F433" s="256">
        <f>H432</f>
        <v>9121.3142857142848</v>
      </c>
      <c r="G433" s="708">
        <v>0</v>
      </c>
      <c r="H433" s="252">
        <f t="shared" si="24"/>
        <v>456.06571428571425</v>
      </c>
      <c r="I433" s="924"/>
    </row>
    <row r="434" spans="1:9" s="831" customFormat="1" ht="60" x14ac:dyDescent="0.2">
      <c r="A434" s="864" t="s">
        <v>2314</v>
      </c>
      <c r="B434" s="872"/>
      <c r="C434" s="264" t="s">
        <v>4157</v>
      </c>
      <c r="D434" s="265" t="s">
        <v>411</v>
      </c>
      <c r="E434" s="707"/>
      <c r="F434" s="259">
        <f>ROUND(SUM(H434:H439),0)</f>
        <v>30948</v>
      </c>
      <c r="G434" s="711"/>
      <c r="H434" s="250"/>
      <c r="I434" s="924"/>
    </row>
    <row r="435" spans="1:9" s="831" customFormat="1" ht="12.75" x14ac:dyDescent="0.2">
      <c r="A435" s="1071" t="s">
        <v>382</v>
      </c>
      <c r="B435" s="533" t="s">
        <v>4065</v>
      </c>
      <c r="C435" s="822" t="s">
        <v>4155</v>
      </c>
      <c r="D435" s="266" t="str">
        <f>VLOOKUP(B435,'[2]BASE DE DATOS'!$A$5:$E$961,3,FALSE)</f>
        <v>Un</v>
      </c>
      <c r="E435" s="704">
        <v>3</v>
      </c>
      <c r="F435" s="256">
        <f>VLOOKUP(B435,'[2]BASE DE DATOS'!$A$5:$E$961,5,FALSE)</f>
        <v>36</v>
      </c>
      <c r="G435" s="708">
        <v>1.333</v>
      </c>
      <c r="H435" s="252">
        <f>IF(G435&gt;0,(G435*F435*E435),(F435*E435))</f>
        <v>143.964</v>
      </c>
      <c r="I435" s="924"/>
    </row>
    <row r="436" spans="1:9" s="831" customFormat="1" ht="12.75" x14ac:dyDescent="0.2">
      <c r="A436" s="1071"/>
      <c r="B436" s="533" t="s">
        <v>4063</v>
      </c>
      <c r="C436" s="822" t="s">
        <v>4064</v>
      </c>
      <c r="D436" s="266" t="str">
        <f>VLOOKUP(B436,'[2]BASE DE DATOS'!$A$5:$E$961,3,FALSE)</f>
        <v>Un</v>
      </c>
      <c r="E436" s="704">
        <v>3</v>
      </c>
      <c r="F436" s="256">
        <f>VLOOKUP(B436,'[2]BASE DE DATOS'!$A$5:$E$961,5,FALSE)</f>
        <v>55.57</v>
      </c>
      <c r="G436" s="708">
        <v>1.5</v>
      </c>
      <c r="H436" s="252">
        <f t="shared" ref="H436:H439" si="25">IF(G436&gt;0,(G436*F436*E436),(F436*E436))</f>
        <v>250.065</v>
      </c>
      <c r="I436" s="924"/>
    </row>
    <row r="437" spans="1:9" s="831" customFormat="1" ht="25.5" x14ac:dyDescent="0.2">
      <c r="A437" s="1071"/>
      <c r="B437" s="533" t="s">
        <v>4055</v>
      </c>
      <c r="C437" s="279" t="s">
        <v>4056</v>
      </c>
      <c r="D437" s="266" t="str">
        <f>VLOOKUP(B437,'[2]BASE DE DATOS'!$A$5:$E$961,3,FALSE)</f>
        <v>Un</v>
      </c>
      <c r="E437" s="704">
        <v>1</v>
      </c>
      <c r="F437" s="256">
        <f>VLOOKUP(B437,'[2]BASE DE DATOS'!$A$5:$E$961,5,FALSE)</f>
        <v>20900</v>
      </c>
      <c r="G437" s="708">
        <v>0</v>
      </c>
      <c r="H437" s="252">
        <f>IF(G437&gt;0,(G437*F437*E437),(F437*E437))</f>
        <v>20900</v>
      </c>
      <c r="I437" s="924"/>
    </row>
    <row r="438" spans="1:9" s="831" customFormat="1" ht="12.75" x14ac:dyDescent="0.2">
      <c r="A438" s="280" t="s">
        <v>2555</v>
      </c>
      <c r="B438" s="534" t="s">
        <v>2667</v>
      </c>
      <c r="C438" s="822" t="s">
        <v>2600</v>
      </c>
      <c r="D438" s="266" t="str">
        <f>VLOOKUP(B438,'[2]BASE DE DATOS'!$A$5:$E$961,3,FALSE)</f>
        <v>Día</v>
      </c>
      <c r="E438" s="704">
        <v>1</v>
      </c>
      <c r="F438" s="256">
        <f>VLOOKUP(B438,'[2]BASE DE DATOS'!$A$5:$E$961,5,FALSE)</f>
        <v>321808</v>
      </c>
      <c r="G438" s="708">
        <f>1/35</f>
        <v>2.8571428571428571E-2</v>
      </c>
      <c r="H438" s="252">
        <f t="shared" si="25"/>
        <v>9194.5142857142855</v>
      </c>
      <c r="I438" s="924"/>
    </row>
    <row r="439" spans="1:9" s="831" customFormat="1" ht="13.5" thickBot="1" x14ac:dyDescent="0.25">
      <c r="A439" s="287" t="s">
        <v>293</v>
      </c>
      <c r="B439" s="535" t="s">
        <v>269</v>
      </c>
      <c r="C439" s="235" t="s">
        <v>284</v>
      </c>
      <c r="D439" s="177" t="s">
        <v>2199</v>
      </c>
      <c r="E439" s="724">
        <v>0.05</v>
      </c>
      <c r="F439" s="256">
        <f>H438</f>
        <v>9194.5142857142855</v>
      </c>
      <c r="G439" s="708">
        <v>0</v>
      </c>
      <c r="H439" s="252">
        <f t="shared" si="25"/>
        <v>459.72571428571428</v>
      </c>
      <c r="I439" s="924"/>
    </row>
    <row r="440" spans="1:9" s="831" customFormat="1" ht="60" x14ac:dyDescent="0.2">
      <c r="A440" s="864" t="s">
        <v>2316</v>
      </c>
      <c r="B440" s="872"/>
      <c r="C440" s="264" t="s">
        <v>4158</v>
      </c>
      <c r="D440" s="265" t="s">
        <v>411</v>
      </c>
      <c r="E440" s="707"/>
      <c r="F440" s="259">
        <f>ROUND(SUM(H440:H445),0)</f>
        <v>62871</v>
      </c>
      <c r="G440" s="711"/>
      <c r="H440" s="250"/>
      <c r="I440" s="924"/>
    </row>
    <row r="441" spans="1:9" s="831" customFormat="1" ht="12.75" x14ac:dyDescent="0.2">
      <c r="A441" s="1071" t="s">
        <v>382</v>
      </c>
      <c r="B441" s="533" t="s">
        <v>4065</v>
      </c>
      <c r="C441" s="822" t="s">
        <v>4155</v>
      </c>
      <c r="D441" s="266" t="str">
        <f>VLOOKUP(B441,'[2]BASE DE DATOS'!$A$5:$E$961,3,FALSE)</f>
        <v>Un</v>
      </c>
      <c r="E441" s="704">
        <v>3</v>
      </c>
      <c r="F441" s="256">
        <f>VLOOKUP(B441,'[1]BASE DE DATOS'!$A$5:$E$964,5,FALSE)</f>
        <v>36</v>
      </c>
      <c r="G441" s="708">
        <v>1.333</v>
      </c>
      <c r="H441" s="252">
        <f>IF(G441&gt;0,(G441*F441*E441),(F441*E441))</f>
        <v>143.964</v>
      </c>
      <c r="I441" s="924"/>
    </row>
    <row r="442" spans="1:9" s="831" customFormat="1" ht="12.75" x14ac:dyDescent="0.2">
      <c r="A442" s="1071"/>
      <c r="B442" s="533" t="s">
        <v>4063</v>
      </c>
      <c r="C442" s="822" t="s">
        <v>4064</v>
      </c>
      <c r="D442" s="266" t="str">
        <f>VLOOKUP(B442,'[2]BASE DE DATOS'!$A$5:$E$961,3,FALSE)</f>
        <v>Un</v>
      </c>
      <c r="E442" s="704">
        <v>3</v>
      </c>
      <c r="F442" s="256">
        <f>VLOOKUP(B442,'[1]BASE DE DATOS'!$A$5:$E$964,5,FALSE)</f>
        <v>55.57</v>
      </c>
      <c r="G442" s="708">
        <v>1.5</v>
      </c>
      <c r="H442" s="252">
        <f>IF(G442&gt;0,(G442*F442*E442),(F442*E442))</f>
        <v>250.065</v>
      </c>
      <c r="I442" s="924"/>
    </row>
    <row r="443" spans="1:9" s="831" customFormat="1" ht="25.5" x14ac:dyDescent="0.2">
      <c r="A443" s="1071"/>
      <c r="B443" s="533" t="s">
        <v>4057</v>
      </c>
      <c r="C443" s="279" t="s">
        <v>4058</v>
      </c>
      <c r="D443" s="266" t="str">
        <f>VLOOKUP(B443,'[2]BASE DE DATOS'!$A$5:$E$961,3,FALSE)</f>
        <v>Un</v>
      </c>
      <c r="E443" s="704">
        <v>1</v>
      </c>
      <c r="F443" s="256">
        <f>VLOOKUP(B443,'[1]BASE DE DATOS'!$A$5:$E$964,5,FALSE)</f>
        <v>52900</v>
      </c>
      <c r="G443" s="708">
        <v>0</v>
      </c>
      <c r="H443" s="252">
        <f t="shared" ref="H443:H445" si="26">IF(G443&gt;0,(G443*F443*E443),(F443*E443))</f>
        <v>52900</v>
      </c>
      <c r="I443" s="924"/>
    </row>
    <row r="444" spans="1:9" s="831" customFormat="1" ht="12.75" x14ac:dyDescent="0.2">
      <c r="A444" s="280" t="s">
        <v>2555</v>
      </c>
      <c r="B444" s="534" t="s">
        <v>2667</v>
      </c>
      <c r="C444" s="822" t="s">
        <v>2600</v>
      </c>
      <c r="D444" s="266" t="str">
        <f>VLOOKUP(B444,'[2]BASE DE DATOS'!$A$5:$E$961,3,FALSE)</f>
        <v>Día</v>
      </c>
      <c r="E444" s="704">
        <v>1</v>
      </c>
      <c r="F444" s="256">
        <f>VLOOKUP(B444,'[1]BASE DE DATOS'!$A$5:$E$964,5,FALSE)</f>
        <v>319246</v>
      </c>
      <c r="G444" s="708">
        <f>1/35</f>
        <v>2.8571428571428571E-2</v>
      </c>
      <c r="H444" s="252">
        <f t="shared" si="26"/>
        <v>9121.3142857142848</v>
      </c>
      <c r="I444" s="924"/>
    </row>
    <row r="445" spans="1:9" s="831" customFormat="1" ht="13.5" thickBot="1" x14ac:dyDescent="0.25">
      <c r="A445" s="287" t="s">
        <v>293</v>
      </c>
      <c r="B445" s="535" t="s">
        <v>269</v>
      </c>
      <c r="C445" s="235" t="s">
        <v>284</v>
      </c>
      <c r="D445" s="177" t="s">
        <v>2199</v>
      </c>
      <c r="E445" s="724">
        <v>0.05</v>
      </c>
      <c r="F445" s="256">
        <f>H444</f>
        <v>9121.3142857142848</v>
      </c>
      <c r="G445" s="708">
        <v>0</v>
      </c>
      <c r="H445" s="252">
        <f t="shared" si="26"/>
        <v>456.06571428571425</v>
      </c>
      <c r="I445" s="924"/>
    </row>
    <row r="446" spans="1:9" s="831" customFormat="1" ht="60" x14ac:dyDescent="0.2">
      <c r="A446" s="864" t="s">
        <v>4131</v>
      </c>
      <c r="B446" s="872"/>
      <c r="C446" s="264" t="s">
        <v>4161</v>
      </c>
      <c r="D446" s="265" t="s">
        <v>411</v>
      </c>
      <c r="E446" s="707"/>
      <c r="F446" s="259">
        <f>ROUND(SUM(H446:H451),0)</f>
        <v>62948</v>
      </c>
      <c r="G446" s="711"/>
      <c r="H446" s="250"/>
      <c r="I446" s="924"/>
    </row>
    <row r="447" spans="1:9" s="831" customFormat="1" ht="12.75" x14ac:dyDescent="0.2">
      <c r="A447" s="1071" t="s">
        <v>382</v>
      </c>
      <c r="B447" s="533" t="s">
        <v>4065</v>
      </c>
      <c r="C447" s="822" t="s">
        <v>4155</v>
      </c>
      <c r="D447" s="266" t="str">
        <f>VLOOKUP(B447,'[2]BASE DE DATOS'!$A$5:$E$961,3,FALSE)</f>
        <v>Un</v>
      </c>
      <c r="E447" s="704">
        <v>3</v>
      </c>
      <c r="F447" s="256">
        <f>VLOOKUP(B447,'[2]BASE DE DATOS'!$A$5:$E$961,5,FALSE)</f>
        <v>36</v>
      </c>
      <c r="G447" s="708">
        <v>1.333</v>
      </c>
      <c r="H447" s="252">
        <f>IF(G447&gt;0,(G447*F447*E447),(F447*E447))</f>
        <v>143.964</v>
      </c>
      <c r="I447" s="924"/>
    </row>
    <row r="448" spans="1:9" s="831" customFormat="1" ht="12.75" x14ac:dyDescent="0.2">
      <c r="A448" s="1071"/>
      <c r="B448" s="533" t="s">
        <v>4063</v>
      </c>
      <c r="C448" s="822" t="s">
        <v>4064</v>
      </c>
      <c r="D448" s="266" t="str">
        <f>VLOOKUP(B448,'[2]BASE DE DATOS'!$A$5:$E$961,3,FALSE)</f>
        <v>Un</v>
      </c>
      <c r="E448" s="704">
        <v>3</v>
      </c>
      <c r="F448" s="256">
        <f>VLOOKUP(B448,'[2]BASE DE DATOS'!$A$5:$E$961,5,FALSE)</f>
        <v>55.57</v>
      </c>
      <c r="G448" s="708">
        <v>1.5</v>
      </c>
      <c r="H448" s="252">
        <f t="shared" ref="H448:H451" si="27">IF(G448&gt;0,(G448*F448*E448),(F448*E448))</f>
        <v>250.065</v>
      </c>
      <c r="I448" s="924"/>
    </row>
    <row r="449" spans="1:9" s="831" customFormat="1" ht="25.5" x14ac:dyDescent="0.2">
      <c r="A449" s="1071"/>
      <c r="B449" s="533" t="s">
        <v>4059</v>
      </c>
      <c r="C449" s="279" t="s">
        <v>4060</v>
      </c>
      <c r="D449" s="266" t="str">
        <f>VLOOKUP(B449,'[2]BASE DE DATOS'!$A$5:$E$961,3,FALSE)</f>
        <v>Un</v>
      </c>
      <c r="E449" s="704">
        <v>1</v>
      </c>
      <c r="F449" s="256">
        <f>VLOOKUP(B449,'[2]BASE DE DATOS'!$A$5:$E$961,5,FALSE)</f>
        <v>52900</v>
      </c>
      <c r="G449" s="708">
        <v>0</v>
      </c>
      <c r="H449" s="252">
        <f>IF(G449&gt;0,(G449*F449*E449),(F449*E449))</f>
        <v>52900</v>
      </c>
      <c r="I449" s="924"/>
    </row>
    <row r="450" spans="1:9" s="831" customFormat="1" ht="12.75" x14ac:dyDescent="0.2">
      <c r="A450" s="280" t="s">
        <v>2555</v>
      </c>
      <c r="B450" s="534" t="s">
        <v>2667</v>
      </c>
      <c r="C450" s="822" t="s">
        <v>2600</v>
      </c>
      <c r="D450" s="266" t="str">
        <f>VLOOKUP(B450,'[2]BASE DE DATOS'!$A$5:$E$961,3,FALSE)</f>
        <v>Día</v>
      </c>
      <c r="E450" s="704">
        <v>1</v>
      </c>
      <c r="F450" s="256">
        <f>VLOOKUP(B450,'[2]BASE DE DATOS'!$A$5:$E$961,5,FALSE)</f>
        <v>321808</v>
      </c>
      <c r="G450" s="708">
        <f>1/35</f>
        <v>2.8571428571428571E-2</v>
      </c>
      <c r="H450" s="252">
        <f t="shared" si="27"/>
        <v>9194.5142857142855</v>
      </c>
      <c r="I450" s="924"/>
    </row>
    <row r="451" spans="1:9" s="831" customFormat="1" ht="13.5" thickBot="1" x14ac:dyDescent="0.25">
      <c r="A451" s="287" t="s">
        <v>293</v>
      </c>
      <c r="B451" s="535" t="s">
        <v>269</v>
      </c>
      <c r="C451" s="235" t="s">
        <v>284</v>
      </c>
      <c r="D451" s="177" t="s">
        <v>2199</v>
      </c>
      <c r="E451" s="724">
        <v>0.05</v>
      </c>
      <c r="F451" s="256">
        <f>H450</f>
        <v>9194.5142857142855</v>
      </c>
      <c r="G451" s="708">
        <v>0</v>
      </c>
      <c r="H451" s="252">
        <f t="shared" si="27"/>
        <v>459.72571428571428</v>
      </c>
      <c r="I451" s="924"/>
    </row>
    <row r="452" spans="1:9" s="831" customFormat="1" ht="60" x14ac:dyDescent="0.2">
      <c r="A452" s="864" t="s">
        <v>4172</v>
      </c>
      <c r="B452" s="872"/>
      <c r="C452" s="264" t="s">
        <v>4164</v>
      </c>
      <c r="D452" s="265" t="s">
        <v>411</v>
      </c>
      <c r="E452" s="707"/>
      <c r="F452" s="259">
        <f>ROUND(SUM(H452:H457),0)</f>
        <v>62871</v>
      </c>
      <c r="G452" s="711"/>
      <c r="H452" s="250"/>
      <c r="I452" s="924"/>
    </row>
    <row r="453" spans="1:9" s="831" customFormat="1" ht="12.75" x14ac:dyDescent="0.2">
      <c r="A453" s="801"/>
      <c r="B453" s="533" t="s">
        <v>4065</v>
      </c>
      <c r="C453" s="827" t="s">
        <v>4155</v>
      </c>
      <c r="D453" s="828" t="str">
        <f>VLOOKUP(B453,'[2]BASE DE DATOS'!$A$5:$E$961,3,FALSE)</f>
        <v>Un</v>
      </c>
      <c r="E453" s="829">
        <v>3</v>
      </c>
      <c r="F453" s="256">
        <f>VLOOKUP(B453,'[1]BASE DE DATOS'!$A$5:$E$964,5,FALSE)</f>
        <v>36</v>
      </c>
      <c r="G453" s="708">
        <v>1.333</v>
      </c>
      <c r="H453" s="252">
        <f>IF(G453&gt;0,(G453*F453*E453),(F453*E453))</f>
        <v>143.964</v>
      </c>
      <c r="I453" s="924"/>
    </row>
    <row r="454" spans="1:9" s="831" customFormat="1" ht="12.75" x14ac:dyDescent="0.2">
      <c r="A454" s="801"/>
      <c r="B454" s="533" t="s">
        <v>4063</v>
      </c>
      <c r="C454" s="827" t="s">
        <v>4064</v>
      </c>
      <c r="D454" s="828" t="str">
        <f>VLOOKUP(B454,'[2]BASE DE DATOS'!$A$5:$E$961,3,FALSE)</f>
        <v>Un</v>
      </c>
      <c r="E454" s="829">
        <v>3</v>
      </c>
      <c r="F454" s="256">
        <f>VLOOKUP(B454,'[1]BASE DE DATOS'!$A$5:$E$964,5,FALSE)</f>
        <v>55.57</v>
      </c>
      <c r="G454" s="708">
        <v>1.5</v>
      </c>
      <c r="H454" s="252">
        <f t="shared" ref="H454:H457" si="28">IF(G454&gt;0,(G454*F454*E454),(F454*E454))</f>
        <v>250.065</v>
      </c>
      <c r="I454" s="924"/>
    </row>
    <row r="455" spans="1:9" s="831" customFormat="1" ht="25.5" x14ac:dyDescent="0.2">
      <c r="A455" s="801" t="s">
        <v>382</v>
      </c>
      <c r="B455" s="533" t="s">
        <v>4061</v>
      </c>
      <c r="C455" s="279" t="s">
        <v>4062</v>
      </c>
      <c r="D455" s="828" t="str">
        <f>VLOOKUP(B455,'[2]BASE DE DATOS'!$A$5:$E$961,3,FALSE)</f>
        <v>Un</v>
      </c>
      <c r="E455" s="829">
        <v>1</v>
      </c>
      <c r="F455" s="256">
        <f>VLOOKUP(B455,'[1]BASE DE DATOS'!$A$5:$E$964,5,FALSE)</f>
        <v>52900</v>
      </c>
      <c r="G455" s="708">
        <v>0</v>
      </c>
      <c r="H455" s="252">
        <f>IF(G455&gt;0,(G455*F455*E455),(F455*E455))</f>
        <v>52900</v>
      </c>
      <c r="I455" s="924"/>
    </row>
    <row r="456" spans="1:9" s="831" customFormat="1" ht="12.75" x14ac:dyDescent="0.2">
      <c r="A456" s="280" t="s">
        <v>2555</v>
      </c>
      <c r="B456" s="534" t="s">
        <v>2667</v>
      </c>
      <c r="C456" s="827" t="s">
        <v>2600</v>
      </c>
      <c r="D456" s="828" t="str">
        <f>VLOOKUP(B456,'[2]BASE DE DATOS'!$A$5:$E$961,3,FALSE)</f>
        <v>Día</v>
      </c>
      <c r="E456" s="829">
        <v>1</v>
      </c>
      <c r="F456" s="256">
        <f>VLOOKUP(B456,'[1]BASE DE DATOS'!$A$5:$E$964,5,FALSE)</f>
        <v>319246</v>
      </c>
      <c r="G456" s="708">
        <f>1/35</f>
        <v>2.8571428571428571E-2</v>
      </c>
      <c r="H456" s="252">
        <f t="shared" si="28"/>
        <v>9121.3142857142848</v>
      </c>
      <c r="I456" s="924"/>
    </row>
    <row r="457" spans="1:9" s="831" customFormat="1" ht="13.5" thickBot="1" x14ac:dyDescent="0.25">
      <c r="A457" s="611" t="s">
        <v>293</v>
      </c>
      <c r="B457" s="536" t="s">
        <v>269</v>
      </c>
      <c r="C457" s="235" t="s">
        <v>284</v>
      </c>
      <c r="D457" s="613" t="s">
        <v>2199</v>
      </c>
      <c r="E457" s="724">
        <v>0.05</v>
      </c>
      <c r="F457" s="830">
        <f>H456</f>
        <v>9121.3142857142848</v>
      </c>
      <c r="G457" s="723">
        <v>0</v>
      </c>
      <c r="H457" s="479">
        <f t="shared" si="28"/>
        <v>456.06571428571425</v>
      </c>
      <c r="I457" s="924"/>
    </row>
    <row r="458" spans="1:9" ht="15" x14ac:dyDescent="0.2">
      <c r="A458" s="270" t="s">
        <v>4173</v>
      </c>
      <c r="B458" s="870"/>
      <c r="C458" s="264" t="s">
        <v>4165</v>
      </c>
      <c r="D458" s="265" t="s">
        <v>411</v>
      </c>
      <c r="E458" s="707"/>
      <c r="F458" s="259">
        <f>ROUND(SUM(H458:H461),0)</f>
        <v>324732</v>
      </c>
      <c r="G458" s="711"/>
      <c r="H458" s="250"/>
    </row>
    <row r="459" spans="1:9" s="818" customFormat="1" ht="12.75" x14ac:dyDescent="0.2">
      <c r="A459" s="801" t="s">
        <v>382</v>
      </c>
      <c r="B459" s="533" t="s">
        <v>2913</v>
      </c>
      <c r="C459" s="279" t="s">
        <v>2912</v>
      </c>
      <c r="D459" s="266" t="s">
        <v>411</v>
      </c>
      <c r="E459" s="704">
        <v>1</v>
      </c>
      <c r="F459" s="256">
        <f>VLOOKUP(B459,'[1]BASE DE DATOS'!$A$5:$E$964,5,FALSE)</f>
        <v>228000</v>
      </c>
      <c r="G459" s="708">
        <v>0</v>
      </c>
      <c r="H459" s="252">
        <f t="shared" si="20"/>
        <v>228000</v>
      </c>
      <c r="I459" s="924"/>
    </row>
    <row r="460" spans="1:9" s="818" customFormat="1" ht="12.75" x14ac:dyDescent="0.2">
      <c r="A460" s="280" t="s">
        <v>2555</v>
      </c>
      <c r="B460" s="534" t="s">
        <v>2667</v>
      </c>
      <c r="C460" s="822" t="s">
        <v>2600</v>
      </c>
      <c r="D460" s="266" t="s">
        <v>585</v>
      </c>
      <c r="E460" s="704">
        <v>1</v>
      </c>
      <c r="F460" s="256">
        <f>VLOOKUP(B460,'[1]BASE DE DATOS'!$A$5:$E$964,5,FALSE)</f>
        <v>319246</v>
      </c>
      <c r="G460" s="708">
        <f>1/3.33333</f>
        <v>0.30000030000029998</v>
      </c>
      <c r="H460" s="252">
        <f t="shared" si="20"/>
        <v>95773.895773895769</v>
      </c>
      <c r="I460" s="924"/>
    </row>
    <row r="461" spans="1:9" s="818" customFormat="1" ht="13.5" thickBot="1" x14ac:dyDescent="0.25">
      <c r="A461" s="287" t="s">
        <v>293</v>
      </c>
      <c r="B461" s="535" t="s">
        <v>269</v>
      </c>
      <c r="C461" s="235" t="s">
        <v>284</v>
      </c>
      <c r="D461" s="177" t="s">
        <v>2199</v>
      </c>
      <c r="E461" s="704">
        <v>0.01</v>
      </c>
      <c r="F461" s="251">
        <f>H460</f>
        <v>95773.895773895769</v>
      </c>
      <c r="G461" s="708">
        <v>0</v>
      </c>
      <c r="H461" s="252">
        <f t="shared" si="20"/>
        <v>957.73895773895765</v>
      </c>
      <c r="I461" s="924"/>
    </row>
    <row r="462" spans="1:9" ht="15" x14ac:dyDescent="0.2">
      <c r="A462" s="270" t="s">
        <v>4174</v>
      </c>
      <c r="B462" s="870"/>
      <c r="C462" s="264" t="s">
        <v>4166</v>
      </c>
      <c r="D462" s="265" t="s">
        <v>411</v>
      </c>
      <c r="E462" s="707"/>
      <c r="F462" s="259">
        <f>ROUND(SUM(H462:H465),0)</f>
        <v>350732</v>
      </c>
      <c r="G462" s="711"/>
      <c r="H462" s="250"/>
    </row>
    <row r="463" spans="1:9" s="818" customFormat="1" ht="12.75" x14ac:dyDescent="0.2">
      <c r="A463" s="801" t="s">
        <v>382</v>
      </c>
      <c r="B463" s="533" t="s">
        <v>2911</v>
      </c>
      <c r="C463" s="279" t="s">
        <v>2910</v>
      </c>
      <c r="D463" s="266" t="s">
        <v>411</v>
      </c>
      <c r="E463" s="704">
        <v>1</v>
      </c>
      <c r="F463" s="256">
        <f>VLOOKUP(B463,'[1]BASE DE DATOS'!$A$5:$E$964,5,FALSE)</f>
        <v>254000</v>
      </c>
      <c r="G463" s="708">
        <v>0</v>
      </c>
      <c r="H463" s="252">
        <f t="shared" si="20"/>
        <v>254000</v>
      </c>
      <c r="I463" s="924"/>
    </row>
    <row r="464" spans="1:9" s="818" customFormat="1" ht="12.75" x14ac:dyDescent="0.2">
      <c r="A464" s="280" t="s">
        <v>2555</v>
      </c>
      <c r="B464" s="534" t="s">
        <v>2667</v>
      </c>
      <c r="C464" s="822" t="s">
        <v>2600</v>
      </c>
      <c r="D464" s="266" t="s">
        <v>585</v>
      </c>
      <c r="E464" s="704">
        <v>1</v>
      </c>
      <c r="F464" s="256">
        <f>VLOOKUP(B464,'[1]BASE DE DATOS'!$A$5:$E$964,5,FALSE)</f>
        <v>319246</v>
      </c>
      <c r="G464" s="708">
        <f>1/3.33333</f>
        <v>0.30000030000029998</v>
      </c>
      <c r="H464" s="252">
        <f t="shared" si="20"/>
        <v>95773.895773895769</v>
      </c>
      <c r="I464" s="924"/>
    </row>
    <row r="465" spans="1:9" s="818" customFormat="1" ht="13.5" thickBot="1" x14ac:dyDescent="0.25">
      <c r="A465" s="287" t="s">
        <v>293</v>
      </c>
      <c r="B465" s="535" t="s">
        <v>269</v>
      </c>
      <c r="C465" s="235" t="s">
        <v>284</v>
      </c>
      <c r="D465" s="177" t="s">
        <v>2199</v>
      </c>
      <c r="E465" s="704">
        <v>0.01</v>
      </c>
      <c r="F465" s="251">
        <f>H464</f>
        <v>95773.895773895769</v>
      </c>
      <c r="G465" s="708">
        <v>0</v>
      </c>
      <c r="H465" s="252">
        <f t="shared" si="20"/>
        <v>957.73895773895765</v>
      </c>
      <c r="I465" s="924"/>
    </row>
    <row r="466" spans="1:9" ht="45" customHeight="1" x14ac:dyDescent="0.2">
      <c r="A466" s="292" t="s">
        <v>4175</v>
      </c>
      <c r="B466" s="872"/>
      <c r="C466" s="264" t="s">
        <v>4167</v>
      </c>
      <c r="D466" s="265" t="s">
        <v>411</v>
      </c>
      <c r="E466" s="707"/>
      <c r="F466" s="259">
        <f>ROUND(SUM(H466:H469),0)</f>
        <v>71396</v>
      </c>
      <c r="G466" s="711"/>
      <c r="H466" s="250"/>
    </row>
    <row r="467" spans="1:9" s="818" customFormat="1" ht="25.5" x14ac:dyDescent="0.2">
      <c r="A467" s="801" t="s">
        <v>382</v>
      </c>
      <c r="B467" s="533" t="s">
        <v>1391</v>
      </c>
      <c r="C467" s="279" t="s">
        <v>4038</v>
      </c>
      <c r="D467" s="266" t="s">
        <v>411</v>
      </c>
      <c r="E467" s="704">
        <v>1</v>
      </c>
      <c r="F467" s="256">
        <f>VLOOKUP(B467,'[1]BASE DE DATOS'!$A$5:$E$964,5,FALSE)</f>
        <v>49900</v>
      </c>
      <c r="G467" s="708">
        <v>0</v>
      </c>
      <c r="H467" s="252">
        <f t="shared" si="20"/>
        <v>49900</v>
      </c>
      <c r="I467" s="924"/>
    </row>
    <row r="468" spans="1:9" s="818" customFormat="1" ht="12.75" x14ac:dyDescent="0.2">
      <c r="A468" s="280" t="s">
        <v>2555</v>
      </c>
      <c r="B468" s="534" t="s">
        <v>2667</v>
      </c>
      <c r="C468" s="822" t="s">
        <v>2600</v>
      </c>
      <c r="D468" s="266" t="s">
        <v>585</v>
      </c>
      <c r="E468" s="704">
        <v>1</v>
      </c>
      <c r="F468" s="256">
        <f>VLOOKUP(B468,'[1]BASE DE DATOS'!$A$5:$E$964,5,FALSE)</f>
        <v>319246</v>
      </c>
      <c r="G468" s="708">
        <f>1/15</f>
        <v>6.6666666666666666E-2</v>
      </c>
      <c r="H468" s="252">
        <f t="shared" si="20"/>
        <v>21283.066666666666</v>
      </c>
      <c r="I468" s="924"/>
    </row>
    <row r="469" spans="1:9" s="818" customFormat="1" ht="13.5" thickBot="1" x14ac:dyDescent="0.25">
      <c r="A469" s="287" t="s">
        <v>293</v>
      </c>
      <c r="B469" s="535" t="s">
        <v>269</v>
      </c>
      <c r="C469" s="235" t="s">
        <v>284</v>
      </c>
      <c r="D469" s="177" t="s">
        <v>2199</v>
      </c>
      <c r="E469" s="724">
        <v>0.01</v>
      </c>
      <c r="F469" s="251">
        <f>H468</f>
        <v>21283.066666666666</v>
      </c>
      <c r="G469" s="723">
        <v>0</v>
      </c>
      <c r="H469" s="252">
        <f t="shared" si="20"/>
        <v>212.83066666666667</v>
      </c>
      <c r="I469" s="924"/>
    </row>
    <row r="470" spans="1:9" s="818" customFormat="1" ht="49.5" customHeight="1" x14ac:dyDescent="0.2">
      <c r="A470" s="864" t="s">
        <v>4176</v>
      </c>
      <c r="B470" s="872"/>
      <c r="C470" s="264" t="s">
        <v>4119</v>
      </c>
      <c r="D470" s="265" t="s">
        <v>411</v>
      </c>
      <c r="E470" s="707"/>
      <c r="F470" s="259">
        <f>ROUND(SUM(H470:H475),0)</f>
        <v>67305</v>
      </c>
      <c r="G470" s="711"/>
      <c r="H470" s="250"/>
      <c r="I470" s="924"/>
    </row>
    <row r="471" spans="1:9" s="818" customFormat="1" ht="12.75" x14ac:dyDescent="0.2">
      <c r="A471" s="1071" t="s">
        <v>382</v>
      </c>
      <c r="B471" s="533" t="s">
        <v>4065</v>
      </c>
      <c r="C471" s="827" t="s">
        <v>4155</v>
      </c>
      <c r="D471" s="828" t="str">
        <f>VLOOKUP(B471,'[2]BASE DE DATOS'!$A$5:$E$961,3,FALSE)</f>
        <v>Un</v>
      </c>
      <c r="E471" s="829">
        <v>3</v>
      </c>
      <c r="F471" s="256">
        <f>VLOOKUP(B471,'[1]BASE DE DATOS'!$A$5:$E$964,5,FALSE)</f>
        <v>36</v>
      </c>
      <c r="G471" s="708">
        <v>1.333</v>
      </c>
      <c r="H471" s="252">
        <f>IF(G471&gt;0,(G471*F471*E471),(F471*E471))</f>
        <v>143.964</v>
      </c>
      <c r="I471" s="924"/>
    </row>
    <row r="472" spans="1:9" s="818" customFormat="1" ht="12.75" x14ac:dyDescent="0.2">
      <c r="A472" s="1071"/>
      <c r="B472" s="533" t="s">
        <v>4063</v>
      </c>
      <c r="C472" s="827" t="s">
        <v>4064</v>
      </c>
      <c r="D472" s="828" t="str">
        <f>VLOOKUP(B472,'[2]BASE DE DATOS'!$A$5:$E$961,3,FALSE)</f>
        <v>Un</v>
      </c>
      <c r="E472" s="829">
        <v>6</v>
      </c>
      <c r="F472" s="256">
        <f>VLOOKUP(B472,'[1]BASE DE DATOS'!$A$5:$E$964,5,FALSE)</f>
        <v>55.57</v>
      </c>
      <c r="G472" s="708">
        <v>1.5</v>
      </c>
      <c r="H472" s="252">
        <f t="shared" ref="H472:H475" si="29">IF(G472&gt;0,(G472*F472*E472),(F472*E472))</f>
        <v>500.13</v>
      </c>
      <c r="I472" s="924"/>
    </row>
    <row r="473" spans="1:9" s="818" customFormat="1" ht="25.5" x14ac:dyDescent="0.2">
      <c r="A473" s="1071"/>
      <c r="B473" s="533" t="s">
        <v>4066</v>
      </c>
      <c r="C473" s="832" t="s">
        <v>4067</v>
      </c>
      <c r="D473" s="828" t="str">
        <f>VLOOKUP(B473,'[2]BASE DE DATOS'!$A$5:$E$961,3,FALSE)</f>
        <v>Un</v>
      </c>
      <c r="E473" s="829">
        <v>1</v>
      </c>
      <c r="F473" s="256">
        <f>VLOOKUP(B473,'[1]BASE DE DATOS'!$A$5:$E$964,5,FALSE)</f>
        <v>49900</v>
      </c>
      <c r="G473" s="708">
        <v>0</v>
      </c>
      <c r="H473" s="252">
        <f>IF(G473&gt;0,(G473*F473*E473),(F473*E473))</f>
        <v>49900</v>
      </c>
      <c r="I473" s="924"/>
    </row>
    <row r="474" spans="1:9" s="818" customFormat="1" ht="12.75" x14ac:dyDescent="0.2">
      <c r="A474" s="280" t="s">
        <v>2555</v>
      </c>
      <c r="B474" s="534" t="s">
        <v>2667</v>
      </c>
      <c r="C474" s="827" t="s">
        <v>2600</v>
      </c>
      <c r="D474" s="828" t="str">
        <f>VLOOKUP(B474,'[2]BASE DE DATOS'!$A$5:$E$961,3,FALSE)</f>
        <v>Día</v>
      </c>
      <c r="E474" s="829">
        <v>1</v>
      </c>
      <c r="F474" s="256">
        <f>VLOOKUP(B474,'[1]BASE DE DATOS'!$A$5:$E$964,5,FALSE)</f>
        <v>319246</v>
      </c>
      <c r="G474" s="708">
        <f>1/20</f>
        <v>0.05</v>
      </c>
      <c r="H474" s="252">
        <f t="shared" si="29"/>
        <v>15962.300000000001</v>
      </c>
      <c r="I474" s="924"/>
    </row>
    <row r="475" spans="1:9" s="818" customFormat="1" ht="13.5" thickBot="1" x14ac:dyDescent="0.25">
      <c r="A475" s="611" t="s">
        <v>293</v>
      </c>
      <c r="B475" s="536" t="s">
        <v>269</v>
      </c>
      <c r="C475" s="235" t="s">
        <v>284</v>
      </c>
      <c r="D475" s="613" t="s">
        <v>2199</v>
      </c>
      <c r="E475" s="724">
        <v>0.05</v>
      </c>
      <c r="F475" s="830">
        <f>H474</f>
        <v>15962.300000000001</v>
      </c>
      <c r="G475" s="723">
        <v>0</v>
      </c>
      <c r="H475" s="479">
        <f t="shared" si="29"/>
        <v>798.11500000000012</v>
      </c>
      <c r="I475" s="924"/>
    </row>
    <row r="476" spans="1:9" s="818" customFormat="1" ht="48.75" customHeight="1" x14ac:dyDescent="0.2">
      <c r="A476" s="864" t="s">
        <v>4177</v>
      </c>
      <c r="B476" s="872"/>
      <c r="C476" s="264" t="s">
        <v>4168</v>
      </c>
      <c r="D476" s="265" t="s">
        <v>411</v>
      </c>
      <c r="E476" s="707"/>
      <c r="F476" s="259">
        <f>ROUND(SUM(H476:H481),0)</f>
        <v>67305</v>
      </c>
      <c r="G476" s="711"/>
      <c r="H476" s="250"/>
      <c r="I476" s="924"/>
    </row>
    <row r="477" spans="1:9" s="818" customFormat="1" ht="12.75" x14ac:dyDescent="0.2">
      <c r="A477" s="1071" t="s">
        <v>382</v>
      </c>
      <c r="B477" s="533" t="s">
        <v>4065</v>
      </c>
      <c r="C477" s="822" t="s">
        <v>4155</v>
      </c>
      <c r="D477" s="266" t="str">
        <f>VLOOKUP(B477,'[2]BASE DE DATOS'!$A$5:$E$961,3,FALSE)</f>
        <v>Un</v>
      </c>
      <c r="E477" s="704">
        <v>3</v>
      </c>
      <c r="F477" s="256">
        <f>VLOOKUP(B477,'[1]BASE DE DATOS'!$A$5:$E$964,5,FALSE)</f>
        <v>36</v>
      </c>
      <c r="G477" s="708">
        <v>1.333</v>
      </c>
      <c r="H477" s="252">
        <f>IF(G477&gt;0,(G477*F477*E477),(F477*E477))</f>
        <v>143.964</v>
      </c>
      <c r="I477" s="924"/>
    </row>
    <row r="478" spans="1:9" s="818" customFormat="1" ht="12.75" x14ac:dyDescent="0.2">
      <c r="A478" s="1071"/>
      <c r="B478" s="533" t="s">
        <v>4063</v>
      </c>
      <c r="C478" s="822" t="s">
        <v>4064</v>
      </c>
      <c r="D478" s="266" t="str">
        <f>VLOOKUP(B478,'[2]BASE DE DATOS'!$A$5:$E$961,3,FALSE)</f>
        <v>Un</v>
      </c>
      <c r="E478" s="704">
        <v>6</v>
      </c>
      <c r="F478" s="256">
        <f>VLOOKUP(B478,'[1]BASE DE DATOS'!$A$5:$E$964,5,FALSE)</f>
        <v>55.57</v>
      </c>
      <c r="G478" s="708">
        <v>1.5</v>
      </c>
      <c r="H478" s="252">
        <f t="shared" ref="H478:H481" si="30">IF(G478&gt;0,(G478*F478*E478),(F478*E478))</f>
        <v>500.13</v>
      </c>
      <c r="I478" s="924"/>
    </row>
    <row r="479" spans="1:9" s="818" customFormat="1" ht="25.5" x14ac:dyDescent="0.2">
      <c r="A479" s="1071"/>
      <c r="B479" s="533" t="s">
        <v>4068</v>
      </c>
      <c r="C479" s="832" t="s">
        <v>4069</v>
      </c>
      <c r="D479" s="266" t="str">
        <f>VLOOKUP(B479,'[2]BASE DE DATOS'!$A$5:$E$961,3,FALSE)</f>
        <v>Un</v>
      </c>
      <c r="E479" s="704">
        <v>1</v>
      </c>
      <c r="F479" s="256">
        <f>VLOOKUP(B479,'[1]BASE DE DATOS'!$A$5:$E$964,5,FALSE)</f>
        <v>49900</v>
      </c>
      <c r="G479" s="708">
        <v>0</v>
      </c>
      <c r="H479" s="252">
        <f>IF(G479&gt;0,(G479*F479*E479),(F479*E479))</f>
        <v>49900</v>
      </c>
      <c r="I479" s="924"/>
    </row>
    <row r="480" spans="1:9" s="818" customFormat="1" ht="12.75" x14ac:dyDescent="0.2">
      <c r="A480" s="280" t="s">
        <v>2555</v>
      </c>
      <c r="B480" s="534" t="s">
        <v>2667</v>
      </c>
      <c r="C480" s="822" t="s">
        <v>2600</v>
      </c>
      <c r="D480" s="266" t="str">
        <f>VLOOKUP(B480,'[2]BASE DE DATOS'!$A$5:$E$961,3,FALSE)</f>
        <v>Día</v>
      </c>
      <c r="E480" s="704">
        <v>1</v>
      </c>
      <c r="F480" s="256">
        <f>VLOOKUP(B480,'[1]BASE DE DATOS'!$A$5:$E$964,5,FALSE)</f>
        <v>319246</v>
      </c>
      <c r="G480" s="708">
        <f>1/20</f>
        <v>0.05</v>
      </c>
      <c r="H480" s="252">
        <f t="shared" si="30"/>
        <v>15962.300000000001</v>
      </c>
      <c r="I480" s="924"/>
    </row>
    <row r="481" spans="1:9" s="818" customFormat="1" ht="13.5" thickBot="1" x14ac:dyDescent="0.25">
      <c r="A481" s="287" t="s">
        <v>293</v>
      </c>
      <c r="B481" s="535" t="s">
        <v>269</v>
      </c>
      <c r="C481" s="235" t="s">
        <v>284</v>
      </c>
      <c r="D481" s="177" t="s">
        <v>2199</v>
      </c>
      <c r="E481" s="724">
        <v>0.05</v>
      </c>
      <c r="F481" s="256">
        <f>H480</f>
        <v>15962.300000000001</v>
      </c>
      <c r="G481" s="708">
        <v>0</v>
      </c>
      <c r="H481" s="252">
        <f t="shared" si="30"/>
        <v>798.11500000000012</v>
      </c>
      <c r="I481" s="924"/>
    </row>
    <row r="482" spans="1:9" s="818" customFormat="1" ht="51" customHeight="1" x14ac:dyDescent="0.2">
      <c r="A482" s="864" t="s">
        <v>4178</v>
      </c>
      <c r="B482" s="872"/>
      <c r="C482" s="264" t="s">
        <v>4169</v>
      </c>
      <c r="D482" s="265" t="s">
        <v>411</v>
      </c>
      <c r="E482" s="707"/>
      <c r="F482" s="259">
        <f>ROUND(SUM(H482:H487),0)</f>
        <v>79305</v>
      </c>
      <c r="G482" s="711"/>
      <c r="H482" s="250"/>
      <c r="I482" s="924"/>
    </row>
    <row r="483" spans="1:9" s="818" customFormat="1" ht="12.75" x14ac:dyDescent="0.2">
      <c r="A483" s="1071" t="s">
        <v>382</v>
      </c>
      <c r="B483" s="533" t="s">
        <v>4065</v>
      </c>
      <c r="C483" s="822" t="s">
        <v>4155</v>
      </c>
      <c r="D483" s="266" t="str">
        <f>VLOOKUP(B483,'[2]BASE DE DATOS'!$A$5:$E$961,3,FALSE)</f>
        <v>Un</v>
      </c>
      <c r="E483" s="704">
        <v>3</v>
      </c>
      <c r="F483" s="256">
        <f>VLOOKUP(B483,'[1]BASE DE DATOS'!$A$5:$E$964,5,FALSE)</f>
        <v>36</v>
      </c>
      <c r="G483" s="708">
        <v>1.333</v>
      </c>
      <c r="H483" s="252">
        <f>IF(G483&gt;0,(G483*F483*E483),(F483*E483))</f>
        <v>143.964</v>
      </c>
      <c r="I483" s="924"/>
    </row>
    <row r="484" spans="1:9" s="818" customFormat="1" ht="12.75" x14ac:dyDescent="0.2">
      <c r="A484" s="1071"/>
      <c r="B484" s="533" t="s">
        <v>4063</v>
      </c>
      <c r="C484" s="822" t="s">
        <v>4064</v>
      </c>
      <c r="D484" s="266" t="str">
        <f>VLOOKUP(B484,'[2]BASE DE DATOS'!$A$5:$E$961,3,FALSE)</f>
        <v>Un</v>
      </c>
      <c r="E484" s="704">
        <v>6</v>
      </c>
      <c r="F484" s="256">
        <f>VLOOKUP(B484,'[1]BASE DE DATOS'!$A$5:$E$964,5,FALSE)</f>
        <v>55.57</v>
      </c>
      <c r="G484" s="708">
        <v>1.5</v>
      </c>
      <c r="H484" s="252">
        <f t="shared" ref="H484:H487" si="31">IF(G484&gt;0,(G484*F484*E484),(F484*E484))</f>
        <v>500.13</v>
      </c>
      <c r="I484" s="924"/>
    </row>
    <row r="485" spans="1:9" s="818" customFormat="1" ht="25.5" x14ac:dyDescent="0.2">
      <c r="A485" s="1071"/>
      <c r="B485" s="533" t="s">
        <v>4070</v>
      </c>
      <c r="C485" s="832" t="s">
        <v>4071</v>
      </c>
      <c r="D485" s="266" t="str">
        <f>VLOOKUP(B485,'[2]BASE DE DATOS'!$A$5:$E$961,3,FALSE)</f>
        <v>Un</v>
      </c>
      <c r="E485" s="704">
        <v>1</v>
      </c>
      <c r="F485" s="256">
        <f>VLOOKUP(B485,'[1]BASE DE DATOS'!$A$5:$E$964,5,FALSE)</f>
        <v>61900</v>
      </c>
      <c r="G485" s="708">
        <v>0</v>
      </c>
      <c r="H485" s="252">
        <f>IF(G485&gt;0,(G485*F485*E485),(F485*E485))</f>
        <v>61900</v>
      </c>
      <c r="I485" s="924"/>
    </row>
    <row r="486" spans="1:9" s="818" customFormat="1" ht="12.75" x14ac:dyDescent="0.2">
      <c r="A486" s="280" t="s">
        <v>2555</v>
      </c>
      <c r="B486" s="534" t="s">
        <v>2667</v>
      </c>
      <c r="C486" s="822" t="s">
        <v>2600</v>
      </c>
      <c r="D486" s="266" t="s">
        <v>585</v>
      </c>
      <c r="E486" s="704">
        <v>1</v>
      </c>
      <c r="F486" s="256">
        <f>VLOOKUP(B486,'[1]BASE DE DATOS'!$A$5:$E$964,5,FALSE)</f>
        <v>319246</v>
      </c>
      <c r="G486" s="708">
        <f>1/20</f>
        <v>0.05</v>
      </c>
      <c r="H486" s="252">
        <f t="shared" si="31"/>
        <v>15962.300000000001</v>
      </c>
      <c r="I486" s="924"/>
    </row>
    <row r="487" spans="1:9" s="818" customFormat="1" ht="13.5" thickBot="1" x14ac:dyDescent="0.25">
      <c r="A487" s="287" t="s">
        <v>293</v>
      </c>
      <c r="B487" s="535" t="s">
        <v>269</v>
      </c>
      <c r="C487" s="235" t="s">
        <v>284</v>
      </c>
      <c r="D487" s="177" t="s">
        <v>2199</v>
      </c>
      <c r="E487" s="724">
        <v>0.05</v>
      </c>
      <c r="F487" s="256">
        <f>H486</f>
        <v>15962.300000000001</v>
      </c>
      <c r="G487" s="708">
        <v>0</v>
      </c>
      <c r="H487" s="252">
        <f t="shared" si="31"/>
        <v>798.11500000000012</v>
      </c>
      <c r="I487" s="924"/>
    </row>
    <row r="488" spans="1:9" s="818" customFormat="1" ht="46.5" customHeight="1" x14ac:dyDescent="0.2">
      <c r="A488" s="864" t="s">
        <v>4179</v>
      </c>
      <c r="B488" s="872"/>
      <c r="C488" s="264" t="s">
        <v>4120</v>
      </c>
      <c r="D488" s="265" t="s">
        <v>411</v>
      </c>
      <c r="E488" s="707"/>
      <c r="F488" s="259">
        <f>ROUND(SUM(H488:H493),0)</f>
        <v>79305</v>
      </c>
      <c r="G488" s="711"/>
      <c r="H488" s="250"/>
      <c r="I488" s="924"/>
    </row>
    <row r="489" spans="1:9" s="818" customFormat="1" ht="12.75" x14ac:dyDescent="0.2">
      <c r="A489" s="1071" t="s">
        <v>382</v>
      </c>
      <c r="B489" s="533" t="s">
        <v>4065</v>
      </c>
      <c r="C489" s="822" t="s">
        <v>4155</v>
      </c>
      <c r="D489" s="266" t="str">
        <f>VLOOKUP(B489,'[2]BASE DE DATOS'!$A$5:$E$961,3,FALSE)</f>
        <v>Un</v>
      </c>
      <c r="E489" s="704">
        <v>3</v>
      </c>
      <c r="F489" s="256">
        <f>VLOOKUP(B489,'[1]BASE DE DATOS'!$A$5:$E$964,5,FALSE)</f>
        <v>36</v>
      </c>
      <c r="G489" s="708">
        <v>1.333</v>
      </c>
      <c r="H489" s="252">
        <f>IF(G489&gt;0,(G489*F489*E489),(F489*E489))</f>
        <v>143.964</v>
      </c>
      <c r="I489" s="924"/>
    </row>
    <row r="490" spans="1:9" s="818" customFormat="1" ht="12.75" x14ac:dyDescent="0.2">
      <c r="A490" s="1071"/>
      <c r="B490" s="533" t="s">
        <v>4063</v>
      </c>
      <c r="C490" s="832" t="s">
        <v>4064</v>
      </c>
      <c r="D490" s="266" t="str">
        <f>VLOOKUP(B490,'[2]BASE DE DATOS'!$A$5:$E$961,3,FALSE)</f>
        <v>Un</v>
      </c>
      <c r="E490" s="704">
        <v>6</v>
      </c>
      <c r="F490" s="256">
        <f>VLOOKUP(B490,'[1]BASE DE DATOS'!$A$5:$E$964,5,FALSE)</f>
        <v>55.57</v>
      </c>
      <c r="G490" s="708">
        <v>1.5</v>
      </c>
      <c r="H490" s="252">
        <f t="shared" ref="H490:H493" si="32">IF(G490&gt;0,(G490*F490*E490),(F490*E490))</f>
        <v>500.13</v>
      </c>
      <c r="I490" s="924"/>
    </row>
    <row r="491" spans="1:9" s="818" customFormat="1" ht="25.5" x14ac:dyDescent="0.2">
      <c r="A491" s="1071"/>
      <c r="B491" s="533" t="s">
        <v>4072</v>
      </c>
      <c r="C491" s="832" t="s">
        <v>4073</v>
      </c>
      <c r="D491" s="266" t="str">
        <f>VLOOKUP(B491,'[2]BASE DE DATOS'!$A$5:$E$961,3,FALSE)</f>
        <v>Un</v>
      </c>
      <c r="E491" s="704">
        <v>1</v>
      </c>
      <c r="F491" s="256">
        <f>VLOOKUP(B491,'[1]BASE DE DATOS'!$A$5:$E$964,5,FALSE)</f>
        <v>61900</v>
      </c>
      <c r="G491" s="708">
        <v>0</v>
      </c>
      <c r="H491" s="252">
        <f>IF(G491&gt;0,(G491*F491*E491),(F491*E491))</f>
        <v>61900</v>
      </c>
      <c r="I491" s="924"/>
    </row>
    <row r="492" spans="1:9" s="818" customFormat="1" ht="12.75" x14ac:dyDescent="0.2">
      <c r="A492" s="280" t="s">
        <v>2555</v>
      </c>
      <c r="B492" s="534" t="s">
        <v>2667</v>
      </c>
      <c r="C492" s="822" t="s">
        <v>2600</v>
      </c>
      <c r="D492" s="266" t="str">
        <f>VLOOKUP(B492,'[2]BASE DE DATOS'!$A$5:$E$961,3,FALSE)</f>
        <v>Día</v>
      </c>
      <c r="E492" s="704">
        <v>1</v>
      </c>
      <c r="F492" s="256">
        <f>VLOOKUP(B492,'[1]BASE DE DATOS'!$A$5:$E$964,5,FALSE)</f>
        <v>319246</v>
      </c>
      <c r="G492" s="708">
        <f>1/20</f>
        <v>0.05</v>
      </c>
      <c r="H492" s="252">
        <f t="shared" si="32"/>
        <v>15962.300000000001</v>
      </c>
      <c r="I492" s="924"/>
    </row>
    <row r="493" spans="1:9" s="818" customFormat="1" ht="13.5" thickBot="1" x14ac:dyDescent="0.25">
      <c r="A493" s="287" t="s">
        <v>293</v>
      </c>
      <c r="B493" s="535" t="s">
        <v>269</v>
      </c>
      <c r="C493" s="235" t="s">
        <v>284</v>
      </c>
      <c r="D493" s="177" t="s">
        <v>2199</v>
      </c>
      <c r="E493" s="724">
        <v>0.05</v>
      </c>
      <c r="F493" s="256">
        <f>H492</f>
        <v>15962.300000000001</v>
      </c>
      <c r="G493" s="708">
        <v>0</v>
      </c>
      <c r="H493" s="252">
        <f t="shared" si="32"/>
        <v>798.11500000000012</v>
      </c>
      <c r="I493" s="924"/>
    </row>
    <row r="494" spans="1:9" s="818" customFormat="1" ht="60" x14ac:dyDescent="0.2">
      <c r="A494" s="864" t="s">
        <v>4180</v>
      </c>
      <c r="B494" s="872"/>
      <c r="C494" s="264" t="s">
        <v>4121</v>
      </c>
      <c r="D494" s="265" t="s">
        <v>411</v>
      </c>
      <c r="E494" s="707"/>
      <c r="F494" s="259">
        <f>ROUND(SUM(H494:H499),0)</f>
        <v>80005</v>
      </c>
      <c r="G494" s="711"/>
      <c r="H494" s="250"/>
      <c r="I494" s="924"/>
    </row>
    <row r="495" spans="1:9" s="818" customFormat="1" ht="12.75" x14ac:dyDescent="0.2">
      <c r="A495" s="801"/>
      <c r="B495" s="533" t="s">
        <v>4065</v>
      </c>
      <c r="C495" s="822" t="s">
        <v>4155</v>
      </c>
      <c r="D495" s="266" t="str">
        <f>VLOOKUP(B495,'[2]BASE DE DATOS'!$A$5:$E$961,3,FALSE)</f>
        <v>Un</v>
      </c>
      <c r="E495" s="704">
        <v>3</v>
      </c>
      <c r="F495" s="256">
        <f>VLOOKUP(B495,'[1]BASE DE DATOS'!$A$5:$E$964,5,FALSE)</f>
        <v>36</v>
      </c>
      <c r="G495" s="708">
        <v>1.333</v>
      </c>
      <c r="H495" s="252">
        <f>IF(G495&gt;0,(G495*F495*E495),(F495*E495))</f>
        <v>143.964</v>
      </c>
      <c r="I495" s="924"/>
    </row>
    <row r="496" spans="1:9" s="818" customFormat="1" ht="12.75" x14ac:dyDescent="0.2">
      <c r="A496" s="801"/>
      <c r="B496" s="533" t="s">
        <v>4063</v>
      </c>
      <c r="C496" s="822" t="s">
        <v>4064</v>
      </c>
      <c r="D496" s="266" t="str">
        <f>VLOOKUP(B496,'[2]BASE DE DATOS'!$A$5:$E$961,3,FALSE)</f>
        <v>Un</v>
      </c>
      <c r="E496" s="704">
        <v>6</v>
      </c>
      <c r="F496" s="256">
        <f>VLOOKUP(B496,'[1]BASE DE DATOS'!$A$5:$E$964,5,FALSE)</f>
        <v>55.57</v>
      </c>
      <c r="G496" s="708">
        <v>1.5</v>
      </c>
      <c r="H496" s="252">
        <f t="shared" ref="H496:H499" si="33">IF(G496&gt;0,(G496*F496*E496),(F496*E496))</f>
        <v>500.13</v>
      </c>
      <c r="I496" s="924"/>
    </row>
    <row r="497" spans="1:9" s="818" customFormat="1" ht="25.5" x14ac:dyDescent="0.2">
      <c r="A497" s="801" t="s">
        <v>382</v>
      </c>
      <c r="B497" s="533" t="s">
        <v>4074</v>
      </c>
      <c r="C497" s="832" t="s">
        <v>4075</v>
      </c>
      <c r="D497" s="266" t="str">
        <f>VLOOKUP(B497,'[2]BASE DE DATOS'!$A$5:$E$961,3,FALSE)</f>
        <v>Un</v>
      </c>
      <c r="E497" s="704">
        <v>1</v>
      </c>
      <c r="F497" s="256">
        <f>VLOOKUP(B497,'[1]BASE DE DATOS'!$A$5:$E$964,5,FALSE)</f>
        <v>62600</v>
      </c>
      <c r="G497" s="708">
        <v>0</v>
      </c>
      <c r="H497" s="252">
        <f>IF(G497&gt;0,(G497*F497*E497),(F497*E497))</f>
        <v>62600</v>
      </c>
      <c r="I497" s="924"/>
    </row>
    <row r="498" spans="1:9" s="818" customFormat="1" ht="12.75" x14ac:dyDescent="0.2">
      <c r="A498" s="280" t="s">
        <v>2555</v>
      </c>
      <c r="B498" s="534" t="s">
        <v>2667</v>
      </c>
      <c r="C498" s="822" t="s">
        <v>2600</v>
      </c>
      <c r="D498" s="266" t="str">
        <f>VLOOKUP(B498,'[2]BASE DE DATOS'!$A$5:$E$961,3,FALSE)</f>
        <v>Día</v>
      </c>
      <c r="E498" s="704">
        <v>1</v>
      </c>
      <c r="F498" s="256">
        <f>VLOOKUP(B498,'[1]BASE DE DATOS'!$A$5:$E$964,5,FALSE)</f>
        <v>319246</v>
      </c>
      <c r="G498" s="708">
        <f>1/20</f>
        <v>0.05</v>
      </c>
      <c r="H498" s="252">
        <f t="shared" si="33"/>
        <v>15962.300000000001</v>
      </c>
      <c r="I498" s="924"/>
    </row>
    <row r="499" spans="1:9" s="818" customFormat="1" ht="13.5" thickBot="1" x14ac:dyDescent="0.25">
      <c r="A499" s="287" t="s">
        <v>293</v>
      </c>
      <c r="B499" s="535" t="s">
        <v>269</v>
      </c>
      <c r="C499" s="235" t="s">
        <v>284</v>
      </c>
      <c r="D499" s="177" t="s">
        <v>2199</v>
      </c>
      <c r="E499" s="724">
        <v>0.05</v>
      </c>
      <c r="F499" s="256">
        <f>H498</f>
        <v>15962.300000000001</v>
      </c>
      <c r="G499" s="708">
        <v>0</v>
      </c>
      <c r="H499" s="252">
        <f t="shared" si="33"/>
        <v>798.11500000000012</v>
      </c>
      <c r="I499" s="924"/>
    </row>
    <row r="500" spans="1:9" s="818" customFormat="1" ht="60" x14ac:dyDescent="0.2">
      <c r="A500" s="864" t="s">
        <v>4181</v>
      </c>
      <c r="B500" s="872"/>
      <c r="C500" s="264" t="s">
        <v>4122</v>
      </c>
      <c r="D500" s="265" t="s">
        <v>411</v>
      </c>
      <c r="E500" s="707"/>
      <c r="F500" s="259">
        <f>ROUND(SUM(H500:H505),0)</f>
        <v>115205</v>
      </c>
      <c r="G500" s="711"/>
      <c r="H500" s="250"/>
      <c r="I500" s="924"/>
    </row>
    <row r="501" spans="1:9" s="818" customFormat="1" ht="12.75" x14ac:dyDescent="0.2">
      <c r="A501" s="1071" t="s">
        <v>382</v>
      </c>
      <c r="B501" s="533" t="s">
        <v>4065</v>
      </c>
      <c r="C501" s="822" t="s">
        <v>4155</v>
      </c>
      <c r="D501" s="266" t="str">
        <f>VLOOKUP(B501,'[2]BASE DE DATOS'!$A$5:$E$961,3,FALSE)</f>
        <v>Un</v>
      </c>
      <c r="E501" s="704">
        <v>3</v>
      </c>
      <c r="F501" s="256">
        <f>VLOOKUP(B501,'[1]BASE DE DATOS'!$A$5:$E$964,5,FALSE)</f>
        <v>36</v>
      </c>
      <c r="G501" s="708">
        <v>1.333</v>
      </c>
      <c r="H501" s="252">
        <f>IF(G501&gt;0,(G501*F501*E501),(F501*E501))</f>
        <v>143.964</v>
      </c>
      <c r="I501" s="924"/>
    </row>
    <row r="502" spans="1:9" s="818" customFormat="1" ht="12.75" x14ac:dyDescent="0.2">
      <c r="A502" s="1071"/>
      <c r="B502" s="533" t="s">
        <v>4063</v>
      </c>
      <c r="C502" s="822" t="s">
        <v>4064</v>
      </c>
      <c r="D502" s="266" t="str">
        <f>VLOOKUP(B502,'[2]BASE DE DATOS'!$A$5:$E$961,3,FALSE)</f>
        <v>Un</v>
      </c>
      <c r="E502" s="704">
        <v>6</v>
      </c>
      <c r="F502" s="256">
        <f>VLOOKUP(B502,'[1]BASE DE DATOS'!$A$5:$E$964,5,FALSE)</f>
        <v>55.57</v>
      </c>
      <c r="G502" s="708">
        <v>1.5</v>
      </c>
      <c r="H502" s="252">
        <f t="shared" ref="H502:H505" si="34">IF(G502&gt;0,(G502*F502*E502),(F502*E502))</f>
        <v>500.13</v>
      </c>
      <c r="I502" s="924"/>
    </row>
    <row r="503" spans="1:9" s="818" customFormat="1" ht="25.5" x14ac:dyDescent="0.2">
      <c r="A503" s="1071"/>
      <c r="B503" s="533" t="s">
        <v>4076</v>
      </c>
      <c r="C503" s="832" t="s">
        <v>4077</v>
      </c>
      <c r="D503" s="266" t="str">
        <f>VLOOKUP(B503,'[2]BASE DE DATOS'!$A$5:$E$961,3,FALSE)</f>
        <v>Un</v>
      </c>
      <c r="E503" s="704">
        <v>1</v>
      </c>
      <c r="F503" s="256">
        <f>VLOOKUP(B503,'[1]BASE DE DATOS'!$A$5:$E$964,5,FALSE)</f>
        <v>97800</v>
      </c>
      <c r="G503" s="708">
        <v>0</v>
      </c>
      <c r="H503" s="252">
        <f>IF(G503&gt;0,(G503*F503*E503),(F503*E503))</f>
        <v>97800</v>
      </c>
      <c r="I503" s="924"/>
    </row>
    <row r="504" spans="1:9" s="818" customFormat="1" ht="12.75" x14ac:dyDescent="0.2">
      <c r="A504" s="280" t="s">
        <v>2555</v>
      </c>
      <c r="B504" s="534" t="s">
        <v>2667</v>
      </c>
      <c r="C504" s="822" t="s">
        <v>2600</v>
      </c>
      <c r="D504" s="266" t="str">
        <f>VLOOKUP(B504,'[2]BASE DE DATOS'!$A$5:$E$961,3,FALSE)</f>
        <v>Día</v>
      </c>
      <c r="E504" s="704">
        <v>1</v>
      </c>
      <c r="F504" s="256">
        <f>VLOOKUP(B504,'[1]BASE DE DATOS'!$A$5:$E$964,5,FALSE)</f>
        <v>319246</v>
      </c>
      <c r="G504" s="708">
        <f>1/20</f>
        <v>0.05</v>
      </c>
      <c r="H504" s="252">
        <f t="shared" si="34"/>
        <v>15962.300000000001</v>
      </c>
      <c r="I504" s="924"/>
    </row>
    <row r="505" spans="1:9" s="818" customFormat="1" ht="13.5" thickBot="1" x14ac:dyDescent="0.25">
      <c r="A505" s="287" t="s">
        <v>293</v>
      </c>
      <c r="B505" s="535" t="s">
        <v>269</v>
      </c>
      <c r="C505" s="833" t="s">
        <v>284</v>
      </c>
      <c r="D505" s="177" t="s">
        <v>2199</v>
      </c>
      <c r="E505" s="724">
        <v>0.05</v>
      </c>
      <c r="F505" s="256">
        <f>H504</f>
        <v>15962.300000000001</v>
      </c>
      <c r="G505" s="708">
        <v>0</v>
      </c>
      <c r="H505" s="252">
        <f t="shared" si="34"/>
        <v>798.11500000000012</v>
      </c>
      <c r="I505" s="924"/>
    </row>
    <row r="506" spans="1:9" s="818" customFormat="1" ht="38.25" x14ac:dyDescent="0.2">
      <c r="A506" s="864" t="s">
        <v>4182</v>
      </c>
      <c r="B506" s="872"/>
      <c r="C506" s="834" t="s">
        <v>4123</v>
      </c>
      <c r="D506" s="265" t="s">
        <v>411</v>
      </c>
      <c r="E506" s="707"/>
      <c r="F506" s="259">
        <f>ROUND(SUM(H506:H511),0)</f>
        <v>115205</v>
      </c>
      <c r="G506" s="711"/>
      <c r="H506" s="250"/>
      <c r="I506" s="924"/>
    </row>
    <row r="507" spans="1:9" s="818" customFormat="1" ht="12.75" x14ac:dyDescent="0.2">
      <c r="A507" s="1071" t="s">
        <v>382</v>
      </c>
      <c r="B507" s="533" t="s">
        <v>4065</v>
      </c>
      <c r="C507" s="822" t="s">
        <v>4155</v>
      </c>
      <c r="D507" s="266" t="str">
        <f>VLOOKUP(B507,'[2]BASE DE DATOS'!$A$5:$E$961,3,FALSE)</f>
        <v>Un</v>
      </c>
      <c r="E507" s="704">
        <v>3</v>
      </c>
      <c r="F507" s="256">
        <f>VLOOKUP(B507,'[1]BASE DE DATOS'!$A$5:$E$964,5,FALSE)</f>
        <v>36</v>
      </c>
      <c r="G507" s="708">
        <v>1.333</v>
      </c>
      <c r="H507" s="252">
        <f>IF(G507&gt;0,(G507*F507*E507),(F507*E507))</f>
        <v>143.964</v>
      </c>
      <c r="I507" s="924"/>
    </row>
    <row r="508" spans="1:9" s="818" customFormat="1" ht="12.75" x14ac:dyDescent="0.2">
      <c r="A508" s="1071"/>
      <c r="B508" s="533" t="s">
        <v>4063</v>
      </c>
      <c r="C508" s="822" t="s">
        <v>4064</v>
      </c>
      <c r="D508" s="266" t="str">
        <f>VLOOKUP(B508,'[2]BASE DE DATOS'!$A$5:$E$961,3,FALSE)</f>
        <v>Un</v>
      </c>
      <c r="E508" s="704">
        <v>6</v>
      </c>
      <c r="F508" s="256">
        <f>VLOOKUP(B508,'[1]BASE DE DATOS'!$A$5:$E$964,5,FALSE)</f>
        <v>55.57</v>
      </c>
      <c r="G508" s="708">
        <v>1.5</v>
      </c>
      <c r="H508" s="252">
        <f t="shared" ref="H508:H511" si="35">IF(G508&gt;0,(G508*F508*E508),(F508*E508))</f>
        <v>500.13</v>
      </c>
      <c r="I508" s="924"/>
    </row>
    <row r="509" spans="1:9" s="818" customFormat="1" ht="25.5" x14ac:dyDescent="0.2">
      <c r="A509" s="1071"/>
      <c r="B509" s="533" t="s">
        <v>4078</v>
      </c>
      <c r="C509" s="832" t="s">
        <v>4079</v>
      </c>
      <c r="D509" s="266" t="str">
        <f>VLOOKUP(B509,'[2]BASE DE DATOS'!$A$5:$E$961,3,FALSE)</f>
        <v>Un</v>
      </c>
      <c r="E509" s="704">
        <v>1</v>
      </c>
      <c r="F509" s="256">
        <f>VLOOKUP(B509,'[1]BASE DE DATOS'!$A$5:$E$964,5,FALSE)</f>
        <v>97800</v>
      </c>
      <c r="G509" s="708">
        <v>0</v>
      </c>
      <c r="H509" s="252">
        <f>IF(G509&gt;0,(G509*F509*E509),(F509*E509))</f>
        <v>97800</v>
      </c>
      <c r="I509" s="924"/>
    </row>
    <row r="510" spans="1:9" s="818" customFormat="1" ht="12.75" x14ac:dyDescent="0.2">
      <c r="A510" s="280" t="s">
        <v>2555</v>
      </c>
      <c r="B510" s="534" t="s">
        <v>2667</v>
      </c>
      <c r="C510" s="822" t="s">
        <v>2600</v>
      </c>
      <c r="D510" s="266" t="str">
        <f>VLOOKUP(B510,'[2]BASE DE DATOS'!$A$5:$E$961,3,FALSE)</f>
        <v>Día</v>
      </c>
      <c r="E510" s="704">
        <v>1</v>
      </c>
      <c r="F510" s="256">
        <f>VLOOKUP(B510,'[1]BASE DE DATOS'!$A$5:$E$964,5,FALSE)</f>
        <v>319246</v>
      </c>
      <c r="G510" s="708">
        <f>1/20</f>
        <v>0.05</v>
      </c>
      <c r="H510" s="252">
        <f t="shared" si="35"/>
        <v>15962.300000000001</v>
      </c>
      <c r="I510" s="924"/>
    </row>
    <row r="511" spans="1:9" s="818" customFormat="1" ht="13.5" thickBot="1" x14ac:dyDescent="0.25">
      <c r="A511" s="287" t="s">
        <v>293</v>
      </c>
      <c r="B511" s="535" t="s">
        <v>269</v>
      </c>
      <c r="C511" s="235" t="s">
        <v>284</v>
      </c>
      <c r="D511" s="177" t="s">
        <v>2199</v>
      </c>
      <c r="E511" s="724">
        <v>0.05</v>
      </c>
      <c r="F511" s="256">
        <f>H510</f>
        <v>15962.300000000001</v>
      </c>
      <c r="G511" s="708">
        <v>0</v>
      </c>
      <c r="H511" s="252">
        <f t="shared" si="35"/>
        <v>798.11500000000012</v>
      </c>
      <c r="I511" s="924"/>
    </row>
    <row r="512" spans="1:9" s="818" customFormat="1" ht="51" customHeight="1" x14ac:dyDescent="0.2">
      <c r="A512" s="864" t="s">
        <v>4183</v>
      </c>
      <c r="B512" s="872"/>
      <c r="C512" s="264" t="s">
        <v>4170</v>
      </c>
      <c r="D512" s="265" t="s">
        <v>411</v>
      </c>
      <c r="E512" s="707"/>
      <c r="F512" s="259">
        <f>ROUND(SUM(H512:H517),0)</f>
        <v>115205</v>
      </c>
      <c r="G512" s="711"/>
      <c r="H512" s="250"/>
      <c r="I512" s="924"/>
    </row>
    <row r="513" spans="1:10" s="818" customFormat="1" ht="12.75" x14ac:dyDescent="0.2">
      <c r="A513" s="1071" t="s">
        <v>382</v>
      </c>
      <c r="B513" s="533" t="s">
        <v>4065</v>
      </c>
      <c r="C513" s="822" t="s">
        <v>4155</v>
      </c>
      <c r="D513" s="266" t="str">
        <f>VLOOKUP(B513,'[2]BASE DE DATOS'!$A$5:$E$961,3,FALSE)</f>
        <v>Un</v>
      </c>
      <c r="E513" s="704">
        <v>3</v>
      </c>
      <c r="F513" s="256">
        <f>VLOOKUP(B513,'[1]BASE DE DATOS'!$A$5:$E$964,5,FALSE)</f>
        <v>36</v>
      </c>
      <c r="G513" s="708">
        <v>1.333</v>
      </c>
      <c r="H513" s="252">
        <f>IF(G513&gt;0,(G513*F513*E513),(F513*E513))</f>
        <v>143.964</v>
      </c>
      <c r="I513" s="924"/>
    </row>
    <row r="514" spans="1:10" s="818" customFormat="1" ht="12.75" x14ac:dyDescent="0.2">
      <c r="A514" s="1071"/>
      <c r="B514" s="533" t="s">
        <v>4063</v>
      </c>
      <c r="C514" s="822" t="s">
        <v>4064</v>
      </c>
      <c r="D514" s="266" t="str">
        <f>VLOOKUP(B514,'[2]BASE DE DATOS'!$A$5:$E$961,3,FALSE)</f>
        <v>Un</v>
      </c>
      <c r="E514" s="704">
        <v>6</v>
      </c>
      <c r="F514" s="256">
        <f>VLOOKUP(B514,'[1]BASE DE DATOS'!$A$5:$E$964,5,FALSE)</f>
        <v>55.57</v>
      </c>
      <c r="G514" s="708">
        <v>1.5</v>
      </c>
      <c r="H514" s="252">
        <f t="shared" ref="H514:H517" si="36">IF(G514&gt;0,(G514*F514*E514),(F514*E514))</f>
        <v>500.13</v>
      </c>
      <c r="I514" s="924"/>
    </row>
    <row r="515" spans="1:10" s="818" customFormat="1" ht="25.5" x14ac:dyDescent="0.2">
      <c r="A515" s="1071"/>
      <c r="B515" s="533" t="s">
        <v>4080</v>
      </c>
      <c r="C515" s="832" t="s">
        <v>4081</v>
      </c>
      <c r="D515" s="266" t="str">
        <f>VLOOKUP(B515,'[2]BASE DE DATOS'!$A$5:$E$961,3,FALSE)</f>
        <v>Un</v>
      </c>
      <c r="E515" s="704">
        <v>1</v>
      </c>
      <c r="F515" s="256">
        <f>VLOOKUP(B515,'[1]BASE DE DATOS'!$A$5:$E$964,5,FALSE)</f>
        <v>97800</v>
      </c>
      <c r="G515" s="708">
        <v>0</v>
      </c>
      <c r="H515" s="252">
        <f>IF(G515&gt;0,(G515*F515*E515),(F515*E515))</f>
        <v>97800</v>
      </c>
      <c r="I515" s="924"/>
    </row>
    <row r="516" spans="1:10" s="818" customFormat="1" ht="12.75" x14ac:dyDescent="0.2">
      <c r="A516" s="280" t="s">
        <v>2555</v>
      </c>
      <c r="B516" s="534" t="s">
        <v>2667</v>
      </c>
      <c r="C516" s="822" t="s">
        <v>2600</v>
      </c>
      <c r="D516" s="266" t="s">
        <v>585</v>
      </c>
      <c r="E516" s="704">
        <v>1</v>
      </c>
      <c r="F516" s="256">
        <f>VLOOKUP(B516,'[1]BASE DE DATOS'!$A$5:$E$964,5,FALSE)</f>
        <v>319246</v>
      </c>
      <c r="G516" s="708">
        <f>1/20</f>
        <v>0.05</v>
      </c>
      <c r="H516" s="252">
        <f t="shared" si="36"/>
        <v>15962.300000000001</v>
      </c>
      <c r="I516" s="924"/>
    </row>
    <row r="517" spans="1:10" s="818" customFormat="1" ht="13.5" thickBot="1" x14ac:dyDescent="0.25">
      <c r="A517" s="287" t="s">
        <v>293</v>
      </c>
      <c r="B517" s="535" t="s">
        <v>269</v>
      </c>
      <c r="C517" s="235" t="s">
        <v>284</v>
      </c>
      <c r="D517" s="177" t="s">
        <v>2199</v>
      </c>
      <c r="E517" s="724">
        <v>0.05</v>
      </c>
      <c r="F517" s="256">
        <f>H516</f>
        <v>15962.300000000001</v>
      </c>
      <c r="G517" s="708">
        <v>0</v>
      </c>
      <c r="H517" s="252">
        <f t="shared" si="36"/>
        <v>798.11500000000012</v>
      </c>
      <c r="I517" s="924"/>
    </row>
    <row r="518" spans="1:10" ht="15" x14ac:dyDescent="0.2">
      <c r="A518" s="270" t="s">
        <v>4184</v>
      </c>
      <c r="B518" s="870"/>
      <c r="C518" s="264" t="s">
        <v>4171</v>
      </c>
      <c r="D518" s="265" t="s">
        <v>411</v>
      </c>
      <c r="E518" s="707"/>
      <c r="F518" s="259">
        <f>ROUND(SUM(H518:H521),0)</f>
        <v>324733</v>
      </c>
      <c r="G518" s="711"/>
      <c r="H518" s="250"/>
    </row>
    <row r="519" spans="1:10" s="818" customFormat="1" ht="12.75" x14ac:dyDescent="0.2">
      <c r="A519" s="801" t="s">
        <v>382</v>
      </c>
      <c r="B519" s="533" t="s">
        <v>2909</v>
      </c>
      <c r="C519" s="279" t="s">
        <v>2914</v>
      </c>
      <c r="D519" s="266" t="s">
        <v>411</v>
      </c>
      <c r="E519" s="704">
        <v>1</v>
      </c>
      <c r="F519" s="256">
        <f>VLOOKUP(B519,'[1]BASE DE DATOS'!$A$5:$E$964,5,FALSE)</f>
        <v>228000</v>
      </c>
      <c r="G519" s="708">
        <v>0</v>
      </c>
      <c r="H519" s="252">
        <f t="shared" si="20"/>
        <v>228000</v>
      </c>
      <c r="I519" s="924"/>
    </row>
    <row r="520" spans="1:10" s="818" customFormat="1" ht="12.75" x14ac:dyDescent="0.2">
      <c r="A520" s="280" t="s">
        <v>2555</v>
      </c>
      <c r="B520" s="534" t="s">
        <v>2667</v>
      </c>
      <c r="C520" s="822" t="s">
        <v>2600</v>
      </c>
      <c r="D520" s="266" t="s">
        <v>585</v>
      </c>
      <c r="E520" s="704">
        <v>1</v>
      </c>
      <c r="F520" s="256">
        <f>VLOOKUP(B520,'[1]BASE DE DATOS'!$A$5:$E$964,5,FALSE)</f>
        <v>319246</v>
      </c>
      <c r="G520" s="708">
        <f>1/3.3333</f>
        <v>0.3000030000300003</v>
      </c>
      <c r="H520" s="252">
        <f t="shared" si="20"/>
        <v>95774.757747577474</v>
      </c>
      <c r="I520" s="924"/>
    </row>
    <row r="521" spans="1:10" s="818" customFormat="1" ht="13.5" thickBot="1" x14ac:dyDescent="0.25">
      <c r="A521" s="287" t="s">
        <v>293</v>
      </c>
      <c r="B521" s="535" t="s">
        <v>269</v>
      </c>
      <c r="C521" s="235" t="s">
        <v>284</v>
      </c>
      <c r="D521" s="177" t="s">
        <v>2199</v>
      </c>
      <c r="E521" s="704">
        <v>0.01</v>
      </c>
      <c r="F521" s="251">
        <f>H520</f>
        <v>95774.757747577474</v>
      </c>
      <c r="G521" s="708">
        <v>0</v>
      </c>
      <c r="H521" s="252">
        <f t="shared" si="20"/>
        <v>957.74757747577473</v>
      </c>
      <c r="I521" s="924"/>
    </row>
    <row r="522" spans="1:10" ht="15" x14ac:dyDescent="0.2">
      <c r="A522" s="270" t="s">
        <v>4185</v>
      </c>
      <c r="B522" s="870"/>
      <c r="C522" s="264" t="s">
        <v>3739</v>
      </c>
      <c r="D522" s="265" t="s">
        <v>411</v>
      </c>
      <c r="E522" s="707"/>
      <c r="F522" s="259">
        <f>ROUND(SUM(H522:H525),0)</f>
        <v>141770</v>
      </c>
      <c r="G522" s="711"/>
      <c r="H522" s="250"/>
    </row>
    <row r="523" spans="1:10" s="818" customFormat="1" ht="25.5" x14ac:dyDescent="0.2">
      <c r="A523" s="801" t="s">
        <v>382</v>
      </c>
      <c r="B523" s="533" t="s">
        <v>1399</v>
      </c>
      <c r="C523" s="832" t="s">
        <v>4040</v>
      </c>
      <c r="D523" s="266" t="s">
        <v>411</v>
      </c>
      <c r="E523" s="704">
        <v>1</v>
      </c>
      <c r="F523" s="256">
        <f>VLOOKUP(B523,'[1]BASE DE DATOS'!$A$5:$E$964,5,FALSE)</f>
        <v>114900</v>
      </c>
      <c r="G523" s="708">
        <v>0</v>
      </c>
      <c r="H523" s="252">
        <f t="shared" si="20"/>
        <v>114900</v>
      </c>
      <c r="I523" s="924"/>
    </row>
    <row r="524" spans="1:10" s="818" customFormat="1" ht="12.75" x14ac:dyDescent="0.2">
      <c r="A524" s="280" t="s">
        <v>2555</v>
      </c>
      <c r="B524" s="534" t="s">
        <v>2667</v>
      </c>
      <c r="C524" s="822" t="s">
        <v>2600</v>
      </c>
      <c r="D524" s="266" t="s">
        <v>585</v>
      </c>
      <c r="E524" s="704">
        <v>1</v>
      </c>
      <c r="F524" s="256">
        <f>VLOOKUP(B524,'[1]BASE DE DATOS'!$A$5:$E$964,5,FALSE)</f>
        <v>319246</v>
      </c>
      <c r="G524" s="708">
        <f>1/12</f>
        <v>8.3333333333333329E-2</v>
      </c>
      <c r="H524" s="252">
        <f t="shared" si="20"/>
        <v>26603.833333333332</v>
      </c>
      <c r="I524" s="924"/>
    </row>
    <row r="525" spans="1:10" s="818" customFormat="1" ht="13.5" thickBot="1" x14ac:dyDescent="0.25">
      <c r="A525" s="287" t="s">
        <v>293</v>
      </c>
      <c r="B525" s="535" t="s">
        <v>269</v>
      </c>
      <c r="C525" s="235" t="s">
        <v>284</v>
      </c>
      <c r="D525" s="177" t="s">
        <v>2199</v>
      </c>
      <c r="E525" s="724">
        <v>0.01</v>
      </c>
      <c r="F525" s="251">
        <f>H524</f>
        <v>26603.833333333332</v>
      </c>
      <c r="G525" s="723">
        <v>0</v>
      </c>
      <c r="H525" s="252">
        <f t="shared" si="20"/>
        <v>266.0383333333333</v>
      </c>
      <c r="I525" s="924"/>
    </row>
    <row r="526" spans="1:10" ht="30" x14ac:dyDescent="0.2">
      <c r="A526" s="292" t="s">
        <v>4186</v>
      </c>
      <c r="B526" s="872"/>
      <c r="C526" s="264" t="s">
        <v>2305</v>
      </c>
      <c r="D526" s="265" t="s">
        <v>411</v>
      </c>
      <c r="E526" s="707"/>
      <c r="F526" s="259">
        <f>ROUND(SUM(H526:H529),0)</f>
        <v>143898</v>
      </c>
      <c r="G526" s="711"/>
      <c r="H526" s="250"/>
      <c r="J526" s="835"/>
    </row>
    <row r="527" spans="1:10" s="818" customFormat="1" ht="25.5" x14ac:dyDescent="0.2">
      <c r="A527" s="801" t="s">
        <v>382</v>
      </c>
      <c r="B527" s="533" t="s">
        <v>1399</v>
      </c>
      <c r="C527" s="832" t="s">
        <v>4040</v>
      </c>
      <c r="D527" s="266" t="s">
        <v>411</v>
      </c>
      <c r="E527" s="704">
        <v>1</v>
      </c>
      <c r="F527" s="256">
        <f>VLOOKUP(B527,'[1]BASE DE DATOS'!$A$5:$E$964,5,FALSE)</f>
        <v>114900</v>
      </c>
      <c r="G527" s="708">
        <v>0</v>
      </c>
      <c r="H527" s="252">
        <f t="shared" si="20"/>
        <v>114900</v>
      </c>
      <c r="I527" s="924"/>
      <c r="J527" s="831"/>
    </row>
    <row r="528" spans="1:10" s="818" customFormat="1" ht="12.75" x14ac:dyDescent="0.2">
      <c r="A528" s="280" t="s">
        <v>2555</v>
      </c>
      <c r="B528" s="534" t="s">
        <v>2667</v>
      </c>
      <c r="C528" s="822" t="s">
        <v>2600</v>
      </c>
      <c r="D528" s="266" t="s">
        <v>585</v>
      </c>
      <c r="E528" s="704">
        <v>1</v>
      </c>
      <c r="F528" s="256">
        <f>VLOOKUP(B528,'[1]BASE DE DATOS'!$A$5:$E$964,5,FALSE)</f>
        <v>319246</v>
      </c>
      <c r="G528" s="708">
        <f>1/12</f>
        <v>8.3333333333333329E-2</v>
      </c>
      <c r="H528" s="252">
        <f t="shared" si="20"/>
        <v>26603.833333333332</v>
      </c>
      <c r="I528" s="924"/>
      <c r="J528" s="831"/>
    </row>
    <row r="529" spans="1:10" s="818" customFormat="1" ht="13.5" thickBot="1" x14ac:dyDescent="0.25">
      <c r="A529" s="287" t="s">
        <v>293</v>
      </c>
      <c r="B529" s="535" t="s">
        <v>269</v>
      </c>
      <c r="C529" s="235" t="s">
        <v>284</v>
      </c>
      <c r="D529" s="177" t="s">
        <v>2199</v>
      </c>
      <c r="E529" s="724">
        <v>0.09</v>
      </c>
      <c r="F529" s="251">
        <f>H528</f>
        <v>26603.833333333332</v>
      </c>
      <c r="G529" s="723">
        <v>0</v>
      </c>
      <c r="H529" s="252">
        <f t="shared" si="20"/>
        <v>2394.3449999999998</v>
      </c>
      <c r="I529" s="924"/>
      <c r="J529" s="831"/>
    </row>
    <row r="530" spans="1:10" s="831" customFormat="1" ht="49.5" customHeight="1" x14ac:dyDescent="0.2">
      <c r="A530" s="864" t="s">
        <v>4187</v>
      </c>
      <c r="B530" s="872"/>
      <c r="C530" s="264" t="s">
        <v>4124</v>
      </c>
      <c r="D530" s="265" t="s">
        <v>411</v>
      </c>
      <c r="E530" s="707"/>
      <c r="F530" s="259">
        <f>ROUND(SUM(H530:H535),0)</f>
        <v>140979</v>
      </c>
      <c r="G530" s="711"/>
      <c r="H530" s="250"/>
      <c r="I530" s="924"/>
    </row>
    <row r="531" spans="1:10" s="831" customFormat="1" ht="12.75" x14ac:dyDescent="0.2">
      <c r="A531" s="1071" t="s">
        <v>382</v>
      </c>
      <c r="B531" s="533" t="s">
        <v>4065</v>
      </c>
      <c r="C531" s="822" t="s">
        <v>4155</v>
      </c>
      <c r="D531" s="266" t="str">
        <f>VLOOKUP(B531,'[2]BASE DE DATOS'!$A$5:$E$961,3,FALSE)</f>
        <v>Un</v>
      </c>
      <c r="E531" s="704">
        <v>3</v>
      </c>
      <c r="F531" s="256">
        <f>VLOOKUP(B531,'[1]BASE DE DATOS'!$A$5:$E$964,5,FALSE)</f>
        <v>36</v>
      </c>
      <c r="G531" s="708">
        <v>1.333</v>
      </c>
      <c r="H531" s="252">
        <f>IF(G531&gt;0,(G531*F531*E531),(F531*E531))</f>
        <v>143.964</v>
      </c>
      <c r="I531" s="924"/>
    </row>
    <row r="532" spans="1:10" s="831" customFormat="1" ht="12.75" x14ac:dyDescent="0.2">
      <c r="A532" s="1071"/>
      <c r="B532" s="533" t="s">
        <v>4063</v>
      </c>
      <c r="C532" s="822" t="s">
        <v>4064</v>
      </c>
      <c r="D532" s="266" t="str">
        <f>VLOOKUP(B532,'[2]BASE DE DATOS'!$A$5:$E$961,3,FALSE)</f>
        <v>Un</v>
      </c>
      <c r="E532" s="704">
        <v>9</v>
      </c>
      <c r="F532" s="256">
        <f>VLOOKUP(B532,'[1]BASE DE DATOS'!$A$5:$E$964,5,FALSE)</f>
        <v>55.57</v>
      </c>
      <c r="G532" s="708">
        <v>1.5</v>
      </c>
      <c r="H532" s="252">
        <f t="shared" ref="H532:H535" si="37">IF(G532&gt;0,(G532*F532*E532),(F532*E532))</f>
        <v>750.19500000000005</v>
      </c>
      <c r="I532" s="924"/>
    </row>
    <row r="533" spans="1:10" s="831" customFormat="1" ht="25.5" x14ac:dyDescent="0.2">
      <c r="A533" s="1071"/>
      <c r="B533" s="533" t="s">
        <v>4082</v>
      </c>
      <c r="C533" s="279" t="s">
        <v>4083</v>
      </c>
      <c r="D533" s="266" t="str">
        <f>VLOOKUP(B533,'[2]BASE DE DATOS'!$A$5:$E$961,3,FALSE)</f>
        <v>Un</v>
      </c>
      <c r="E533" s="704">
        <v>1</v>
      </c>
      <c r="F533" s="256">
        <f>VLOOKUP(B533,'[1]BASE DE DATOS'!$A$5:$E$964,5,FALSE)</f>
        <v>114300</v>
      </c>
      <c r="G533" s="708">
        <v>0</v>
      </c>
      <c r="H533" s="252">
        <f>IF(G533&gt;0,(G533*F533*E533),(F533*E533))</f>
        <v>114300</v>
      </c>
      <c r="I533" s="924"/>
    </row>
    <row r="534" spans="1:10" s="831" customFormat="1" ht="12.75" x14ac:dyDescent="0.2">
      <c r="A534" s="280" t="s">
        <v>2555</v>
      </c>
      <c r="B534" s="534" t="s">
        <v>2667</v>
      </c>
      <c r="C534" s="822" t="s">
        <v>2600</v>
      </c>
      <c r="D534" s="266" t="str">
        <f>VLOOKUP(B534,'[2]BASE DE DATOS'!$A$5:$E$961,3,FALSE)</f>
        <v>Día</v>
      </c>
      <c r="E534" s="704">
        <v>1</v>
      </c>
      <c r="F534" s="256">
        <f>VLOOKUP(B534,'[1]BASE DE DATOS'!$A$5:$E$964,5,FALSE)</f>
        <v>319246</v>
      </c>
      <c r="G534" s="708">
        <f>1/13</f>
        <v>7.6923076923076927E-2</v>
      </c>
      <c r="H534" s="252">
        <f t="shared" si="37"/>
        <v>24557.384615384617</v>
      </c>
      <c r="I534" s="924"/>
    </row>
    <row r="535" spans="1:10" s="831" customFormat="1" ht="13.5" thickBot="1" x14ac:dyDescent="0.25">
      <c r="A535" s="287" t="s">
        <v>293</v>
      </c>
      <c r="B535" s="535" t="s">
        <v>269</v>
      </c>
      <c r="C535" s="235" t="s">
        <v>284</v>
      </c>
      <c r="D535" s="177" t="s">
        <v>2199</v>
      </c>
      <c r="E535" s="724">
        <v>0.05</v>
      </c>
      <c r="F535" s="256">
        <f>H534</f>
        <v>24557.384615384617</v>
      </c>
      <c r="G535" s="708">
        <v>0</v>
      </c>
      <c r="H535" s="252">
        <f t="shared" si="37"/>
        <v>1227.8692307692309</v>
      </c>
      <c r="I535" s="924"/>
    </row>
    <row r="536" spans="1:10" s="831" customFormat="1" ht="54" customHeight="1" x14ac:dyDescent="0.2">
      <c r="A536" s="864" t="s">
        <v>4188</v>
      </c>
      <c r="B536" s="872"/>
      <c r="C536" s="264" t="s">
        <v>4125</v>
      </c>
      <c r="D536" s="265" t="s">
        <v>411</v>
      </c>
      <c r="E536" s="707"/>
      <c r="F536" s="259">
        <f>ROUND(SUM(H536:H541),0)</f>
        <v>140979</v>
      </c>
      <c r="G536" s="711"/>
      <c r="H536" s="250"/>
      <c r="I536" s="924"/>
    </row>
    <row r="537" spans="1:10" s="831" customFormat="1" ht="12.75" x14ac:dyDescent="0.2">
      <c r="A537" s="1071" t="s">
        <v>382</v>
      </c>
      <c r="B537" s="533" t="s">
        <v>4065</v>
      </c>
      <c r="C537" s="822" t="s">
        <v>4155</v>
      </c>
      <c r="D537" s="266" t="str">
        <f>VLOOKUP(B537,'[2]BASE DE DATOS'!$A$5:$E$961,3,FALSE)</f>
        <v>Un</v>
      </c>
      <c r="E537" s="704">
        <v>3</v>
      </c>
      <c r="F537" s="256">
        <f>VLOOKUP(B537,'[1]BASE DE DATOS'!$A$5:$E$964,5,FALSE)</f>
        <v>36</v>
      </c>
      <c r="G537" s="708">
        <v>1.333</v>
      </c>
      <c r="H537" s="252">
        <f>IF(G537&gt;0,(G537*F537*E537),(F537*E537))</f>
        <v>143.964</v>
      </c>
      <c r="I537" s="924"/>
    </row>
    <row r="538" spans="1:10" s="831" customFormat="1" ht="12.75" x14ac:dyDescent="0.2">
      <c r="A538" s="1071"/>
      <c r="B538" s="533" t="s">
        <v>4063</v>
      </c>
      <c r="C538" s="822" t="s">
        <v>4064</v>
      </c>
      <c r="D538" s="266" t="str">
        <f>VLOOKUP(B538,'[2]BASE DE DATOS'!$A$5:$E$961,3,FALSE)</f>
        <v>Un</v>
      </c>
      <c r="E538" s="704">
        <v>9</v>
      </c>
      <c r="F538" s="256">
        <f>VLOOKUP(B538,'[1]BASE DE DATOS'!$A$5:$E$964,5,FALSE)</f>
        <v>55.57</v>
      </c>
      <c r="G538" s="708">
        <v>1.5</v>
      </c>
      <c r="H538" s="252">
        <f t="shared" ref="H538:H541" si="38">IF(G538&gt;0,(G538*F538*E538),(F538*E538))</f>
        <v>750.19500000000005</v>
      </c>
      <c r="I538" s="924"/>
    </row>
    <row r="539" spans="1:10" s="831" customFormat="1" ht="25.5" x14ac:dyDescent="0.2">
      <c r="A539" s="1071"/>
      <c r="B539" s="533" t="s">
        <v>4084</v>
      </c>
      <c r="C539" s="279" t="s">
        <v>4085</v>
      </c>
      <c r="D539" s="266" t="str">
        <f>VLOOKUP(B539,'[2]BASE DE DATOS'!$A$5:$E$961,3,FALSE)</f>
        <v>Un</v>
      </c>
      <c r="E539" s="704">
        <v>1</v>
      </c>
      <c r="F539" s="256">
        <f>VLOOKUP(B539,'[1]BASE DE DATOS'!$A$5:$E$964,5,FALSE)</f>
        <v>114300</v>
      </c>
      <c r="G539" s="708">
        <v>0</v>
      </c>
      <c r="H539" s="252">
        <f>IF(G539&gt;0,(G539*F539*E539),(F539*E539))</f>
        <v>114300</v>
      </c>
      <c r="I539" s="924"/>
    </row>
    <row r="540" spans="1:10" s="831" customFormat="1" ht="12.75" x14ac:dyDescent="0.2">
      <c r="A540" s="280" t="s">
        <v>2555</v>
      </c>
      <c r="B540" s="534" t="s">
        <v>2667</v>
      </c>
      <c r="C540" s="822" t="s">
        <v>2600</v>
      </c>
      <c r="D540" s="266" t="str">
        <f>VLOOKUP(B540,'[2]BASE DE DATOS'!$A$5:$E$961,3,FALSE)</f>
        <v>Día</v>
      </c>
      <c r="E540" s="704">
        <v>1</v>
      </c>
      <c r="F540" s="256">
        <f>VLOOKUP(B540,'[1]BASE DE DATOS'!$A$5:$E$964,5,FALSE)</f>
        <v>319246</v>
      </c>
      <c r="G540" s="708">
        <f>1/13</f>
        <v>7.6923076923076927E-2</v>
      </c>
      <c r="H540" s="252">
        <f t="shared" si="38"/>
        <v>24557.384615384617</v>
      </c>
      <c r="I540" s="924"/>
    </row>
    <row r="541" spans="1:10" s="831" customFormat="1" ht="13.5" thickBot="1" x14ac:dyDescent="0.25">
      <c r="A541" s="287" t="s">
        <v>293</v>
      </c>
      <c r="B541" s="535" t="s">
        <v>269</v>
      </c>
      <c r="C541" s="235" t="s">
        <v>284</v>
      </c>
      <c r="D541" s="177" t="s">
        <v>2199</v>
      </c>
      <c r="E541" s="724">
        <v>0.05</v>
      </c>
      <c r="F541" s="256">
        <f>H540</f>
        <v>24557.384615384617</v>
      </c>
      <c r="G541" s="708">
        <v>0</v>
      </c>
      <c r="H541" s="252">
        <f t="shared" si="38"/>
        <v>1227.8692307692309</v>
      </c>
      <c r="I541" s="924"/>
    </row>
    <row r="542" spans="1:10" s="831" customFormat="1" ht="47.25" customHeight="1" x14ac:dyDescent="0.2">
      <c r="A542" s="864" t="s">
        <v>4189</v>
      </c>
      <c r="B542" s="872"/>
      <c r="C542" s="264" t="s">
        <v>4126</v>
      </c>
      <c r="D542" s="265" t="s">
        <v>411</v>
      </c>
      <c r="E542" s="707"/>
      <c r="F542" s="259">
        <f>ROUND(SUM(H542:H547),0)</f>
        <v>140979</v>
      </c>
      <c r="G542" s="711"/>
      <c r="H542" s="250"/>
      <c r="I542" s="924"/>
    </row>
    <row r="543" spans="1:10" s="831" customFormat="1" ht="12.75" x14ac:dyDescent="0.2">
      <c r="A543" s="1071" t="s">
        <v>382</v>
      </c>
      <c r="B543" s="533" t="s">
        <v>4065</v>
      </c>
      <c r="C543" s="822" t="s">
        <v>4155</v>
      </c>
      <c r="D543" s="266" t="str">
        <f>VLOOKUP(B543,'[2]BASE DE DATOS'!$A$5:$E$961,3,FALSE)</f>
        <v>Un</v>
      </c>
      <c r="E543" s="704">
        <v>3</v>
      </c>
      <c r="F543" s="256">
        <f>VLOOKUP(B543,'[1]BASE DE DATOS'!$A$5:$E$964,5,FALSE)</f>
        <v>36</v>
      </c>
      <c r="G543" s="708">
        <v>1.333</v>
      </c>
      <c r="H543" s="252">
        <f>IF(G543&gt;0,(G543*F543*E543),(F543*E543))</f>
        <v>143.964</v>
      </c>
      <c r="I543" s="924"/>
    </row>
    <row r="544" spans="1:10" s="831" customFormat="1" ht="12.75" x14ac:dyDescent="0.2">
      <c r="A544" s="1071"/>
      <c r="B544" s="533" t="s">
        <v>4063</v>
      </c>
      <c r="C544" s="279" t="s">
        <v>4064</v>
      </c>
      <c r="D544" s="266" t="str">
        <f>VLOOKUP(B544,'[2]BASE DE DATOS'!$A$5:$E$961,3,FALSE)</f>
        <v>Un</v>
      </c>
      <c r="E544" s="704">
        <v>9</v>
      </c>
      <c r="F544" s="256">
        <f>VLOOKUP(B544,'[1]BASE DE DATOS'!$A$5:$E$964,5,FALSE)</f>
        <v>55.57</v>
      </c>
      <c r="G544" s="708">
        <v>1.5</v>
      </c>
      <c r="H544" s="252">
        <f t="shared" ref="H544:H547" si="39">IF(G544&gt;0,(G544*F544*E544),(F544*E544))</f>
        <v>750.19500000000005</v>
      </c>
      <c r="I544" s="924"/>
    </row>
    <row r="545" spans="1:9" s="831" customFormat="1" ht="25.5" x14ac:dyDescent="0.2">
      <c r="A545" s="1071"/>
      <c r="B545" s="533" t="s">
        <v>4086</v>
      </c>
      <c r="C545" s="279" t="s">
        <v>4087</v>
      </c>
      <c r="D545" s="266" t="str">
        <f>VLOOKUP(B545,'[2]BASE DE DATOS'!$A$5:$E$961,3,FALSE)</f>
        <v>Un</v>
      </c>
      <c r="E545" s="704">
        <v>1</v>
      </c>
      <c r="F545" s="256">
        <f>VLOOKUP(B545,'[1]BASE DE DATOS'!$A$5:$E$964,5,FALSE)</f>
        <v>114300</v>
      </c>
      <c r="G545" s="708">
        <v>0</v>
      </c>
      <c r="H545" s="252">
        <f>IF(G545&gt;0,(G545*F545*E545),(F545*E545))</f>
        <v>114300</v>
      </c>
      <c r="I545" s="924"/>
    </row>
    <row r="546" spans="1:9" s="831" customFormat="1" ht="12.75" x14ac:dyDescent="0.2">
      <c r="A546" s="280" t="s">
        <v>2555</v>
      </c>
      <c r="B546" s="534" t="s">
        <v>2667</v>
      </c>
      <c r="C546" s="822" t="s">
        <v>2600</v>
      </c>
      <c r="D546" s="266" t="str">
        <f>VLOOKUP(B546,'[2]BASE DE DATOS'!$A$5:$E$961,3,FALSE)</f>
        <v>Día</v>
      </c>
      <c r="E546" s="704">
        <v>1</v>
      </c>
      <c r="F546" s="256">
        <f>VLOOKUP(B546,'[1]BASE DE DATOS'!$A$5:$E$964,5,FALSE)</f>
        <v>319246</v>
      </c>
      <c r="G546" s="708">
        <f>1/13</f>
        <v>7.6923076923076927E-2</v>
      </c>
      <c r="H546" s="252">
        <f t="shared" si="39"/>
        <v>24557.384615384617</v>
      </c>
      <c r="I546" s="924"/>
    </row>
    <row r="547" spans="1:9" s="831" customFormat="1" ht="13.5" thickBot="1" x14ac:dyDescent="0.25">
      <c r="A547" s="287" t="s">
        <v>293</v>
      </c>
      <c r="B547" s="535" t="s">
        <v>269</v>
      </c>
      <c r="C547" s="235" t="s">
        <v>284</v>
      </c>
      <c r="D547" s="177" t="s">
        <v>2199</v>
      </c>
      <c r="E547" s="724">
        <v>0.05</v>
      </c>
      <c r="F547" s="256">
        <f>H546</f>
        <v>24557.384615384617</v>
      </c>
      <c r="G547" s="708">
        <v>0</v>
      </c>
      <c r="H547" s="252">
        <f t="shared" si="39"/>
        <v>1227.8692307692309</v>
      </c>
      <c r="I547" s="924"/>
    </row>
    <row r="548" spans="1:9" s="831" customFormat="1" ht="51.75" customHeight="1" x14ac:dyDescent="0.2">
      <c r="A548" s="864" t="s">
        <v>4190</v>
      </c>
      <c r="B548" s="872"/>
      <c r="C548" s="264" t="s">
        <v>4127</v>
      </c>
      <c r="D548" s="265" t="s">
        <v>411</v>
      </c>
      <c r="E548" s="707"/>
      <c r="F548" s="259">
        <f>ROUND(SUM(H548:H553),0)</f>
        <v>146579</v>
      </c>
      <c r="G548" s="711"/>
      <c r="H548" s="250"/>
      <c r="I548" s="924"/>
    </row>
    <row r="549" spans="1:9" s="831" customFormat="1" ht="12.75" x14ac:dyDescent="0.2">
      <c r="A549" s="1071" t="s">
        <v>382</v>
      </c>
      <c r="B549" s="533" t="s">
        <v>4065</v>
      </c>
      <c r="C549" s="822" t="s">
        <v>4155</v>
      </c>
      <c r="D549" s="266" t="str">
        <f>VLOOKUP(B549,'[2]BASE DE DATOS'!$A$5:$E$961,3,FALSE)</f>
        <v>Un</v>
      </c>
      <c r="E549" s="704">
        <v>3</v>
      </c>
      <c r="F549" s="256">
        <f>VLOOKUP(B549,'[1]BASE DE DATOS'!$A$5:$E$964,5,FALSE)</f>
        <v>36</v>
      </c>
      <c r="G549" s="708">
        <v>1.333</v>
      </c>
      <c r="H549" s="252">
        <f>IF(G549&gt;0,(G549*F549*E549),(F549*E549))</f>
        <v>143.964</v>
      </c>
      <c r="I549" s="924"/>
    </row>
    <row r="550" spans="1:9" s="831" customFormat="1" ht="12.75" x14ac:dyDescent="0.2">
      <c r="A550" s="1071"/>
      <c r="B550" s="533" t="s">
        <v>4063</v>
      </c>
      <c r="C550" s="822" t="s">
        <v>4064</v>
      </c>
      <c r="D550" s="266" t="str">
        <f>VLOOKUP(B550,'[2]BASE DE DATOS'!$A$5:$E$961,3,FALSE)</f>
        <v>Un</v>
      </c>
      <c r="E550" s="704">
        <v>9</v>
      </c>
      <c r="F550" s="256">
        <f>VLOOKUP(B550,'[1]BASE DE DATOS'!$A$5:$E$964,5,FALSE)</f>
        <v>55.57</v>
      </c>
      <c r="G550" s="708">
        <v>1.5</v>
      </c>
      <c r="H550" s="252">
        <f t="shared" ref="H550:H553" si="40">IF(G550&gt;0,(G550*F550*E550),(F550*E550))</f>
        <v>750.19500000000005</v>
      </c>
      <c r="I550" s="924"/>
    </row>
    <row r="551" spans="1:9" s="831" customFormat="1" ht="25.5" x14ac:dyDescent="0.2">
      <c r="A551" s="1071"/>
      <c r="B551" s="533" t="s">
        <v>4089</v>
      </c>
      <c r="C551" s="279" t="s">
        <v>4090</v>
      </c>
      <c r="D551" s="266" t="str">
        <f>VLOOKUP(B551,'[2]BASE DE DATOS'!$A$5:$E$961,3,FALSE)</f>
        <v>Un</v>
      </c>
      <c r="E551" s="704">
        <v>1</v>
      </c>
      <c r="F551" s="256">
        <f>VLOOKUP(B551,'[1]BASE DE DATOS'!$A$5:$E$964,5,FALSE)</f>
        <v>119900</v>
      </c>
      <c r="G551" s="708">
        <v>0</v>
      </c>
      <c r="H551" s="252">
        <f>IF(G551&gt;0,(G551*F551*E551),(F551*E551))</f>
        <v>119900</v>
      </c>
      <c r="I551" s="924"/>
    </row>
    <row r="552" spans="1:9" s="831" customFormat="1" ht="12.75" x14ac:dyDescent="0.2">
      <c r="A552" s="280" t="s">
        <v>2555</v>
      </c>
      <c r="B552" s="534" t="s">
        <v>2667</v>
      </c>
      <c r="C552" s="822" t="s">
        <v>2600</v>
      </c>
      <c r="D552" s="266" t="str">
        <f>VLOOKUP(B552,'[2]BASE DE DATOS'!$A$5:$E$961,3,FALSE)</f>
        <v>Día</v>
      </c>
      <c r="E552" s="704">
        <v>1</v>
      </c>
      <c r="F552" s="256">
        <f>VLOOKUP(B552,'[1]BASE DE DATOS'!$A$5:$E$964,5,FALSE)</f>
        <v>319246</v>
      </c>
      <c r="G552" s="708">
        <f>1/13</f>
        <v>7.6923076923076927E-2</v>
      </c>
      <c r="H552" s="252">
        <f t="shared" si="40"/>
        <v>24557.384615384617</v>
      </c>
      <c r="I552" s="924"/>
    </row>
    <row r="553" spans="1:9" s="831" customFormat="1" ht="13.5" thickBot="1" x14ac:dyDescent="0.25">
      <c r="A553" s="287" t="s">
        <v>293</v>
      </c>
      <c r="B553" s="535" t="s">
        <v>269</v>
      </c>
      <c r="C553" s="235" t="s">
        <v>284</v>
      </c>
      <c r="D553" s="177" t="s">
        <v>2199</v>
      </c>
      <c r="E553" s="724">
        <v>0.05</v>
      </c>
      <c r="F553" s="256">
        <f>H552</f>
        <v>24557.384615384617</v>
      </c>
      <c r="G553" s="708">
        <v>0</v>
      </c>
      <c r="H553" s="252">
        <f t="shared" si="40"/>
        <v>1227.8692307692309</v>
      </c>
      <c r="I553" s="924"/>
    </row>
    <row r="554" spans="1:9" s="831" customFormat="1" ht="48.75" customHeight="1" x14ac:dyDescent="0.2">
      <c r="A554" s="864" t="s">
        <v>4191</v>
      </c>
      <c r="B554" s="872"/>
      <c r="C554" s="264" t="s">
        <v>4128</v>
      </c>
      <c r="D554" s="265" t="s">
        <v>411</v>
      </c>
      <c r="E554" s="707"/>
      <c r="F554" s="259">
        <f>ROUND(SUM(H554:H559),0)</f>
        <v>180579</v>
      </c>
      <c r="G554" s="711"/>
      <c r="H554" s="250"/>
      <c r="I554" s="924"/>
    </row>
    <row r="555" spans="1:9" s="831" customFormat="1" ht="12.75" x14ac:dyDescent="0.2">
      <c r="A555" s="1071" t="s">
        <v>382</v>
      </c>
      <c r="B555" s="533" t="s">
        <v>4065</v>
      </c>
      <c r="C555" s="822" t="s">
        <v>4155</v>
      </c>
      <c r="D555" s="266" t="str">
        <f>VLOOKUP(B555,'[2]BASE DE DATOS'!$A$5:$E$961,3,FALSE)</f>
        <v>Un</v>
      </c>
      <c r="E555" s="704">
        <v>3</v>
      </c>
      <c r="F555" s="256">
        <f>VLOOKUP(B555,'[1]BASE DE DATOS'!$A$5:$E$964,5,FALSE)</f>
        <v>36</v>
      </c>
      <c r="G555" s="708">
        <v>1.333</v>
      </c>
      <c r="H555" s="252">
        <f>IF(G555&gt;0,(G555*F555*E555),(F555*E555))</f>
        <v>143.964</v>
      </c>
      <c r="I555" s="924"/>
    </row>
    <row r="556" spans="1:9" s="831" customFormat="1" ht="12.75" x14ac:dyDescent="0.2">
      <c r="A556" s="1071"/>
      <c r="B556" s="533" t="s">
        <v>4063</v>
      </c>
      <c r="C556" s="822" t="s">
        <v>4064</v>
      </c>
      <c r="D556" s="266" t="str">
        <f>VLOOKUP(B556,'[2]BASE DE DATOS'!$A$5:$E$961,3,FALSE)</f>
        <v>Un</v>
      </c>
      <c r="E556" s="704">
        <v>9</v>
      </c>
      <c r="F556" s="256">
        <f>VLOOKUP(B556,'[1]BASE DE DATOS'!$A$5:$E$964,5,FALSE)</f>
        <v>55.57</v>
      </c>
      <c r="G556" s="708">
        <v>1.5</v>
      </c>
      <c r="H556" s="252">
        <f t="shared" ref="H556:H559" si="41">IF(G556&gt;0,(G556*F556*E556),(F556*E556))</f>
        <v>750.19500000000005</v>
      </c>
      <c r="I556" s="924"/>
    </row>
    <row r="557" spans="1:9" s="831" customFormat="1" ht="25.5" x14ac:dyDescent="0.2">
      <c r="A557" s="1071"/>
      <c r="B557" s="533" t="s">
        <v>4091</v>
      </c>
      <c r="C557" s="279" t="s">
        <v>4092</v>
      </c>
      <c r="D557" s="266" t="str">
        <f>VLOOKUP(B557,'[2]BASE DE DATOS'!$A$5:$E$961,3,FALSE)</f>
        <v>Un</v>
      </c>
      <c r="E557" s="704">
        <v>1</v>
      </c>
      <c r="F557" s="256">
        <f>VLOOKUP(B557,'[1]BASE DE DATOS'!$A$5:$E$964,5,FALSE)</f>
        <v>153900</v>
      </c>
      <c r="G557" s="708">
        <v>0</v>
      </c>
      <c r="H557" s="252">
        <f>IF(G557&gt;0,(G557*F557*E557),(F557*E557))</f>
        <v>153900</v>
      </c>
      <c r="I557" s="924"/>
    </row>
    <row r="558" spans="1:9" s="831" customFormat="1" ht="12.75" x14ac:dyDescent="0.2">
      <c r="A558" s="280" t="s">
        <v>2555</v>
      </c>
      <c r="B558" s="534" t="s">
        <v>2667</v>
      </c>
      <c r="C558" s="822" t="s">
        <v>2600</v>
      </c>
      <c r="D558" s="266" t="str">
        <f>VLOOKUP(B558,'[2]BASE DE DATOS'!$A$5:$E$961,3,FALSE)</f>
        <v>Día</v>
      </c>
      <c r="E558" s="704">
        <v>1</v>
      </c>
      <c r="F558" s="256">
        <f>VLOOKUP(B558,'[1]BASE DE DATOS'!$A$5:$E$964,5,FALSE)</f>
        <v>319246</v>
      </c>
      <c r="G558" s="708">
        <f>1/13</f>
        <v>7.6923076923076927E-2</v>
      </c>
      <c r="H558" s="252">
        <f t="shared" si="41"/>
        <v>24557.384615384617</v>
      </c>
      <c r="I558" s="924"/>
    </row>
    <row r="559" spans="1:9" s="831" customFormat="1" ht="13.5" thickBot="1" x14ac:dyDescent="0.25">
      <c r="A559" s="287" t="s">
        <v>293</v>
      </c>
      <c r="B559" s="535" t="s">
        <v>269</v>
      </c>
      <c r="C559" s="235" t="s">
        <v>284</v>
      </c>
      <c r="D559" s="177" t="s">
        <v>2199</v>
      </c>
      <c r="E559" s="724">
        <v>0.05</v>
      </c>
      <c r="F559" s="256">
        <f>H558</f>
        <v>24557.384615384617</v>
      </c>
      <c r="G559" s="708">
        <v>0</v>
      </c>
      <c r="H559" s="252">
        <f t="shared" si="41"/>
        <v>1227.8692307692309</v>
      </c>
      <c r="I559" s="924"/>
    </row>
    <row r="560" spans="1:9" s="831" customFormat="1" ht="51.75" customHeight="1" x14ac:dyDescent="0.2">
      <c r="A560" s="864" t="s">
        <v>4192</v>
      </c>
      <c r="B560" s="872"/>
      <c r="C560" s="264" t="s">
        <v>4129</v>
      </c>
      <c r="D560" s="265" t="s">
        <v>411</v>
      </c>
      <c r="E560" s="707"/>
      <c r="F560" s="259">
        <f>ROUND(SUM(H560:H565),0)</f>
        <v>180579</v>
      </c>
      <c r="G560" s="711"/>
      <c r="H560" s="250"/>
      <c r="I560" s="924"/>
    </row>
    <row r="561" spans="1:9" s="831" customFormat="1" ht="12.75" x14ac:dyDescent="0.2">
      <c r="A561" s="1071" t="s">
        <v>382</v>
      </c>
      <c r="B561" s="533" t="s">
        <v>4065</v>
      </c>
      <c r="C561" s="822" t="s">
        <v>4155</v>
      </c>
      <c r="D561" s="266" t="str">
        <f>VLOOKUP(B561,'[2]BASE DE DATOS'!$A$5:$E$961,3,FALSE)</f>
        <v>Un</v>
      </c>
      <c r="E561" s="704">
        <v>3</v>
      </c>
      <c r="F561" s="256">
        <f>VLOOKUP(B561,'[1]BASE DE DATOS'!$A$5:$E$964,5,FALSE)</f>
        <v>36</v>
      </c>
      <c r="G561" s="708">
        <v>1.333</v>
      </c>
      <c r="H561" s="252">
        <f>IF(G561&gt;0,(G561*F561*E561),(F561*E561))</f>
        <v>143.964</v>
      </c>
      <c r="I561" s="924"/>
    </row>
    <row r="562" spans="1:9" s="831" customFormat="1" ht="12.75" x14ac:dyDescent="0.2">
      <c r="A562" s="1071"/>
      <c r="B562" s="533" t="s">
        <v>4063</v>
      </c>
      <c r="C562" s="822" t="s">
        <v>4064</v>
      </c>
      <c r="D562" s="266" t="str">
        <f>VLOOKUP(B562,'[2]BASE DE DATOS'!$A$5:$E$961,3,FALSE)</f>
        <v>Un</v>
      </c>
      <c r="E562" s="704">
        <v>9</v>
      </c>
      <c r="F562" s="256">
        <f>VLOOKUP(B562,'[1]BASE DE DATOS'!$A$5:$E$964,5,FALSE)</f>
        <v>55.57</v>
      </c>
      <c r="G562" s="708">
        <v>1.5</v>
      </c>
      <c r="H562" s="252">
        <f t="shared" ref="H562:H565" si="42">IF(G562&gt;0,(G562*F562*E562),(F562*E562))</f>
        <v>750.19500000000005</v>
      </c>
      <c r="I562" s="924"/>
    </row>
    <row r="563" spans="1:9" s="831" customFormat="1" ht="25.5" x14ac:dyDescent="0.2">
      <c r="A563" s="1071"/>
      <c r="B563" s="533" t="s">
        <v>4093</v>
      </c>
      <c r="C563" s="279" t="s">
        <v>4094</v>
      </c>
      <c r="D563" s="266" t="str">
        <f>VLOOKUP(B563,'[2]BASE DE DATOS'!$A$5:$E$961,3,FALSE)</f>
        <v>Un</v>
      </c>
      <c r="E563" s="704">
        <v>1</v>
      </c>
      <c r="F563" s="256">
        <f>VLOOKUP(B563,'[1]BASE DE DATOS'!$A$5:$E$964,5,FALSE)</f>
        <v>153900</v>
      </c>
      <c r="G563" s="708">
        <v>0</v>
      </c>
      <c r="H563" s="252">
        <f>IF(G563&gt;0,(G563*F563*E563),(F563*E563))</f>
        <v>153900</v>
      </c>
      <c r="I563" s="924"/>
    </row>
    <row r="564" spans="1:9" s="831" customFormat="1" ht="12.75" x14ac:dyDescent="0.2">
      <c r="A564" s="280" t="s">
        <v>2555</v>
      </c>
      <c r="B564" s="534" t="s">
        <v>2667</v>
      </c>
      <c r="C564" s="822" t="s">
        <v>2600</v>
      </c>
      <c r="D564" s="266" t="str">
        <f>VLOOKUP(B564,'[2]BASE DE DATOS'!$A$5:$E$961,3,FALSE)</f>
        <v>Día</v>
      </c>
      <c r="E564" s="704">
        <v>1</v>
      </c>
      <c r="F564" s="256">
        <f>VLOOKUP(B564,'[1]BASE DE DATOS'!$A$5:$E$964,5,FALSE)</f>
        <v>319246</v>
      </c>
      <c r="G564" s="708">
        <f>1/13</f>
        <v>7.6923076923076927E-2</v>
      </c>
      <c r="H564" s="252">
        <f t="shared" si="42"/>
        <v>24557.384615384617</v>
      </c>
      <c r="I564" s="924"/>
    </row>
    <row r="565" spans="1:9" s="831" customFormat="1" ht="13.5" thickBot="1" x14ac:dyDescent="0.25">
      <c r="A565" s="287" t="s">
        <v>293</v>
      </c>
      <c r="B565" s="535" t="s">
        <v>269</v>
      </c>
      <c r="C565" s="235" t="s">
        <v>284</v>
      </c>
      <c r="D565" s="177" t="s">
        <v>2199</v>
      </c>
      <c r="E565" s="724">
        <v>0.05</v>
      </c>
      <c r="F565" s="256">
        <f>H564</f>
        <v>24557.384615384617</v>
      </c>
      <c r="G565" s="708">
        <v>0</v>
      </c>
      <c r="H565" s="252">
        <f t="shared" si="42"/>
        <v>1227.8692307692309</v>
      </c>
      <c r="I565" s="924"/>
    </row>
    <row r="566" spans="1:9" s="831" customFormat="1" ht="42" customHeight="1" x14ac:dyDescent="0.2">
      <c r="A566" s="864" t="s">
        <v>4193</v>
      </c>
      <c r="B566" s="872"/>
      <c r="C566" s="264" t="s">
        <v>4130</v>
      </c>
      <c r="D566" s="265" t="s">
        <v>411</v>
      </c>
      <c r="E566" s="707"/>
      <c r="F566" s="259">
        <f>ROUND(SUM(H566:H571),0)</f>
        <v>180579</v>
      </c>
      <c r="G566" s="711"/>
      <c r="H566" s="250"/>
      <c r="I566" s="924"/>
    </row>
    <row r="567" spans="1:9" s="831" customFormat="1" ht="12.75" x14ac:dyDescent="0.2">
      <c r="A567" s="1071" t="s">
        <v>382</v>
      </c>
      <c r="B567" s="533" t="s">
        <v>4065</v>
      </c>
      <c r="C567" s="827" t="s">
        <v>4155</v>
      </c>
      <c r="D567" s="828" t="str">
        <f>VLOOKUP(B567,'[2]BASE DE DATOS'!$A$5:$E$961,3,FALSE)</f>
        <v>Un</v>
      </c>
      <c r="E567" s="829">
        <v>3</v>
      </c>
      <c r="F567" s="256">
        <f>VLOOKUP(B567,'[1]BASE DE DATOS'!$A$5:$E$964,5,FALSE)</f>
        <v>36</v>
      </c>
      <c r="G567" s="708">
        <v>1.333</v>
      </c>
      <c r="H567" s="252">
        <f>IF(G567&gt;0,(G567*F567*E567),(F567*E567))</f>
        <v>143.964</v>
      </c>
      <c r="I567" s="924"/>
    </row>
    <row r="568" spans="1:9" s="831" customFormat="1" ht="12.75" x14ac:dyDescent="0.2">
      <c r="A568" s="1071"/>
      <c r="B568" s="533" t="s">
        <v>4063</v>
      </c>
      <c r="C568" s="827" t="s">
        <v>4064</v>
      </c>
      <c r="D568" s="828" t="str">
        <f>VLOOKUP(B568,'[2]BASE DE DATOS'!$A$5:$E$961,3,FALSE)</f>
        <v>Un</v>
      </c>
      <c r="E568" s="829">
        <v>9</v>
      </c>
      <c r="F568" s="256">
        <f>VLOOKUP(B568,'[1]BASE DE DATOS'!$A$5:$E$964,5,FALSE)</f>
        <v>55.57</v>
      </c>
      <c r="G568" s="708">
        <v>1.5</v>
      </c>
      <c r="H568" s="252">
        <f t="shared" ref="H568:H571" si="43">IF(G568&gt;0,(G568*F568*E568),(F568*E568))</f>
        <v>750.19500000000005</v>
      </c>
      <c r="I568" s="924"/>
    </row>
    <row r="569" spans="1:9" s="831" customFormat="1" ht="25.5" x14ac:dyDescent="0.2">
      <c r="A569" s="1071"/>
      <c r="B569" s="533" t="s">
        <v>4095</v>
      </c>
      <c r="C569" s="279" t="s">
        <v>4096</v>
      </c>
      <c r="D569" s="828" t="str">
        <f>VLOOKUP(B569,'[2]BASE DE DATOS'!$A$5:$E$961,3,FALSE)</f>
        <v>Un</v>
      </c>
      <c r="E569" s="829">
        <v>1</v>
      </c>
      <c r="F569" s="256">
        <f>VLOOKUP(B569,'[1]BASE DE DATOS'!$A$5:$E$964,5,FALSE)</f>
        <v>153900</v>
      </c>
      <c r="G569" s="708">
        <v>0</v>
      </c>
      <c r="H569" s="252">
        <f>IF(G569&gt;0,(G569*F569*E569),(F569*E569))</f>
        <v>153900</v>
      </c>
      <c r="I569" s="924"/>
    </row>
    <row r="570" spans="1:9" s="831" customFormat="1" ht="12.75" x14ac:dyDescent="0.2">
      <c r="A570" s="280" t="s">
        <v>2555</v>
      </c>
      <c r="B570" s="534" t="s">
        <v>2667</v>
      </c>
      <c r="C570" s="827" t="s">
        <v>2600</v>
      </c>
      <c r="D570" s="828" t="str">
        <f>VLOOKUP(B570,'[2]BASE DE DATOS'!$A$5:$E$961,3,FALSE)</f>
        <v>Día</v>
      </c>
      <c r="E570" s="829">
        <v>1</v>
      </c>
      <c r="F570" s="256">
        <f>VLOOKUP(B570,'[1]BASE DE DATOS'!$A$5:$E$964,5,FALSE)</f>
        <v>319246</v>
      </c>
      <c r="G570" s="708">
        <f>1/13</f>
        <v>7.6923076923076927E-2</v>
      </c>
      <c r="H570" s="252">
        <f t="shared" si="43"/>
        <v>24557.384615384617</v>
      </c>
      <c r="I570" s="924"/>
    </row>
    <row r="571" spans="1:9" s="831" customFormat="1" ht="13.5" thickBot="1" x14ac:dyDescent="0.25">
      <c r="A571" s="287" t="s">
        <v>293</v>
      </c>
      <c r="B571" s="535" t="s">
        <v>269</v>
      </c>
      <c r="C571" s="235" t="s">
        <v>284</v>
      </c>
      <c r="D571" s="836" t="s">
        <v>2199</v>
      </c>
      <c r="E571" s="724">
        <v>0.05</v>
      </c>
      <c r="F571" s="256">
        <f>H570</f>
        <v>24557.384615384617</v>
      </c>
      <c r="G571" s="708">
        <v>0</v>
      </c>
      <c r="H571" s="252">
        <f t="shared" si="43"/>
        <v>1227.8692307692309</v>
      </c>
      <c r="I571" s="924"/>
    </row>
    <row r="572" spans="1:9" ht="30" x14ac:dyDescent="0.2">
      <c r="A572" s="524" t="s">
        <v>4194</v>
      </c>
      <c r="B572" s="873"/>
      <c r="C572" s="264" t="s">
        <v>2307</v>
      </c>
      <c r="D572" s="265" t="s">
        <v>411</v>
      </c>
      <c r="E572" s="707"/>
      <c r="F572" s="259">
        <f>ROUND(SUM(H572:H576),0)</f>
        <v>268462</v>
      </c>
      <c r="G572" s="711"/>
      <c r="H572" s="250"/>
    </row>
    <row r="573" spans="1:9" s="818" customFormat="1" ht="12.75" x14ac:dyDescent="0.2">
      <c r="A573" s="1070" t="s">
        <v>382</v>
      </c>
      <c r="B573" s="533" t="s">
        <v>1339</v>
      </c>
      <c r="C573" s="822" t="s">
        <v>2798</v>
      </c>
      <c r="D573" s="266" t="s">
        <v>411</v>
      </c>
      <c r="E573" s="704">
        <v>4</v>
      </c>
      <c r="F573" s="256">
        <f>VLOOKUP(B573,'[1]BASE DE DATOS'!$A$5:$E$964,5,FALSE)</f>
        <v>3700</v>
      </c>
      <c r="G573" s="708">
        <v>0</v>
      </c>
      <c r="H573" s="252">
        <f t="shared" si="20"/>
        <v>14800</v>
      </c>
      <c r="I573" s="924"/>
    </row>
    <row r="574" spans="1:9" s="818" customFormat="1" ht="12.75" x14ac:dyDescent="0.2">
      <c r="A574" s="1071"/>
      <c r="B574" s="533" t="s">
        <v>1749</v>
      </c>
      <c r="C574" s="822" t="s">
        <v>2843</v>
      </c>
      <c r="D574" s="266" t="s">
        <v>411</v>
      </c>
      <c r="E574" s="704">
        <v>1</v>
      </c>
      <c r="F574" s="256">
        <f>VLOOKUP(B574,'[1]BASE DE DATOS'!$A$5:$E$964,5,FALSE)</f>
        <v>89250</v>
      </c>
      <c r="G574" s="708">
        <v>0</v>
      </c>
      <c r="H574" s="252">
        <f t="shared" si="20"/>
        <v>89250</v>
      </c>
      <c r="I574" s="924"/>
    </row>
    <row r="575" spans="1:9" s="818" customFormat="1" ht="12.75" x14ac:dyDescent="0.2">
      <c r="A575" s="280" t="s">
        <v>2555</v>
      </c>
      <c r="B575" s="534" t="s">
        <v>2667</v>
      </c>
      <c r="C575" s="822" t="s">
        <v>2600</v>
      </c>
      <c r="D575" s="266" t="s">
        <v>585</v>
      </c>
      <c r="E575" s="704">
        <v>1</v>
      </c>
      <c r="F575" s="256">
        <f>VLOOKUP(B575,'[1]BASE DE DATOS'!$A$5:$E$964,5,FALSE)</f>
        <v>319246</v>
      </c>
      <c r="G575" s="708">
        <f>1/2</f>
        <v>0.5</v>
      </c>
      <c r="H575" s="252">
        <f t="shared" si="20"/>
        <v>159623</v>
      </c>
      <c r="I575" s="924"/>
    </row>
    <row r="576" spans="1:9" s="818" customFormat="1" ht="13.5" thickBot="1" x14ac:dyDescent="0.25">
      <c r="A576" s="287" t="s">
        <v>293</v>
      </c>
      <c r="B576" s="535" t="s">
        <v>269</v>
      </c>
      <c r="C576" s="235" t="s">
        <v>284</v>
      </c>
      <c r="D576" s="177" t="s">
        <v>2199</v>
      </c>
      <c r="E576" s="704">
        <v>0.03</v>
      </c>
      <c r="F576" s="251">
        <f>H575</f>
        <v>159623</v>
      </c>
      <c r="G576" s="708">
        <v>0</v>
      </c>
      <c r="H576" s="252">
        <f t="shared" si="20"/>
        <v>4788.6899999999996</v>
      </c>
      <c r="I576" s="924"/>
    </row>
    <row r="577" spans="1:9" ht="15" x14ac:dyDescent="0.2">
      <c r="A577" s="270" t="s">
        <v>4195</v>
      </c>
      <c r="B577" s="870"/>
      <c r="C577" s="264" t="s">
        <v>2433</v>
      </c>
      <c r="D577" s="265" t="s">
        <v>411</v>
      </c>
      <c r="E577" s="707"/>
      <c r="F577" s="259">
        <f>ROUND(SUM(H577:H578),0)</f>
        <v>13080023</v>
      </c>
      <c r="G577" s="711"/>
      <c r="H577" s="250"/>
    </row>
    <row r="578" spans="1:9" s="818" customFormat="1" ht="26.25" thickBot="1" x14ac:dyDescent="0.25">
      <c r="A578" s="801" t="s">
        <v>382</v>
      </c>
      <c r="B578" s="533" t="s">
        <v>3111</v>
      </c>
      <c r="C578" s="279" t="s">
        <v>2434</v>
      </c>
      <c r="D578" s="266" t="s">
        <v>411</v>
      </c>
      <c r="E578" s="704">
        <v>1</v>
      </c>
      <c r="F578" s="256">
        <f>VLOOKUP(B578,'[1]BASE DE DATOS'!$A$5:$E$964,5,FALSE)</f>
        <v>13080023</v>
      </c>
      <c r="G578" s="708">
        <v>0</v>
      </c>
      <c r="H578" s="252">
        <f t="shared" si="20"/>
        <v>13080023</v>
      </c>
      <c r="I578" s="924"/>
    </row>
    <row r="579" spans="1:9" ht="30" x14ac:dyDescent="0.2">
      <c r="A579" s="292" t="s">
        <v>4196</v>
      </c>
      <c r="B579" s="872"/>
      <c r="C579" s="264" t="s">
        <v>2311</v>
      </c>
      <c r="D579" s="265" t="s">
        <v>411</v>
      </c>
      <c r="E579" s="707"/>
      <c r="F579" s="259">
        <f>ROUND(SUM(H579:H582),0)</f>
        <v>4698202</v>
      </c>
      <c r="G579" s="711"/>
      <c r="H579" s="250"/>
    </row>
    <row r="580" spans="1:9" s="818" customFormat="1" ht="25.5" x14ac:dyDescent="0.2">
      <c r="A580" s="801" t="s">
        <v>382</v>
      </c>
      <c r="B580" s="533" t="s">
        <v>3110</v>
      </c>
      <c r="C580" s="279" t="s">
        <v>2312</v>
      </c>
      <c r="D580" s="266" t="s">
        <v>411</v>
      </c>
      <c r="E580" s="704">
        <v>1</v>
      </c>
      <c r="F580" s="256">
        <f>VLOOKUP(B580,'[1]BASE DE DATOS'!$A$5:$E$964,5,FALSE)</f>
        <v>4362994</v>
      </c>
      <c r="G580" s="708">
        <v>0</v>
      </c>
      <c r="H580" s="252">
        <f t="shared" si="20"/>
        <v>4362994</v>
      </c>
      <c r="I580" s="924"/>
    </row>
    <row r="581" spans="1:9" s="818" customFormat="1" ht="12.75" x14ac:dyDescent="0.2">
      <c r="A581" s="280" t="s">
        <v>2555</v>
      </c>
      <c r="B581" s="534" t="s">
        <v>2667</v>
      </c>
      <c r="C581" s="822" t="s">
        <v>2600</v>
      </c>
      <c r="D581" s="266" t="s">
        <v>585</v>
      </c>
      <c r="E581" s="704">
        <v>1</v>
      </c>
      <c r="F581" s="256">
        <f>VLOOKUP(B581,'[1]BASE DE DATOS'!$A$5:$E$964,5,FALSE)</f>
        <v>319246</v>
      </c>
      <c r="G581" s="708">
        <v>1</v>
      </c>
      <c r="H581" s="252">
        <f t="shared" si="20"/>
        <v>319246</v>
      </c>
      <c r="I581" s="924"/>
    </row>
    <row r="582" spans="1:9" s="818" customFormat="1" ht="13.5" thickBot="1" x14ac:dyDescent="0.25">
      <c r="A582" s="287" t="s">
        <v>293</v>
      </c>
      <c r="B582" s="535" t="s">
        <v>269</v>
      </c>
      <c r="C582" s="235" t="s">
        <v>284</v>
      </c>
      <c r="D582" s="177" t="s">
        <v>2199</v>
      </c>
      <c r="E582" s="704">
        <v>0.05</v>
      </c>
      <c r="F582" s="251">
        <f>H581</f>
        <v>319246</v>
      </c>
      <c r="G582" s="708">
        <v>0</v>
      </c>
      <c r="H582" s="252">
        <f t="shared" si="20"/>
        <v>15962.300000000001</v>
      </c>
      <c r="I582" s="924"/>
    </row>
    <row r="583" spans="1:9" s="814" customFormat="1" ht="45" x14ac:dyDescent="0.2">
      <c r="A583" s="292" t="s">
        <v>4197</v>
      </c>
      <c r="B583" s="872"/>
      <c r="C583" s="264" t="s">
        <v>2435</v>
      </c>
      <c r="D583" s="265" t="s">
        <v>411</v>
      </c>
      <c r="E583" s="707"/>
      <c r="F583" s="259">
        <f>ROUND(SUM(H583:H586),0)</f>
        <v>27304073</v>
      </c>
      <c r="G583" s="711"/>
      <c r="H583" s="250"/>
      <c r="I583" s="923"/>
    </row>
    <row r="584" spans="1:9" s="818" customFormat="1" ht="38.25" x14ac:dyDescent="0.2">
      <c r="A584" s="801" t="s">
        <v>382</v>
      </c>
      <c r="B584" s="533" t="s">
        <v>3112</v>
      </c>
      <c r="C584" s="279" t="s">
        <v>2315</v>
      </c>
      <c r="D584" s="266" t="s">
        <v>411</v>
      </c>
      <c r="E584" s="704">
        <v>1</v>
      </c>
      <c r="F584" s="256">
        <f>VLOOKUP(B584,'[1]BASE DE DATOS'!$A$5:$E$964,5,FALSE)</f>
        <v>25823471</v>
      </c>
      <c r="G584" s="708">
        <v>0</v>
      </c>
      <c r="H584" s="252">
        <f t="shared" si="20"/>
        <v>25823471</v>
      </c>
      <c r="I584" s="924"/>
    </row>
    <row r="585" spans="1:9" s="818" customFormat="1" ht="12.75" x14ac:dyDescent="0.2">
      <c r="A585" s="280" t="s">
        <v>2555</v>
      </c>
      <c r="B585" s="534" t="s">
        <v>2667</v>
      </c>
      <c r="C585" s="822" t="s">
        <v>2600</v>
      </c>
      <c r="D585" s="266" t="s">
        <v>585</v>
      </c>
      <c r="E585" s="704">
        <v>1</v>
      </c>
      <c r="F585" s="256">
        <f>VLOOKUP(B585,'[1]BASE DE DATOS'!$A$5:$E$964,5,FALSE)</f>
        <v>319246</v>
      </c>
      <c r="G585" s="708">
        <f>1/0.2264</f>
        <v>4.4169611307420498</v>
      </c>
      <c r="H585" s="252">
        <f t="shared" si="20"/>
        <v>1410097.1731448765</v>
      </c>
      <c r="I585" s="924"/>
    </row>
    <row r="586" spans="1:9" s="818" customFormat="1" ht="13.5" thickBot="1" x14ac:dyDescent="0.25">
      <c r="A586" s="287" t="s">
        <v>293</v>
      </c>
      <c r="B586" s="535" t="s">
        <v>269</v>
      </c>
      <c r="C586" s="235" t="s">
        <v>284</v>
      </c>
      <c r="D586" s="177" t="s">
        <v>2199</v>
      </c>
      <c r="E586" s="704">
        <v>0.05</v>
      </c>
      <c r="F586" s="251">
        <f>H585</f>
        <v>1410097.1731448765</v>
      </c>
      <c r="G586" s="708">
        <v>0</v>
      </c>
      <c r="H586" s="252">
        <f t="shared" si="20"/>
        <v>70504.858657243822</v>
      </c>
      <c r="I586" s="924"/>
    </row>
    <row r="587" spans="1:9" ht="15" x14ac:dyDescent="0.2">
      <c r="A587" s="292" t="s">
        <v>4198</v>
      </c>
      <c r="B587" s="872"/>
      <c r="C587" s="275" t="s">
        <v>3177</v>
      </c>
      <c r="D587" s="265" t="s">
        <v>411</v>
      </c>
      <c r="E587" s="707"/>
      <c r="F587" s="259">
        <f>ROUND(SUM(H587:H590),0)</f>
        <v>27830706</v>
      </c>
      <c r="G587" s="711"/>
      <c r="H587" s="250"/>
    </row>
    <row r="588" spans="1:9" s="818" customFormat="1" ht="38.25" x14ac:dyDescent="0.2">
      <c r="A588" s="801" t="s">
        <v>382</v>
      </c>
      <c r="B588" s="533" t="s">
        <v>3112</v>
      </c>
      <c r="C588" s="281" t="s">
        <v>2315</v>
      </c>
      <c r="D588" s="266" t="s">
        <v>411</v>
      </c>
      <c r="E588" s="704">
        <v>1</v>
      </c>
      <c r="F588" s="256">
        <f>VLOOKUP(B588,'[1]BASE DE DATOS'!$A$5:$E$964,5,FALSE)</f>
        <v>25823471</v>
      </c>
      <c r="G588" s="708">
        <v>0</v>
      </c>
      <c r="H588" s="252">
        <f t="shared" si="20"/>
        <v>25823471</v>
      </c>
      <c r="I588" s="924"/>
    </row>
    <row r="589" spans="1:9" s="818" customFormat="1" ht="12.75" x14ac:dyDescent="0.2">
      <c r="A589" s="280" t="s">
        <v>2555</v>
      </c>
      <c r="B589" s="534" t="s">
        <v>2667</v>
      </c>
      <c r="C589" s="822" t="s">
        <v>2600</v>
      </c>
      <c r="D589" s="266" t="s">
        <v>585</v>
      </c>
      <c r="E589" s="704">
        <v>1</v>
      </c>
      <c r="F589" s="256">
        <f>VLOOKUP(B589,'[1]BASE DE DATOS'!$A$5:$E$964,5,FALSE)</f>
        <v>319246</v>
      </c>
      <c r="G589" s="708">
        <f>1/0.167</f>
        <v>5.9880239520958076</v>
      </c>
      <c r="H589" s="252">
        <f t="shared" si="20"/>
        <v>1911652.6946107782</v>
      </c>
      <c r="I589" s="924"/>
    </row>
    <row r="590" spans="1:9" s="818" customFormat="1" ht="13.5" thickBot="1" x14ac:dyDescent="0.25">
      <c r="A590" s="287" t="s">
        <v>293</v>
      </c>
      <c r="B590" s="536" t="s">
        <v>269</v>
      </c>
      <c r="C590" s="235" t="s">
        <v>284</v>
      </c>
      <c r="D590" s="177" t="s">
        <v>2199</v>
      </c>
      <c r="E590" s="704">
        <v>0.05</v>
      </c>
      <c r="F590" s="251">
        <f>H589</f>
        <v>1911652.6946107782</v>
      </c>
      <c r="G590" s="708">
        <v>0</v>
      </c>
      <c r="H590" s="252">
        <f t="shared" si="20"/>
        <v>95582.634730538921</v>
      </c>
      <c r="I590" s="924"/>
    </row>
    <row r="591" spans="1:9" s="818" customFormat="1" ht="45" x14ac:dyDescent="0.2">
      <c r="A591" s="859" t="s">
        <v>4199</v>
      </c>
      <c r="B591" s="870"/>
      <c r="C591" s="264" t="s">
        <v>4132</v>
      </c>
      <c r="D591" s="265" t="s">
        <v>411</v>
      </c>
      <c r="E591" s="707"/>
      <c r="F591" s="259">
        <f>ROUND(SUM(H591:H597),0)</f>
        <v>329154</v>
      </c>
      <c r="G591" s="711"/>
      <c r="H591" s="250"/>
      <c r="I591" s="924">
        <v>48</v>
      </c>
    </row>
    <row r="592" spans="1:9" s="818" customFormat="1" ht="12.75" x14ac:dyDescent="0.2">
      <c r="A592" s="1072" t="s">
        <v>295</v>
      </c>
      <c r="B592" s="533" t="s">
        <v>4102</v>
      </c>
      <c r="C592" s="827" t="s">
        <v>4103</v>
      </c>
      <c r="D592" s="828" t="str">
        <f>VLOOKUP(B592,'[2]BASE DE DATOS'!$A$5:$E$961,3,FALSE)</f>
        <v>Un</v>
      </c>
      <c r="E592" s="829">
        <v>6</v>
      </c>
      <c r="F592" s="256">
        <f>VLOOKUP(B592,'[1]BASE DE DATOS'!$A$5:$E$964,5,FALSE)</f>
        <v>51.4437</v>
      </c>
      <c r="G592" s="708">
        <f>1.3333</f>
        <v>1.3332999999999999</v>
      </c>
      <c r="H592" s="252">
        <f>IF(G592&gt;0,(G592*F592*E592),(F592*E592))</f>
        <v>411.53931125999998</v>
      </c>
      <c r="I592" s="924"/>
    </row>
    <row r="593" spans="1:9" s="818" customFormat="1" ht="25.5" x14ac:dyDescent="0.2">
      <c r="A593" s="1073"/>
      <c r="B593" s="533" t="s">
        <v>4099</v>
      </c>
      <c r="C593" s="279" t="s">
        <v>4160</v>
      </c>
      <c r="D593" s="828" t="str">
        <f>VLOOKUP(B593,'[2]BASE DE DATOS'!$A$5:$E$961,3,FALSE)</f>
        <v>Un</v>
      </c>
      <c r="E593" s="829">
        <v>6</v>
      </c>
      <c r="F593" s="256">
        <f>VLOOKUP(B593,'[1]BASE DE DATOS'!$A$5:$E$964,5,FALSE)</f>
        <v>2750</v>
      </c>
      <c r="G593" s="708">
        <v>0</v>
      </c>
      <c r="H593" s="252">
        <f>IF(G593&gt;0,(G593*F593*E593),(F593*E593))</f>
        <v>16500</v>
      </c>
      <c r="I593" s="924"/>
    </row>
    <row r="594" spans="1:9" s="818" customFormat="1" ht="38.25" x14ac:dyDescent="0.2">
      <c r="A594" s="1073"/>
      <c r="B594" s="533" t="s">
        <v>4097</v>
      </c>
      <c r="C594" s="832" t="s">
        <v>4098</v>
      </c>
      <c r="D594" s="828" t="str">
        <f>VLOOKUP(B594,'[2]BASE DE DATOS'!$A$5:$E$961,3,FALSE)</f>
        <v>Un</v>
      </c>
      <c r="E594" s="829">
        <v>1</v>
      </c>
      <c r="F594" s="256">
        <f>VLOOKUP(B594,'[1]BASE DE DATOS'!$A$5:$E$964,5,FALSE)</f>
        <v>198671</v>
      </c>
      <c r="G594" s="708">
        <v>0</v>
      </c>
      <c r="H594" s="252">
        <f t="shared" ref="H594:H597" si="44">IF(G594&gt;0,(G594*F594*E594),(F594*E594))</f>
        <v>198671</v>
      </c>
      <c r="I594" s="924"/>
    </row>
    <row r="595" spans="1:9" s="818" customFormat="1" ht="27.75" customHeight="1" x14ac:dyDescent="0.2">
      <c r="A595" s="1073"/>
      <c r="B595" s="533" t="s">
        <v>4100</v>
      </c>
      <c r="C595" s="279" t="s">
        <v>4101</v>
      </c>
      <c r="D595" s="828" t="str">
        <f>VLOOKUP(B595,'[2]BASE DE DATOS'!$A$5:$E$961,3,FALSE)</f>
        <v>M</v>
      </c>
      <c r="E595" s="829">
        <v>1.5</v>
      </c>
      <c r="F595" s="256">
        <f>VLOOKUP(B595,'[1]BASE DE DATOS'!$A$5:$E$964,5,FALSE)</f>
        <v>28200</v>
      </c>
      <c r="G595" s="708">
        <v>1.1000000000000001</v>
      </c>
      <c r="H595" s="252">
        <f t="shared" si="44"/>
        <v>46530.000000000007</v>
      </c>
      <c r="I595" s="924"/>
    </row>
    <row r="596" spans="1:9" s="818" customFormat="1" ht="12.75" x14ac:dyDescent="0.2">
      <c r="A596" s="280" t="s">
        <v>2555</v>
      </c>
      <c r="B596" s="534" t="s">
        <v>2667</v>
      </c>
      <c r="C596" s="827" t="s">
        <v>2600</v>
      </c>
      <c r="D596" s="828" t="str">
        <f>VLOOKUP(B596,'[2]BASE DE DATOS'!$A$5:$E$961,3,FALSE)</f>
        <v>Día</v>
      </c>
      <c r="E596" s="829">
        <v>1</v>
      </c>
      <c r="F596" s="256">
        <f>VLOOKUP(B596,'[1]BASE DE DATOS'!$A$5:$E$964,5,FALSE)</f>
        <v>319246</v>
      </c>
      <c r="G596" s="708">
        <f>1/5</f>
        <v>0.2</v>
      </c>
      <c r="H596" s="252">
        <f t="shared" si="44"/>
        <v>63849.200000000004</v>
      </c>
      <c r="I596" s="924"/>
    </row>
    <row r="597" spans="1:9" s="818" customFormat="1" ht="13.5" thickBot="1" x14ac:dyDescent="0.25">
      <c r="A597" s="611" t="s">
        <v>293</v>
      </c>
      <c r="B597" s="536" t="s">
        <v>269</v>
      </c>
      <c r="C597" s="235" t="s">
        <v>284</v>
      </c>
      <c r="D597" s="838" t="str">
        <f>VLOOKUP(B597,'[2]BASE DE DATOS'!$A$5:$E$961,3,FALSE)</f>
        <v>%MO</v>
      </c>
      <c r="E597" s="724">
        <v>0.05</v>
      </c>
      <c r="F597" s="614">
        <f>H596</f>
        <v>63849.200000000004</v>
      </c>
      <c r="G597" s="723">
        <v>0</v>
      </c>
      <c r="H597" s="479">
        <f t="shared" si="44"/>
        <v>3192.4600000000005</v>
      </c>
      <c r="I597" s="924"/>
    </row>
    <row r="598" spans="1:9" s="41" customFormat="1" ht="15.75" thickBot="1" x14ac:dyDescent="0.25">
      <c r="A598" s="1084" t="s">
        <v>2317</v>
      </c>
      <c r="B598" s="1085"/>
      <c r="C598" s="1085"/>
      <c r="D598" s="1085"/>
      <c r="E598" s="1085"/>
      <c r="F598" s="1085"/>
      <c r="G598" s="1085"/>
      <c r="H598" s="1086"/>
      <c r="I598" s="914"/>
    </row>
    <row r="599" spans="1:9" s="41" customFormat="1" ht="45.75" thickBot="1" x14ac:dyDescent="0.25">
      <c r="A599" s="798" t="s">
        <v>2044</v>
      </c>
      <c r="B599" s="866" t="s">
        <v>265</v>
      </c>
      <c r="C599" s="798" t="s">
        <v>402</v>
      </c>
      <c r="D599" s="798" t="s">
        <v>346</v>
      </c>
      <c r="E599" s="192" t="s">
        <v>1913</v>
      </c>
      <c r="F599" s="73" t="s">
        <v>3165</v>
      </c>
      <c r="G599" s="290" t="s">
        <v>281</v>
      </c>
      <c r="H599" s="74" t="s">
        <v>3164</v>
      </c>
      <c r="I599" s="914"/>
    </row>
    <row r="600" spans="1:9" ht="45" x14ac:dyDescent="0.2">
      <c r="A600" s="292" t="s">
        <v>2318</v>
      </c>
      <c r="B600" s="868"/>
      <c r="C600" s="264" t="s">
        <v>2436</v>
      </c>
      <c r="D600" s="265" t="s">
        <v>411</v>
      </c>
      <c r="E600" s="707"/>
      <c r="F600" s="259">
        <f>ROUND(SUM(H600:H613),0)</f>
        <v>259360</v>
      </c>
      <c r="G600" s="711"/>
      <c r="H600" s="250"/>
    </row>
    <row r="601" spans="1:9" s="818" customFormat="1" ht="12.75" x14ac:dyDescent="0.2">
      <c r="A601" s="1072" t="s">
        <v>295</v>
      </c>
      <c r="B601" s="533" t="s">
        <v>1255</v>
      </c>
      <c r="C601" s="822" t="s">
        <v>2574</v>
      </c>
      <c r="D601" s="266" t="s">
        <v>411</v>
      </c>
      <c r="E601" s="704">
        <v>3</v>
      </c>
      <c r="F601" s="256">
        <f>VLOOKUP(B601,'[1]BASE DE DATOS'!$A$5:$E$964,5,FALSE)</f>
        <v>850</v>
      </c>
      <c r="G601" s="708">
        <v>0</v>
      </c>
      <c r="H601" s="252">
        <f t="shared" ref="H601:H649" si="45">IF(G601&gt;0,(G601*F601*E601),(F601*E601))</f>
        <v>2550</v>
      </c>
      <c r="I601" s="924"/>
    </row>
    <row r="602" spans="1:9" s="818" customFormat="1" ht="12.75" x14ac:dyDescent="0.2">
      <c r="A602" s="1073"/>
      <c r="B602" s="533" t="s">
        <v>1444</v>
      </c>
      <c r="C602" s="822" t="s">
        <v>2816</v>
      </c>
      <c r="D602" s="266" t="s">
        <v>405</v>
      </c>
      <c r="E602" s="704">
        <v>19</v>
      </c>
      <c r="F602" s="256">
        <f>VLOOKUP(B602,'[1]BASE DE DATOS'!$A$5:$E$964,5,FALSE)</f>
        <v>3446</v>
      </c>
      <c r="G602" s="708">
        <v>1.03</v>
      </c>
      <c r="H602" s="252">
        <f t="shared" si="45"/>
        <v>67438.22</v>
      </c>
      <c r="I602" s="924"/>
    </row>
    <row r="603" spans="1:9" s="818" customFormat="1" ht="12.75" x14ac:dyDescent="0.2">
      <c r="A603" s="1073"/>
      <c r="B603" s="533" t="s">
        <v>2846</v>
      </c>
      <c r="C603" s="822" t="s">
        <v>2847</v>
      </c>
      <c r="D603" s="266" t="s">
        <v>411</v>
      </c>
      <c r="E603" s="704">
        <v>0.3</v>
      </c>
      <c r="F603" s="256">
        <f>VLOOKUP(B603,'[1]BASE DE DATOS'!$A$5:$E$964,5,FALSE)</f>
        <v>19300</v>
      </c>
      <c r="G603" s="708">
        <v>0</v>
      </c>
      <c r="H603" s="252">
        <f t="shared" si="45"/>
        <v>5790</v>
      </c>
      <c r="I603" s="924"/>
    </row>
    <row r="604" spans="1:9" s="818" customFormat="1" ht="12.75" x14ac:dyDescent="0.2">
      <c r="A604" s="1073"/>
      <c r="B604" s="533" t="s">
        <v>1572</v>
      </c>
      <c r="C604" s="822" t="s">
        <v>2848</v>
      </c>
      <c r="D604" s="266" t="s">
        <v>411</v>
      </c>
      <c r="E604" s="704">
        <v>0.7</v>
      </c>
      <c r="F604" s="256">
        <f>VLOOKUP(B604,'[1]BASE DE DATOS'!$A$5:$E$964,5,FALSE)</f>
        <v>19300</v>
      </c>
      <c r="G604" s="708">
        <v>0</v>
      </c>
      <c r="H604" s="252">
        <f t="shared" si="45"/>
        <v>13510</v>
      </c>
      <c r="I604" s="924"/>
    </row>
    <row r="605" spans="1:9" s="818" customFormat="1" ht="12.75" x14ac:dyDescent="0.2">
      <c r="A605" s="1073"/>
      <c r="B605" s="533" t="s">
        <v>1641</v>
      </c>
      <c r="C605" s="823" t="s">
        <v>3167</v>
      </c>
      <c r="D605" s="273" t="s">
        <v>405</v>
      </c>
      <c r="E605" s="704">
        <v>0.3</v>
      </c>
      <c r="F605" s="256">
        <f>VLOOKUP(B605,'[1]BASE DE DATOS'!$A$5:$E$964,5,FALSE)</f>
        <v>7900</v>
      </c>
      <c r="G605" s="708">
        <v>1.03</v>
      </c>
      <c r="H605" s="252">
        <f t="shared" si="45"/>
        <v>2441.1</v>
      </c>
      <c r="I605" s="924"/>
    </row>
    <row r="606" spans="1:9" s="818" customFormat="1" ht="12.75" x14ac:dyDescent="0.2">
      <c r="A606" s="1073"/>
      <c r="B606" s="533" t="s">
        <v>1700</v>
      </c>
      <c r="C606" s="822" t="s">
        <v>2866</v>
      </c>
      <c r="D606" s="266" t="s">
        <v>411</v>
      </c>
      <c r="E606" s="704">
        <v>1</v>
      </c>
      <c r="F606" s="256">
        <f>VLOOKUP(B606,'[1]BASE DE DATOS'!$A$5:$E$964,5,FALSE)</f>
        <v>9150</v>
      </c>
      <c r="G606" s="708">
        <v>0</v>
      </c>
      <c r="H606" s="252">
        <f t="shared" si="45"/>
        <v>9150</v>
      </c>
      <c r="I606" s="924"/>
    </row>
    <row r="607" spans="1:9" s="818" customFormat="1" ht="12.75" x14ac:dyDescent="0.2">
      <c r="A607" s="1073"/>
      <c r="B607" s="533" t="s">
        <v>2867</v>
      </c>
      <c r="C607" s="822" t="s">
        <v>2868</v>
      </c>
      <c r="D607" s="266" t="s">
        <v>411</v>
      </c>
      <c r="E607" s="704">
        <v>3</v>
      </c>
      <c r="F607" s="256">
        <f>VLOOKUP(B607,'[1]BASE DE DATOS'!$A$5:$E$964,5,FALSE)</f>
        <v>1200</v>
      </c>
      <c r="G607" s="708">
        <v>0</v>
      </c>
      <c r="H607" s="252">
        <f t="shared" si="45"/>
        <v>3600</v>
      </c>
      <c r="I607" s="924"/>
    </row>
    <row r="608" spans="1:9" s="818" customFormat="1" ht="12.75" x14ac:dyDescent="0.2">
      <c r="A608" s="1073"/>
      <c r="B608" s="533" t="s">
        <v>1803</v>
      </c>
      <c r="C608" s="822" t="s">
        <v>2135</v>
      </c>
      <c r="D608" s="266" t="s">
        <v>411</v>
      </c>
      <c r="E608" s="704">
        <v>1</v>
      </c>
      <c r="F608" s="256">
        <f>VLOOKUP(B608,'[1]BASE DE DATOS'!$A$5:$E$964,5,FALSE)</f>
        <v>2800</v>
      </c>
      <c r="G608" s="708">
        <v>0</v>
      </c>
      <c r="H608" s="252">
        <f t="shared" si="45"/>
        <v>2800</v>
      </c>
      <c r="I608" s="924"/>
    </row>
    <row r="609" spans="1:9" s="818" customFormat="1" ht="12.75" x14ac:dyDescent="0.2">
      <c r="A609" s="1073"/>
      <c r="B609" s="533" t="s">
        <v>3031</v>
      </c>
      <c r="C609" s="822" t="s">
        <v>3032</v>
      </c>
      <c r="D609" s="266" t="s">
        <v>411</v>
      </c>
      <c r="E609" s="704">
        <v>2</v>
      </c>
      <c r="F609" s="256">
        <f>VLOOKUP(B609,'[1]BASE DE DATOS'!$A$5:$E$964,5,FALSE)</f>
        <v>1150</v>
      </c>
      <c r="G609" s="708">
        <v>0</v>
      </c>
      <c r="H609" s="252">
        <f t="shared" si="45"/>
        <v>2300</v>
      </c>
      <c r="I609" s="924"/>
    </row>
    <row r="610" spans="1:9" s="818" customFormat="1" ht="12.75" x14ac:dyDescent="0.2">
      <c r="A610" s="1073"/>
      <c r="B610" s="533" t="s">
        <v>1853</v>
      </c>
      <c r="C610" s="822" t="s">
        <v>3062</v>
      </c>
      <c r="D610" s="266" t="s">
        <v>405</v>
      </c>
      <c r="E610" s="704">
        <v>6</v>
      </c>
      <c r="F610" s="256">
        <f>VLOOKUP(B610,'[1]BASE DE DATOS'!$A$5:$E$964,5,FALSE)</f>
        <v>9100</v>
      </c>
      <c r="G610" s="708">
        <v>1.03</v>
      </c>
      <c r="H610" s="252">
        <f t="shared" si="45"/>
        <v>56238</v>
      </c>
      <c r="I610" s="924"/>
    </row>
    <row r="611" spans="1:9" s="818" customFormat="1" ht="12.75" x14ac:dyDescent="0.2">
      <c r="A611" s="1073"/>
      <c r="B611" s="533" t="s">
        <v>3094</v>
      </c>
      <c r="C611" s="822" t="s">
        <v>3095</v>
      </c>
      <c r="D611" s="266" t="s">
        <v>411</v>
      </c>
      <c r="E611" s="704">
        <v>5</v>
      </c>
      <c r="F611" s="256">
        <f>VLOOKUP(B611,'[1]BASE DE DATOS'!$A$5:$E$964,5,FALSE)</f>
        <v>1150</v>
      </c>
      <c r="G611" s="708">
        <v>0</v>
      </c>
      <c r="H611" s="252">
        <f t="shared" si="45"/>
        <v>5750</v>
      </c>
      <c r="I611" s="924"/>
    </row>
    <row r="612" spans="1:9" s="818" customFormat="1" ht="12.75" x14ac:dyDescent="0.2">
      <c r="A612" s="280" t="s">
        <v>2555</v>
      </c>
      <c r="B612" s="534" t="s">
        <v>2667</v>
      </c>
      <c r="C612" s="822" t="s">
        <v>2600</v>
      </c>
      <c r="D612" s="266" t="s">
        <v>585</v>
      </c>
      <c r="E612" s="704">
        <v>1</v>
      </c>
      <c r="F612" s="256">
        <f>VLOOKUP(B612,'[1]BASE DE DATOS'!$A$5:$E$964,5,FALSE)</f>
        <v>319246</v>
      </c>
      <c r="G612" s="708">
        <f>1/4</f>
        <v>0.25</v>
      </c>
      <c r="H612" s="252">
        <f t="shared" si="45"/>
        <v>79811.5</v>
      </c>
      <c r="I612" s="924"/>
    </row>
    <row r="613" spans="1:9" s="818" customFormat="1" ht="13.5" thickBot="1" x14ac:dyDescent="0.25">
      <c r="A613" s="287" t="s">
        <v>293</v>
      </c>
      <c r="B613" s="535" t="s">
        <v>269</v>
      </c>
      <c r="C613" s="235" t="s">
        <v>284</v>
      </c>
      <c r="D613" s="177" t="s">
        <v>2199</v>
      </c>
      <c r="E613" s="704">
        <v>0.1</v>
      </c>
      <c r="F613" s="251">
        <f>H612</f>
        <v>79811.5</v>
      </c>
      <c r="G613" s="708">
        <v>0</v>
      </c>
      <c r="H613" s="252">
        <f t="shared" si="45"/>
        <v>7981.1500000000005</v>
      </c>
      <c r="I613" s="924"/>
    </row>
    <row r="614" spans="1:9" ht="45" x14ac:dyDescent="0.2">
      <c r="A614" s="292" t="s">
        <v>2319</v>
      </c>
      <c r="B614" s="868"/>
      <c r="C614" s="264" t="s">
        <v>2321</v>
      </c>
      <c r="D614" s="265" t="s">
        <v>411</v>
      </c>
      <c r="E614" s="707"/>
      <c r="F614" s="259">
        <f>ROUND(SUM(H614:H625),0)</f>
        <v>319075</v>
      </c>
      <c r="G614" s="711"/>
      <c r="H614" s="250"/>
    </row>
    <row r="615" spans="1:9" s="818" customFormat="1" ht="12.75" x14ac:dyDescent="0.2">
      <c r="A615" s="1072" t="s">
        <v>295</v>
      </c>
      <c r="B615" s="533" t="s">
        <v>1255</v>
      </c>
      <c r="C615" s="822" t="s">
        <v>2574</v>
      </c>
      <c r="D615" s="266" t="s">
        <v>411</v>
      </c>
      <c r="E615" s="704">
        <v>3</v>
      </c>
      <c r="F615" s="256">
        <f>VLOOKUP(B615,'[1]BASE DE DATOS'!$A$5:$E$964,5,FALSE)</f>
        <v>850</v>
      </c>
      <c r="G615" s="708">
        <v>0</v>
      </c>
      <c r="H615" s="252">
        <f t="shared" si="45"/>
        <v>2550</v>
      </c>
      <c r="I615" s="924"/>
    </row>
    <row r="616" spans="1:9" s="818" customFormat="1" ht="12.75" x14ac:dyDescent="0.2">
      <c r="A616" s="1073"/>
      <c r="B616" s="533" t="s">
        <v>1444</v>
      </c>
      <c r="C616" s="822" t="s">
        <v>2816</v>
      </c>
      <c r="D616" s="266" t="s">
        <v>405</v>
      </c>
      <c r="E616" s="704">
        <v>15</v>
      </c>
      <c r="F616" s="256">
        <f>VLOOKUP(B616,'[1]BASE DE DATOS'!$A$5:$E$964,5,FALSE)</f>
        <v>3446</v>
      </c>
      <c r="G616" s="708">
        <v>1.03</v>
      </c>
      <c r="H616" s="252">
        <f t="shared" si="45"/>
        <v>53240.700000000004</v>
      </c>
      <c r="I616" s="924"/>
    </row>
    <row r="617" spans="1:9" s="818" customFormat="1" ht="12.75" x14ac:dyDescent="0.2">
      <c r="A617" s="1073"/>
      <c r="B617" s="533" t="s">
        <v>2846</v>
      </c>
      <c r="C617" s="822" t="s">
        <v>2847</v>
      </c>
      <c r="D617" s="266" t="s">
        <v>411</v>
      </c>
      <c r="E617" s="704">
        <v>0.3</v>
      </c>
      <c r="F617" s="256">
        <f>VLOOKUP(B617,'[1]BASE DE DATOS'!$A$5:$E$964,5,FALSE)</f>
        <v>19300</v>
      </c>
      <c r="G617" s="708">
        <v>0</v>
      </c>
      <c r="H617" s="252">
        <f t="shared" si="45"/>
        <v>5790</v>
      </c>
      <c r="I617" s="924"/>
    </row>
    <row r="618" spans="1:9" s="818" customFormat="1" ht="12.75" x14ac:dyDescent="0.2">
      <c r="A618" s="1073"/>
      <c r="B618" s="533" t="s">
        <v>1572</v>
      </c>
      <c r="C618" s="822" t="s">
        <v>2848</v>
      </c>
      <c r="D618" s="266" t="s">
        <v>411</v>
      </c>
      <c r="E618" s="704">
        <v>0.7</v>
      </c>
      <c r="F618" s="256">
        <f>VLOOKUP(B618,'[1]BASE DE DATOS'!$A$5:$E$964,5,FALSE)</f>
        <v>19300</v>
      </c>
      <c r="G618" s="708">
        <v>0</v>
      </c>
      <c r="H618" s="252">
        <f t="shared" si="45"/>
        <v>13510</v>
      </c>
      <c r="I618" s="924"/>
    </row>
    <row r="619" spans="1:9" s="818" customFormat="1" ht="12.75" x14ac:dyDescent="0.2">
      <c r="A619" s="1073"/>
      <c r="B619" s="533" t="s">
        <v>1641</v>
      </c>
      <c r="C619" s="823" t="s">
        <v>3167</v>
      </c>
      <c r="D619" s="273" t="s">
        <v>405</v>
      </c>
      <c r="E619" s="704">
        <v>0.3</v>
      </c>
      <c r="F619" s="256">
        <f>VLOOKUP(B619,'[1]BASE DE DATOS'!$A$5:$E$964,5,FALSE)</f>
        <v>7900</v>
      </c>
      <c r="G619" s="708">
        <v>1.03</v>
      </c>
      <c r="H619" s="252">
        <f t="shared" si="45"/>
        <v>2441.1</v>
      </c>
      <c r="I619" s="924"/>
    </row>
    <row r="620" spans="1:9" s="818" customFormat="1" ht="12.75" x14ac:dyDescent="0.2">
      <c r="A620" s="1073"/>
      <c r="B620" s="533" t="s">
        <v>1700</v>
      </c>
      <c r="C620" s="822" t="s">
        <v>2866</v>
      </c>
      <c r="D620" s="266" t="s">
        <v>411</v>
      </c>
      <c r="E620" s="704">
        <v>1</v>
      </c>
      <c r="F620" s="256">
        <f>VLOOKUP(B620,'[1]BASE DE DATOS'!$A$5:$E$964,5,FALSE)</f>
        <v>9150</v>
      </c>
      <c r="G620" s="708">
        <v>0</v>
      </c>
      <c r="H620" s="252">
        <f t="shared" si="45"/>
        <v>9150</v>
      </c>
      <c r="I620" s="924"/>
    </row>
    <row r="621" spans="1:9" s="818" customFormat="1" ht="12.75" x14ac:dyDescent="0.2">
      <c r="A621" s="1073"/>
      <c r="B621" s="533" t="s">
        <v>2867</v>
      </c>
      <c r="C621" s="822" t="s">
        <v>2868</v>
      </c>
      <c r="D621" s="266" t="s">
        <v>411</v>
      </c>
      <c r="E621" s="704">
        <v>3</v>
      </c>
      <c r="F621" s="256">
        <f>VLOOKUP(B621,'[1]BASE DE DATOS'!$A$5:$E$964,5,FALSE)</f>
        <v>1200</v>
      </c>
      <c r="G621" s="708">
        <v>0</v>
      </c>
      <c r="H621" s="252">
        <f t="shared" si="45"/>
        <v>3600</v>
      </c>
      <c r="I621" s="924"/>
    </row>
    <row r="622" spans="1:9" s="818" customFormat="1" ht="12.75" x14ac:dyDescent="0.2">
      <c r="A622" s="1073"/>
      <c r="B622" s="533" t="s">
        <v>1842</v>
      </c>
      <c r="C622" s="822" t="s">
        <v>3160</v>
      </c>
      <c r="D622" s="266" t="s">
        <v>405</v>
      </c>
      <c r="E622" s="704">
        <v>4.5</v>
      </c>
      <c r="F622" s="256">
        <f>VLOOKUP(B622,'[1]BASE DE DATOS'!$A$5:$E$964,5,FALSE)</f>
        <v>23050</v>
      </c>
      <c r="G622" s="708">
        <v>1.03</v>
      </c>
      <c r="H622" s="252">
        <f t="shared" si="45"/>
        <v>106836.75</v>
      </c>
      <c r="I622" s="924"/>
    </row>
    <row r="623" spans="1:9" s="818" customFormat="1" ht="12.75" x14ac:dyDescent="0.2">
      <c r="A623" s="1073"/>
      <c r="B623" s="533" t="s">
        <v>3102</v>
      </c>
      <c r="C623" s="822" t="s">
        <v>3103</v>
      </c>
      <c r="D623" s="266" t="s">
        <v>411</v>
      </c>
      <c r="E623" s="704">
        <v>3.5</v>
      </c>
      <c r="F623" s="256">
        <f>VLOOKUP(B623,'[1]BASE DE DATOS'!$A$5:$E$964,5,FALSE)</f>
        <v>1400</v>
      </c>
      <c r="G623" s="708">
        <v>0</v>
      </c>
      <c r="H623" s="252">
        <f t="shared" si="45"/>
        <v>4900</v>
      </c>
      <c r="I623" s="924"/>
    </row>
    <row r="624" spans="1:9" s="818" customFormat="1" ht="12.75" x14ac:dyDescent="0.2">
      <c r="A624" s="280" t="s">
        <v>2555</v>
      </c>
      <c r="B624" s="534" t="s">
        <v>2666</v>
      </c>
      <c r="C624" s="271" t="s">
        <v>2599</v>
      </c>
      <c r="D624" s="266" t="s">
        <v>585</v>
      </c>
      <c r="E624" s="704">
        <v>1</v>
      </c>
      <c r="F624" s="256">
        <f>VLOOKUP(B624,'[1]BASE DE DATOS'!$A$5:$E$964,5,FALSE)</f>
        <v>1170568</v>
      </c>
      <c r="G624" s="708">
        <f>1/12</f>
        <v>8.3333333333333329E-2</v>
      </c>
      <c r="H624" s="252">
        <f t="shared" si="45"/>
        <v>97547.333333333328</v>
      </c>
      <c r="I624" s="924"/>
    </row>
    <row r="625" spans="1:9" s="818" customFormat="1" ht="13.5" thickBot="1" x14ac:dyDescent="0.25">
      <c r="A625" s="287" t="s">
        <v>293</v>
      </c>
      <c r="B625" s="535" t="s">
        <v>269</v>
      </c>
      <c r="C625" s="235" t="s">
        <v>284</v>
      </c>
      <c r="D625" s="177" t="s">
        <v>2199</v>
      </c>
      <c r="E625" s="704">
        <v>0.2</v>
      </c>
      <c r="F625" s="251">
        <f>H624</f>
        <v>97547.333333333328</v>
      </c>
      <c r="G625" s="708">
        <v>0</v>
      </c>
      <c r="H625" s="252">
        <f t="shared" si="45"/>
        <v>19509.466666666667</v>
      </c>
      <c r="I625" s="924"/>
    </row>
    <row r="626" spans="1:9" ht="45" x14ac:dyDescent="0.2">
      <c r="A626" s="270" t="s">
        <v>2320</v>
      </c>
      <c r="B626" s="870"/>
      <c r="C626" s="264" t="s">
        <v>4133</v>
      </c>
      <c r="D626" s="265" t="s">
        <v>411</v>
      </c>
      <c r="E626" s="707"/>
      <c r="F626" s="259">
        <f>ROUND(SUM(H626:H639),0)</f>
        <v>184214</v>
      </c>
      <c r="G626" s="711"/>
      <c r="H626" s="250"/>
    </row>
    <row r="627" spans="1:9" s="818" customFormat="1" ht="12.75" x14ac:dyDescent="0.2">
      <c r="A627" s="1072" t="s">
        <v>295</v>
      </c>
      <c r="B627" s="533" t="s">
        <v>1255</v>
      </c>
      <c r="C627" s="822" t="s">
        <v>2574</v>
      </c>
      <c r="D627" s="266" t="s">
        <v>411</v>
      </c>
      <c r="E627" s="704">
        <v>4</v>
      </c>
      <c r="F627" s="256">
        <f>VLOOKUP(B627,'[1]BASE DE DATOS'!$A$5:$E$964,5,FALSE)</f>
        <v>850</v>
      </c>
      <c r="G627" s="708">
        <v>0</v>
      </c>
      <c r="H627" s="252">
        <f t="shared" si="45"/>
        <v>3400</v>
      </c>
      <c r="I627" s="924"/>
    </row>
    <row r="628" spans="1:9" s="818" customFormat="1" ht="12.75" x14ac:dyDescent="0.2">
      <c r="A628" s="1073"/>
      <c r="B628" s="533" t="s">
        <v>1449</v>
      </c>
      <c r="C628" s="822" t="s">
        <v>2818</v>
      </c>
      <c r="D628" s="266" t="s">
        <v>405</v>
      </c>
      <c r="E628" s="704">
        <v>15</v>
      </c>
      <c r="F628" s="256">
        <f>VLOOKUP(B628,'[1]BASE DE DATOS'!$A$5:$E$964,5,FALSE)</f>
        <v>2150</v>
      </c>
      <c r="G628" s="708">
        <v>1.03</v>
      </c>
      <c r="H628" s="252">
        <f t="shared" si="45"/>
        <v>33217.5</v>
      </c>
      <c r="I628" s="924"/>
    </row>
    <row r="629" spans="1:9" s="818" customFormat="1" ht="12.75" x14ac:dyDescent="0.2">
      <c r="A629" s="1073"/>
      <c r="B629" s="533" t="s">
        <v>2846</v>
      </c>
      <c r="C629" s="822" t="s">
        <v>2847</v>
      </c>
      <c r="D629" s="266" t="s">
        <v>411</v>
      </c>
      <c r="E629" s="704">
        <v>0.3</v>
      </c>
      <c r="F629" s="256">
        <f>VLOOKUP(B629,'[1]BASE DE DATOS'!$A$5:$E$964,5,FALSE)</f>
        <v>19300</v>
      </c>
      <c r="G629" s="708">
        <v>0</v>
      </c>
      <c r="H629" s="252">
        <f t="shared" si="45"/>
        <v>5790</v>
      </c>
      <c r="I629" s="924"/>
    </row>
    <row r="630" spans="1:9" s="818" customFormat="1" ht="12.75" x14ac:dyDescent="0.2">
      <c r="A630" s="1073"/>
      <c r="B630" s="533" t="s">
        <v>1572</v>
      </c>
      <c r="C630" s="822" t="s">
        <v>2848</v>
      </c>
      <c r="D630" s="266" t="s">
        <v>411</v>
      </c>
      <c r="E630" s="704">
        <v>1</v>
      </c>
      <c r="F630" s="256">
        <f>VLOOKUP(B630,'[1]BASE DE DATOS'!$A$5:$E$964,5,FALSE)</f>
        <v>19300</v>
      </c>
      <c r="G630" s="708">
        <v>0</v>
      </c>
      <c r="H630" s="252">
        <f t="shared" si="45"/>
        <v>19300</v>
      </c>
      <c r="I630" s="924"/>
    </row>
    <row r="631" spans="1:9" s="818" customFormat="1" ht="12.75" x14ac:dyDescent="0.2">
      <c r="A631" s="1073"/>
      <c r="B631" s="533" t="s">
        <v>1641</v>
      </c>
      <c r="C631" s="823" t="s">
        <v>3167</v>
      </c>
      <c r="D631" s="273" t="s">
        <v>405</v>
      </c>
      <c r="E631" s="704">
        <v>0.3</v>
      </c>
      <c r="F631" s="256">
        <f>VLOOKUP(B631,'[1]BASE DE DATOS'!$A$5:$E$964,5,FALSE)</f>
        <v>7900</v>
      </c>
      <c r="G631" s="708">
        <v>1.03</v>
      </c>
      <c r="H631" s="252">
        <f t="shared" si="45"/>
        <v>2441.1</v>
      </c>
      <c r="I631" s="924"/>
    </row>
    <row r="632" spans="1:9" s="818" customFormat="1" ht="12.75" x14ac:dyDescent="0.2">
      <c r="A632" s="1073"/>
      <c r="B632" s="533" t="s">
        <v>2867</v>
      </c>
      <c r="C632" s="822" t="s">
        <v>2868</v>
      </c>
      <c r="D632" s="266" t="s">
        <v>411</v>
      </c>
      <c r="E632" s="704">
        <v>3</v>
      </c>
      <c r="F632" s="256">
        <f>VLOOKUP(B632,'[1]BASE DE DATOS'!$A$5:$E$964,5,FALSE)</f>
        <v>1200</v>
      </c>
      <c r="G632" s="708">
        <v>0</v>
      </c>
      <c r="H632" s="252">
        <f t="shared" si="45"/>
        <v>3600</v>
      </c>
      <c r="I632" s="924"/>
    </row>
    <row r="633" spans="1:9" s="818" customFormat="1" ht="12.75" x14ac:dyDescent="0.2">
      <c r="A633" s="1073"/>
      <c r="B633" s="533" t="s">
        <v>1803</v>
      </c>
      <c r="C633" s="822" t="s">
        <v>2135</v>
      </c>
      <c r="D633" s="266" t="s">
        <v>411</v>
      </c>
      <c r="E633" s="704">
        <v>1</v>
      </c>
      <c r="F633" s="256">
        <f>VLOOKUP(B633,'[1]BASE DE DATOS'!$A$5:$E$964,5,FALSE)</f>
        <v>2800</v>
      </c>
      <c r="G633" s="708">
        <v>0</v>
      </c>
      <c r="H633" s="252">
        <f t="shared" si="45"/>
        <v>2800</v>
      </c>
      <c r="I633" s="924"/>
    </row>
    <row r="634" spans="1:9" s="818" customFormat="1" ht="12.75" x14ac:dyDescent="0.2">
      <c r="A634" s="1073"/>
      <c r="B634" s="533" t="s">
        <v>2915</v>
      </c>
      <c r="C634" s="822" t="s">
        <v>2916</v>
      </c>
      <c r="D634" s="266" t="s">
        <v>411</v>
      </c>
      <c r="E634" s="704">
        <v>1</v>
      </c>
      <c r="F634" s="256">
        <f>VLOOKUP(B634,'[1]BASE DE DATOS'!$A$5:$E$964,5,FALSE)</f>
        <v>16700</v>
      </c>
      <c r="G634" s="708">
        <v>0</v>
      </c>
      <c r="H634" s="252">
        <f t="shared" si="45"/>
        <v>16700</v>
      </c>
      <c r="I634" s="924"/>
    </row>
    <row r="635" spans="1:9" s="818" customFormat="1" ht="12.75" x14ac:dyDescent="0.2">
      <c r="A635" s="1073"/>
      <c r="B635" s="533" t="s">
        <v>3031</v>
      </c>
      <c r="C635" s="822" t="s">
        <v>3032</v>
      </c>
      <c r="D635" s="266" t="s">
        <v>411</v>
      </c>
      <c r="E635" s="704">
        <v>2</v>
      </c>
      <c r="F635" s="256">
        <f>VLOOKUP(B635,'[1]BASE DE DATOS'!$A$5:$E$964,5,FALSE)</f>
        <v>1150</v>
      </c>
      <c r="G635" s="708">
        <v>0</v>
      </c>
      <c r="H635" s="252">
        <f t="shared" si="45"/>
        <v>2300</v>
      </c>
      <c r="I635" s="924"/>
    </row>
    <row r="636" spans="1:9" s="818" customFormat="1" ht="12.75" x14ac:dyDescent="0.2">
      <c r="A636" s="1073"/>
      <c r="B636" s="533" t="s">
        <v>1853</v>
      </c>
      <c r="C636" s="822" t="s">
        <v>3062</v>
      </c>
      <c r="D636" s="266" t="s">
        <v>405</v>
      </c>
      <c r="E636" s="704">
        <v>4.5</v>
      </c>
      <c r="F636" s="256">
        <f>VLOOKUP(B636,'[1]BASE DE DATOS'!$A$5:$E$964,5,FALSE)</f>
        <v>9100</v>
      </c>
      <c r="G636" s="708">
        <v>1.03</v>
      </c>
      <c r="H636" s="252">
        <f t="shared" si="45"/>
        <v>42178.5</v>
      </c>
      <c r="I636" s="924"/>
    </row>
    <row r="637" spans="1:9" s="818" customFormat="1" ht="12.75" x14ac:dyDescent="0.2">
      <c r="A637" s="1073"/>
      <c r="B637" s="533" t="s">
        <v>3094</v>
      </c>
      <c r="C637" s="822" t="s">
        <v>3095</v>
      </c>
      <c r="D637" s="266" t="s">
        <v>411</v>
      </c>
      <c r="E637" s="704">
        <v>4</v>
      </c>
      <c r="F637" s="256">
        <f>VLOOKUP(B637,'[1]BASE DE DATOS'!$A$5:$E$964,5,FALSE)</f>
        <v>1150</v>
      </c>
      <c r="G637" s="708">
        <v>0</v>
      </c>
      <c r="H637" s="252">
        <f t="shared" si="45"/>
        <v>4600</v>
      </c>
      <c r="I637" s="924"/>
    </row>
    <row r="638" spans="1:9" s="818" customFormat="1" ht="12.75" x14ac:dyDescent="0.2">
      <c r="A638" s="280" t="s">
        <v>2555</v>
      </c>
      <c r="B638" s="534" t="s">
        <v>2667</v>
      </c>
      <c r="C638" s="822" t="s">
        <v>2600</v>
      </c>
      <c r="D638" s="266" t="s">
        <v>585</v>
      </c>
      <c r="E638" s="704">
        <v>1</v>
      </c>
      <c r="F638" s="256">
        <f>VLOOKUP(B638,'[1]BASE DE DATOS'!$A$5:$E$964,5,FALSE)</f>
        <v>319246</v>
      </c>
      <c r="G638" s="708">
        <f>1/7</f>
        <v>0.14285714285714285</v>
      </c>
      <c r="H638" s="252">
        <f t="shared" si="45"/>
        <v>45606.571428571428</v>
      </c>
      <c r="I638" s="924"/>
    </row>
    <row r="639" spans="1:9" s="818" customFormat="1" ht="13.5" thickBot="1" x14ac:dyDescent="0.25">
      <c r="A639" s="287" t="s">
        <v>293</v>
      </c>
      <c r="B639" s="535" t="s">
        <v>269</v>
      </c>
      <c r="C639" s="235" t="s">
        <v>284</v>
      </c>
      <c r="D639" s="177" t="s">
        <v>2199</v>
      </c>
      <c r="E639" s="704">
        <v>0.05</v>
      </c>
      <c r="F639" s="251">
        <f>H638</f>
        <v>45606.571428571428</v>
      </c>
      <c r="G639" s="708">
        <v>0</v>
      </c>
      <c r="H639" s="252">
        <f t="shared" si="45"/>
        <v>2280.3285714285716</v>
      </c>
      <c r="I639" s="924"/>
    </row>
    <row r="640" spans="1:9" ht="30" x14ac:dyDescent="0.2">
      <c r="A640" s="292" t="s">
        <v>2322</v>
      </c>
      <c r="B640" s="871"/>
      <c r="C640" s="264" t="s">
        <v>2323</v>
      </c>
      <c r="D640" s="265" t="s">
        <v>411</v>
      </c>
      <c r="E640" s="707"/>
      <c r="F640" s="259">
        <f>ROUND(SUM(H640:H654),0)</f>
        <v>230229</v>
      </c>
      <c r="G640" s="711"/>
      <c r="H640" s="250"/>
    </row>
    <row r="641" spans="1:9" s="818" customFormat="1" ht="12.75" x14ac:dyDescent="0.2">
      <c r="A641" s="1072" t="s">
        <v>295</v>
      </c>
      <c r="B641" s="533" t="s">
        <v>1255</v>
      </c>
      <c r="C641" s="822" t="s">
        <v>2574</v>
      </c>
      <c r="D641" s="266" t="s">
        <v>411</v>
      </c>
      <c r="E641" s="704">
        <v>6</v>
      </c>
      <c r="F641" s="256">
        <f>VLOOKUP(B641,'[1]BASE DE DATOS'!$A$5:$E$964,5,FALSE)</f>
        <v>850</v>
      </c>
      <c r="G641" s="708">
        <v>0</v>
      </c>
      <c r="H641" s="252">
        <f t="shared" si="45"/>
        <v>5100</v>
      </c>
      <c r="I641" s="924"/>
    </row>
    <row r="642" spans="1:9" s="818" customFormat="1" ht="12.75" x14ac:dyDescent="0.2">
      <c r="A642" s="1073"/>
      <c r="B642" s="533" t="s">
        <v>1444</v>
      </c>
      <c r="C642" s="822" t="s">
        <v>2816</v>
      </c>
      <c r="D642" s="266" t="s">
        <v>405</v>
      </c>
      <c r="E642" s="704">
        <v>15</v>
      </c>
      <c r="F642" s="256">
        <f>VLOOKUP(B642,'[1]BASE DE DATOS'!$A$5:$E$964,5,FALSE)</f>
        <v>3446</v>
      </c>
      <c r="G642" s="708">
        <v>1.03</v>
      </c>
      <c r="H642" s="252">
        <f t="shared" si="45"/>
        <v>53240.700000000004</v>
      </c>
      <c r="I642" s="924"/>
    </row>
    <row r="643" spans="1:9" s="818" customFormat="1" ht="12.75" x14ac:dyDescent="0.2">
      <c r="A643" s="1073"/>
      <c r="B643" s="533" t="s">
        <v>2846</v>
      </c>
      <c r="C643" s="822" t="s">
        <v>2847</v>
      </c>
      <c r="D643" s="266" t="s">
        <v>411</v>
      </c>
      <c r="E643" s="704">
        <v>0.3</v>
      </c>
      <c r="F643" s="256">
        <f>VLOOKUP(B643,'[1]BASE DE DATOS'!$A$5:$E$964,5,FALSE)</f>
        <v>19300</v>
      </c>
      <c r="G643" s="708">
        <v>0</v>
      </c>
      <c r="H643" s="252">
        <f t="shared" si="45"/>
        <v>5790</v>
      </c>
      <c r="I643" s="924"/>
    </row>
    <row r="644" spans="1:9" s="818" customFormat="1" ht="12.75" x14ac:dyDescent="0.2">
      <c r="A644" s="1073"/>
      <c r="B644" s="533" t="s">
        <v>1572</v>
      </c>
      <c r="C644" s="822" t="s">
        <v>2848</v>
      </c>
      <c r="D644" s="266" t="s">
        <v>411</v>
      </c>
      <c r="E644" s="704">
        <v>0.7</v>
      </c>
      <c r="F644" s="256">
        <f>VLOOKUP(B644,'[1]BASE DE DATOS'!$A$5:$E$964,5,FALSE)</f>
        <v>19300</v>
      </c>
      <c r="G644" s="708">
        <v>0</v>
      </c>
      <c r="H644" s="252">
        <f t="shared" si="45"/>
        <v>13510</v>
      </c>
      <c r="I644" s="924"/>
    </row>
    <row r="645" spans="1:9" s="818" customFormat="1" ht="12.75" x14ac:dyDescent="0.2">
      <c r="A645" s="1073"/>
      <c r="B645" s="533" t="s">
        <v>1641</v>
      </c>
      <c r="C645" s="823" t="s">
        <v>3167</v>
      </c>
      <c r="D645" s="273" t="s">
        <v>405</v>
      </c>
      <c r="E645" s="704">
        <v>0.3</v>
      </c>
      <c r="F645" s="256">
        <f>VLOOKUP(B645,'[1]BASE DE DATOS'!$A$5:$E$964,5,FALSE)</f>
        <v>7900</v>
      </c>
      <c r="G645" s="708">
        <v>1.03</v>
      </c>
      <c r="H645" s="252">
        <f t="shared" si="45"/>
        <v>2441.1</v>
      </c>
      <c r="I645" s="924"/>
    </row>
    <row r="646" spans="1:9" s="818" customFormat="1" ht="12.75" x14ac:dyDescent="0.2">
      <c r="A646" s="1073"/>
      <c r="B646" s="533" t="s">
        <v>1700</v>
      </c>
      <c r="C646" s="822" t="s">
        <v>2866</v>
      </c>
      <c r="D646" s="266" t="s">
        <v>411</v>
      </c>
      <c r="E646" s="704">
        <v>1</v>
      </c>
      <c r="F646" s="256">
        <f>VLOOKUP(B646,'[1]BASE DE DATOS'!$A$5:$E$964,5,FALSE)</f>
        <v>9150</v>
      </c>
      <c r="G646" s="708">
        <v>0</v>
      </c>
      <c r="H646" s="252">
        <f t="shared" si="45"/>
        <v>9150</v>
      </c>
      <c r="I646" s="924"/>
    </row>
    <row r="647" spans="1:9" s="818" customFormat="1" ht="12.75" x14ac:dyDescent="0.2">
      <c r="A647" s="1073"/>
      <c r="B647" s="533" t="s">
        <v>2867</v>
      </c>
      <c r="C647" s="822" t="s">
        <v>2868</v>
      </c>
      <c r="D647" s="266" t="s">
        <v>411</v>
      </c>
      <c r="E647" s="704">
        <v>3</v>
      </c>
      <c r="F647" s="256">
        <f>VLOOKUP(B647,'[1]BASE DE DATOS'!$A$5:$E$964,5,FALSE)</f>
        <v>1200</v>
      </c>
      <c r="G647" s="708">
        <v>0</v>
      </c>
      <c r="H647" s="252">
        <f t="shared" si="45"/>
        <v>3600</v>
      </c>
      <c r="I647" s="924"/>
    </row>
    <row r="648" spans="1:9" s="818" customFormat="1" ht="12.75" x14ac:dyDescent="0.2">
      <c r="A648" s="1073"/>
      <c r="B648" s="533" t="s">
        <v>1803</v>
      </c>
      <c r="C648" s="822" t="s">
        <v>2135</v>
      </c>
      <c r="D648" s="266" t="s">
        <v>411</v>
      </c>
      <c r="E648" s="704">
        <v>2</v>
      </c>
      <c r="F648" s="256">
        <f>VLOOKUP(B648,'[1]BASE DE DATOS'!$A$5:$E$964,5,FALSE)</f>
        <v>2800</v>
      </c>
      <c r="G648" s="708">
        <v>0</v>
      </c>
      <c r="H648" s="252">
        <f t="shared" si="45"/>
        <v>5600</v>
      </c>
      <c r="I648" s="924"/>
    </row>
    <row r="649" spans="1:9" s="818" customFormat="1" ht="12.75" x14ac:dyDescent="0.2">
      <c r="A649" s="1073"/>
      <c r="B649" s="533" t="s">
        <v>3031</v>
      </c>
      <c r="C649" s="822" t="s">
        <v>3032</v>
      </c>
      <c r="D649" s="266" t="s">
        <v>411</v>
      </c>
      <c r="E649" s="704">
        <v>2</v>
      </c>
      <c r="F649" s="256">
        <f>VLOOKUP(B649,'[1]BASE DE DATOS'!$A$5:$E$964,5,FALSE)</f>
        <v>1150</v>
      </c>
      <c r="G649" s="708">
        <v>0</v>
      </c>
      <c r="H649" s="252">
        <f t="shared" si="45"/>
        <v>2300</v>
      </c>
      <c r="I649" s="924"/>
    </row>
    <row r="650" spans="1:9" s="818" customFormat="1" ht="12.75" x14ac:dyDescent="0.2">
      <c r="A650" s="1073"/>
      <c r="B650" s="533" t="s">
        <v>3039</v>
      </c>
      <c r="C650" s="822" t="s">
        <v>3898</v>
      </c>
      <c r="D650" s="266" t="s">
        <v>411</v>
      </c>
      <c r="E650" s="704">
        <v>1</v>
      </c>
      <c r="F650" s="256">
        <f>VLOOKUP(B650,'[1]BASE DE DATOS'!$A$5:$E$964,5,FALSE)</f>
        <v>6100</v>
      </c>
      <c r="G650" s="708">
        <v>0</v>
      </c>
      <c r="H650" s="252">
        <f t="shared" ref="H650:H654" si="46">IF(G650&gt;0,(G650*F650*E650),(F650*E650))</f>
        <v>6100</v>
      </c>
      <c r="I650" s="924"/>
    </row>
    <row r="651" spans="1:9" s="818" customFormat="1" ht="12.75" x14ac:dyDescent="0.2">
      <c r="A651" s="1073"/>
      <c r="B651" s="533" t="s">
        <v>1853</v>
      </c>
      <c r="C651" s="822" t="s">
        <v>3062</v>
      </c>
      <c r="D651" s="266" t="s">
        <v>405</v>
      </c>
      <c r="E651" s="704">
        <v>4.5</v>
      </c>
      <c r="F651" s="256">
        <f>VLOOKUP(B651,'[1]BASE DE DATOS'!$A$5:$E$964,5,FALSE)</f>
        <v>9100</v>
      </c>
      <c r="G651" s="708">
        <v>1.03</v>
      </c>
      <c r="H651" s="252">
        <f t="shared" si="46"/>
        <v>42178.5</v>
      </c>
      <c r="I651" s="924"/>
    </row>
    <row r="652" spans="1:9" s="818" customFormat="1" ht="12.75" x14ac:dyDescent="0.2">
      <c r="A652" s="1073"/>
      <c r="B652" s="533" t="s">
        <v>3094</v>
      </c>
      <c r="C652" s="822" t="s">
        <v>3095</v>
      </c>
      <c r="D652" s="266" t="s">
        <v>411</v>
      </c>
      <c r="E652" s="704">
        <v>4</v>
      </c>
      <c r="F652" s="256">
        <f>VLOOKUP(B652,'[1]BASE DE DATOS'!$A$5:$E$964,5,FALSE)</f>
        <v>1150</v>
      </c>
      <c r="G652" s="708">
        <v>0</v>
      </c>
      <c r="H652" s="252">
        <f t="shared" si="46"/>
        <v>4600</v>
      </c>
      <c r="I652" s="924"/>
    </row>
    <row r="653" spans="1:9" s="818" customFormat="1" ht="12.75" x14ac:dyDescent="0.2">
      <c r="A653" s="280" t="s">
        <v>2555</v>
      </c>
      <c r="B653" s="534" t="s">
        <v>2667</v>
      </c>
      <c r="C653" s="822" t="s">
        <v>2600</v>
      </c>
      <c r="D653" s="266" t="s">
        <v>585</v>
      </c>
      <c r="E653" s="704">
        <v>1</v>
      </c>
      <c r="F653" s="256">
        <f>VLOOKUP(B653,'[1]BASE DE DATOS'!$A$5:$E$964,5,FALSE)</f>
        <v>319246</v>
      </c>
      <c r="G653" s="708">
        <f>1/5</f>
        <v>0.2</v>
      </c>
      <c r="H653" s="252">
        <f t="shared" si="46"/>
        <v>63849.200000000004</v>
      </c>
      <c r="I653" s="924"/>
    </row>
    <row r="654" spans="1:9" s="818" customFormat="1" ht="13.5" thickBot="1" x14ac:dyDescent="0.25">
      <c r="A654" s="287" t="s">
        <v>293</v>
      </c>
      <c r="B654" s="535" t="s">
        <v>269</v>
      </c>
      <c r="C654" s="235" t="s">
        <v>284</v>
      </c>
      <c r="D654" s="177" t="s">
        <v>2199</v>
      </c>
      <c r="E654" s="704">
        <v>0.2</v>
      </c>
      <c r="F654" s="251">
        <f>H653</f>
        <v>63849.200000000004</v>
      </c>
      <c r="G654" s="708">
        <v>0</v>
      </c>
      <c r="H654" s="252">
        <f t="shared" si="46"/>
        <v>12769.840000000002</v>
      </c>
      <c r="I654" s="924"/>
    </row>
    <row r="655" spans="1:9" ht="30" x14ac:dyDescent="0.2">
      <c r="A655" s="292" t="s">
        <v>2324</v>
      </c>
      <c r="B655" s="868"/>
      <c r="C655" s="264" t="s">
        <v>2437</v>
      </c>
      <c r="D655" s="265" t="s">
        <v>411</v>
      </c>
      <c r="E655" s="707"/>
      <c r="F655" s="259">
        <f>ROUND(SUM(H655:H669),0)</f>
        <v>228538</v>
      </c>
      <c r="G655" s="711"/>
      <c r="H655" s="250"/>
    </row>
    <row r="656" spans="1:9" s="818" customFormat="1" ht="12.75" x14ac:dyDescent="0.2">
      <c r="A656" s="1072" t="s">
        <v>295</v>
      </c>
      <c r="B656" s="533" t="s">
        <v>1255</v>
      </c>
      <c r="C656" s="822" t="s">
        <v>2574</v>
      </c>
      <c r="D656" s="266" t="s">
        <v>411</v>
      </c>
      <c r="E656" s="704">
        <v>6</v>
      </c>
      <c r="F656" s="256">
        <f>VLOOKUP(B656,'[1]BASE DE DATOS'!$A$5:$E$964,5,FALSE)</f>
        <v>850</v>
      </c>
      <c r="G656" s="708">
        <v>0</v>
      </c>
      <c r="H656" s="252">
        <f t="shared" ref="H656:H719" si="47">IF(G656&gt;0,(G656*F656*E656),(F656*E656))</f>
        <v>5100</v>
      </c>
      <c r="I656" s="924"/>
    </row>
    <row r="657" spans="1:9" s="818" customFormat="1" ht="12.75" x14ac:dyDescent="0.2">
      <c r="A657" s="1073"/>
      <c r="B657" s="533" t="s">
        <v>1444</v>
      </c>
      <c r="C657" s="822" t="s">
        <v>2816</v>
      </c>
      <c r="D657" s="266" t="s">
        <v>405</v>
      </c>
      <c r="E657" s="704">
        <v>17</v>
      </c>
      <c r="F657" s="256">
        <f>VLOOKUP(B657,'[1]BASE DE DATOS'!$A$5:$E$964,5,FALSE)</f>
        <v>3446</v>
      </c>
      <c r="G657" s="708">
        <v>1.03</v>
      </c>
      <c r="H657" s="252">
        <f t="shared" si="47"/>
        <v>60339.46</v>
      </c>
      <c r="I657" s="924"/>
    </row>
    <row r="658" spans="1:9" s="818" customFormat="1" ht="12.75" x14ac:dyDescent="0.2">
      <c r="A658" s="1073"/>
      <c r="B658" s="533" t="s">
        <v>2846</v>
      </c>
      <c r="C658" s="822" t="s">
        <v>2847</v>
      </c>
      <c r="D658" s="266" t="s">
        <v>411</v>
      </c>
      <c r="E658" s="704">
        <v>0.3</v>
      </c>
      <c r="F658" s="256">
        <f>VLOOKUP(B658,'[1]BASE DE DATOS'!$A$5:$E$964,5,FALSE)</f>
        <v>19300</v>
      </c>
      <c r="G658" s="708">
        <v>0</v>
      </c>
      <c r="H658" s="252">
        <f t="shared" si="47"/>
        <v>5790</v>
      </c>
      <c r="I658" s="924"/>
    </row>
    <row r="659" spans="1:9" s="818" customFormat="1" ht="12.75" x14ac:dyDescent="0.2">
      <c r="A659" s="1073"/>
      <c r="B659" s="533" t="s">
        <v>1572</v>
      </c>
      <c r="C659" s="822" t="s">
        <v>2848</v>
      </c>
      <c r="D659" s="266" t="s">
        <v>411</v>
      </c>
      <c r="E659" s="704">
        <v>0.7</v>
      </c>
      <c r="F659" s="256">
        <f>VLOOKUP(B659,'[1]BASE DE DATOS'!$A$5:$E$964,5,FALSE)</f>
        <v>19300</v>
      </c>
      <c r="G659" s="708">
        <v>0</v>
      </c>
      <c r="H659" s="252">
        <f t="shared" si="47"/>
        <v>13510</v>
      </c>
      <c r="I659" s="924"/>
    </row>
    <row r="660" spans="1:9" s="818" customFormat="1" ht="12.75" x14ac:dyDescent="0.2">
      <c r="A660" s="1073"/>
      <c r="B660" s="533" t="s">
        <v>1641</v>
      </c>
      <c r="C660" s="823" t="s">
        <v>3167</v>
      </c>
      <c r="D660" s="273" t="s">
        <v>405</v>
      </c>
      <c r="E660" s="704">
        <v>0.3</v>
      </c>
      <c r="F660" s="256">
        <f>VLOOKUP(B660,'[1]BASE DE DATOS'!$A$5:$E$964,5,FALSE)</f>
        <v>7900</v>
      </c>
      <c r="G660" s="708">
        <v>1.03</v>
      </c>
      <c r="H660" s="252">
        <f t="shared" si="47"/>
        <v>2441.1</v>
      </c>
      <c r="I660" s="924"/>
    </row>
    <row r="661" spans="1:9" s="818" customFormat="1" ht="12.75" x14ac:dyDescent="0.2">
      <c r="A661" s="1073"/>
      <c r="B661" s="533" t="s">
        <v>1700</v>
      </c>
      <c r="C661" s="822" t="s">
        <v>2866</v>
      </c>
      <c r="D661" s="266" t="s">
        <v>411</v>
      </c>
      <c r="E661" s="704">
        <v>1</v>
      </c>
      <c r="F661" s="256">
        <f>VLOOKUP(B661,'[1]BASE DE DATOS'!$A$5:$E$964,5,FALSE)</f>
        <v>9150</v>
      </c>
      <c r="G661" s="708">
        <v>0</v>
      </c>
      <c r="H661" s="252">
        <f t="shared" si="47"/>
        <v>9150</v>
      </c>
      <c r="I661" s="924"/>
    </row>
    <row r="662" spans="1:9" s="818" customFormat="1" ht="12.75" x14ac:dyDescent="0.2">
      <c r="A662" s="1073"/>
      <c r="B662" s="533" t="s">
        <v>2867</v>
      </c>
      <c r="C662" s="822" t="s">
        <v>2868</v>
      </c>
      <c r="D662" s="266" t="s">
        <v>411</v>
      </c>
      <c r="E662" s="704">
        <v>3</v>
      </c>
      <c r="F662" s="256">
        <f>VLOOKUP(B662,'[1]BASE DE DATOS'!$A$5:$E$964,5,FALSE)</f>
        <v>1200</v>
      </c>
      <c r="G662" s="708">
        <v>0</v>
      </c>
      <c r="H662" s="252">
        <f t="shared" si="47"/>
        <v>3600</v>
      </c>
      <c r="I662" s="924"/>
    </row>
    <row r="663" spans="1:9" s="818" customFormat="1" ht="12.75" x14ac:dyDescent="0.2">
      <c r="A663" s="1073"/>
      <c r="B663" s="533" t="s">
        <v>1803</v>
      </c>
      <c r="C663" s="822" t="s">
        <v>2135</v>
      </c>
      <c r="D663" s="266" t="s">
        <v>411</v>
      </c>
      <c r="E663" s="704">
        <v>2</v>
      </c>
      <c r="F663" s="256">
        <f>VLOOKUP(B663,'[1]BASE DE DATOS'!$A$5:$E$964,5,FALSE)</f>
        <v>2800</v>
      </c>
      <c r="G663" s="708">
        <v>0</v>
      </c>
      <c r="H663" s="252">
        <f t="shared" si="47"/>
        <v>5600</v>
      </c>
      <c r="I663" s="924"/>
    </row>
    <row r="664" spans="1:9" s="818" customFormat="1" ht="12.75" x14ac:dyDescent="0.2">
      <c r="A664" s="1073"/>
      <c r="B664" s="533" t="s">
        <v>3031</v>
      </c>
      <c r="C664" s="822" t="s">
        <v>3032</v>
      </c>
      <c r="D664" s="266" t="s">
        <v>411</v>
      </c>
      <c r="E664" s="704">
        <v>2</v>
      </c>
      <c r="F664" s="256">
        <f>VLOOKUP(B664,'[1]BASE DE DATOS'!$A$5:$E$964,5,FALSE)</f>
        <v>1150</v>
      </c>
      <c r="G664" s="708">
        <v>0</v>
      </c>
      <c r="H664" s="252">
        <f t="shared" si="47"/>
        <v>2300</v>
      </c>
      <c r="I664" s="924"/>
    </row>
    <row r="665" spans="1:9" s="818" customFormat="1" ht="12.75" x14ac:dyDescent="0.2">
      <c r="A665" s="1073"/>
      <c r="B665" s="533" t="s">
        <v>3039</v>
      </c>
      <c r="C665" s="279" t="s">
        <v>3898</v>
      </c>
      <c r="D665" s="266" t="s">
        <v>411</v>
      </c>
      <c r="E665" s="704">
        <v>1</v>
      </c>
      <c r="F665" s="256">
        <f>VLOOKUP(B665,'[1]BASE DE DATOS'!$A$5:$E$964,5,FALSE)</f>
        <v>6100</v>
      </c>
      <c r="G665" s="708">
        <v>0</v>
      </c>
      <c r="H665" s="252">
        <f t="shared" si="47"/>
        <v>6100</v>
      </c>
      <c r="I665" s="924"/>
    </row>
    <row r="666" spans="1:9" s="818" customFormat="1" ht="12.75" x14ac:dyDescent="0.2">
      <c r="A666" s="1073"/>
      <c r="B666" s="533" t="s">
        <v>1853</v>
      </c>
      <c r="C666" s="822" t="s">
        <v>3062</v>
      </c>
      <c r="D666" s="266" t="s">
        <v>405</v>
      </c>
      <c r="E666" s="704">
        <v>5.5</v>
      </c>
      <c r="F666" s="256">
        <f>VLOOKUP(B666,'[1]BASE DE DATOS'!$A$5:$E$964,5,FALSE)</f>
        <v>9100</v>
      </c>
      <c r="G666" s="708">
        <v>1.03</v>
      </c>
      <c r="H666" s="252">
        <f t="shared" si="47"/>
        <v>51551.5</v>
      </c>
      <c r="I666" s="924"/>
    </row>
    <row r="667" spans="1:9" s="818" customFormat="1" ht="12.75" x14ac:dyDescent="0.2">
      <c r="A667" s="1073"/>
      <c r="B667" s="533" t="s">
        <v>3094</v>
      </c>
      <c r="C667" s="822" t="s">
        <v>3095</v>
      </c>
      <c r="D667" s="266" t="s">
        <v>411</v>
      </c>
      <c r="E667" s="704">
        <v>6.25</v>
      </c>
      <c r="F667" s="256">
        <f>VLOOKUP(B667,'[1]BASE DE DATOS'!$A$5:$E$964,5,FALSE)</f>
        <v>1150</v>
      </c>
      <c r="G667" s="708">
        <v>0</v>
      </c>
      <c r="H667" s="252">
        <f t="shared" si="47"/>
        <v>7187.5</v>
      </c>
      <c r="I667" s="924"/>
    </row>
    <row r="668" spans="1:9" s="818" customFormat="1" ht="12.75" x14ac:dyDescent="0.2">
      <c r="A668" s="280" t="s">
        <v>2555</v>
      </c>
      <c r="B668" s="534" t="s">
        <v>2667</v>
      </c>
      <c r="C668" s="822" t="s">
        <v>2600</v>
      </c>
      <c r="D668" s="266" t="s">
        <v>585</v>
      </c>
      <c r="E668" s="704">
        <v>1</v>
      </c>
      <c r="F668" s="256">
        <f>VLOOKUP(B668,'[1]BASE DE DATOS'!$A$5:$E$964,5,FALSE)</f>
        <v>319246</v>
      </c>
      <c r="G668" s="708">
        <f>1/6</f>
        <v>0.16666666666666666</v>
      </c>
      <c r="H668" s="252">
        <f t="shared" si="47"/>
        <v>53207.666666666664</v>
      </c>
      <c r="I668" s="924"/>
    </row>
    <row r="669" spans="1:9" s="818" customFormat="1" ht="13.5" thickBot="1" x14ac:dyDescent="0.25">
      <c r="A669" s="287" t="s">
        <v>293</v>
      </c>
      <c r="B669" s="535" t="s">
        <v>269</v>
      </c>
      <c r="C669" s="235" t="s">
        <v>284</v>
      </c>
      <c r="D669" s="177" t="s">
        <v>2199</v>
      </c>
      <c r="E669" s="704">
        <v>0.05</v>
      </c>
      <c r="F669" s="251">
        <f>H668</f>
        <v>53207.666666666664</v>
      </c>
      <c r="G669" s="708">
        <v>0</v>
      </c>
      <c r="H669" s="252">
        <f t="shared" si="47"/>
        <v>2660.3833333333332</v>
      </c>
      <c r="I669" s="924"/>
    </row>
    <row r="670" spans="1:9" ht="15" x14ac:dyDescent="0.2">
      <c r="A670" s="270" t="s">
        <v>2325</v>
      </c>
      <c r="B670" s="874"/>
      <c r="C670" s="264" t="s">
        <v>2326</v>
      </c>
      <c r="D670" s="265" t="s">
        <v>411</v>
      </c>
      <c r="E670" s="707"/>
      <c r="F670" s="259">
        <f>ROUND(SUM(H670:H683),0)</f>
        <v>304240</v>
      </c>
      <c r="G670" s="711"/>
      <c r="H670" s="250"/>
    </row>
    <row r="671" spans="1:9" s="818" customFormat="1" ht="12.75" x14ac:dyDescent="0.2">
      <c r="A671" s="1072" t="s">
        <v>295</v>
      </c>
      <c r="B671" s="533" t="s">
        <v>1255</v>
      </c>
      <c r="C671" s="822" t="s">
        <v>2574</v>
      </c>
      <c r="D671" s="266" t="s">
        <v>411</v>
      </c>
      <c r="E671" s="704">
        <v>4</v>
      </c>
      <c r="F671" s="256">
        <f>VLOOKUP(B671,'[1]BASE DE DATOS'!$A$5:$E$964,5,FALSE)</f>
        <v>850</v>
      </c>
      <c r="G671" s="708">
        <v>0</v>
      </c>
      <c r="H671" s="252">
        <f t="shared" si="47"/>
        <v>3400</v>
      </c>
      <c r="I671" s="924"/>
    </row>
    <row r="672" spans="1:9" s="818" customFormat="1" ht="12.75" x14ac:dyDescent="0.2">
      <c r="A672" s="1073"/>
      <c r="B672" s="533" t="s">
        <v>1449</v>
      </c>
      <c r="C672" s="822" t="s">
        <v>2818</v>
      </c>
      <c r="D672" s="266" t="s">
        <v>405</v>
      </c>
      <c r="E672" s="704">
        <v>25</v>
      </c>
      <c r="F672" s="256">
        <f>VLOOKUP(B672,'[1]BASE DE DATOS'!$A$5:$E$964,5,FALSE)</f>
        <v>2150</v>
      </c>
      <c r="G672" s="708">
        <v>1.03</v>
      </c>
      <c r="H672" s="252">
        <f t="shared" si="47"/>
        <v>55362.5</v>
      </c>
      <c r="I672" s="924"/>
    </row>
    <row r="673" spans="1:9" s="818" customFormat="1" ht="12.75" x14ac:dyDescent="0.2">
      <c r="A673" s="1073"/>
      <c r="B673" s="533" t="s">
        <v>2846</v>
      </c>
      <c r="C673" s="822" t="s">
        <v>2847</v>
      </c>
      <c r="D673" s="266" t="s">
        <v>411</v>
      </c>
      <c r="E673" s="704">
        <v>0.3</v>
      </c>
      <c r="F673" s="256">
        <f>VLOOKUP(B673,'[1]BASE DE DATOS'!$A$5:$E$964,5,FALSE)</f>
        <v>19300</v>
      </c>
      <c r="G673" s="708">
        <v>0</v>
      </c>
      <c r="H673" s="252">
        <f t="shared" si="47"/>
        <v>5790</v>
      </c>
      <c r="I673" s="924"/>
    </row>
    <row r="674" spans="1:9" s="818" customFormat="1" ht="12.75" x14ac:dyDescent="0.2">
      <c r="A674" s="1073"/>
      <c r="B674" s="533" t="s">
        <v>1572</v>
      </c>
      <c r="C674" s="822" t="s">
        <v>2848</v>
      </c>
      <c r="D674" s="266" t="s">
        <v>411</v>
      </c>
      <c r="E674" s="704">
        <v>1</v>
      </c>
      <c r="F674" s="256">
        <f>VLOOKUP(B674,'[1]BASE DE DATOS'!$A$5:$E$964,5,FALSE)</f>
        <v>19300</v>
      </c>
      <c r="G674" s="708">
        <v>0</v>
      </c>
      <c r="H674" s="252">
        <f t="shared" si="47"/>
        <v>19300</v>
      </c>
      <c r="I674" s="924"/>
    </row>
    <row r="675" spans="1:9" s="818" customFormat="1" ht="12.75" x14ac:dyDescent="0.2">
      <c r="A675" s="1073"/>
      <c r="B675" s="533" t="s">
        <v>1641</v>
      </c>
      <c r="C675" s="823" t="s">
        <v>3167</v>
      </c>
      <c r="D675" s="273" t="s">
        <v>405</v>
      </c>
      <c r="E675" s="704">
        <v>0.3</v>
      </c>
      <c r="F675" s="256">
        <f>VLOOKUP(B675,'[1]BASE DE DATOS'!$A$5:$E$964,5,FALSE)</f>
        <v>7900</v>
      </c>
      <c r="G675" s="708">
        <v>1.03</v>
      </c>
      <c r="H675" s="252">
        <f t="shared" si="47"/>
        <v>2441.1</v>
      </c>
      <c r="I675" s="924"/>
    </row>
    <row r="676" spans="1:9" s="818" customFormat="1" ht="12.75" x14ac:dyDescent="0.2">
      <c r="A676" s="1073"/>
      <c r="B676" s="533" t="s">
        <v>2867</v>
      </c>
      <c r="C676" s="822" t="s">
        <v>2868</v>
      </c>
      <c r="D676" s="266" t="s">
        <v>411</v>
      </c>
      <c r="E676" s="704">
        <v>3</v>
      </c>
      <c r="F676" s="256">
        <f>VLOOKUP(B676,'[1]BASE DE DATOS'!$A$5:$E$964,5,FALSE)</f>
        <v>1200</v>
      </c>
      <c r="G676" s="708">
        <v>0</v>
      </c>
      <c r="H676" s="252">
        <f t="shared" si="47"/>
        <v>3600</v>
      </c>
      <c r="I676" s="924"/>
    </row>
    <row r="677" spans="1:9" s="818" customFormat="1" ht="12.75" x14ac:dyDescent="0.2">
      <c r="A677" s="1073"/>
      <c r="B677" s="533" t="s">
        <v>1803</v>
      </c>
      <c r="C677" s="822" t="s">
        <v>2135</v>
      </c>
      <c r="D677" s="266" t="s">
        <v>411</v>
      </c>
      <c r="E677" s="704">
        <v>1</v>
      </c>
      <c r="F677" s="256">
        <f>VLOOKUP(B677,'[1]BASE DE DATOS'!$A$5:$E$964,5,FALSE)</f>
        <v>2800</v>
      </c>
      <c r="G677" s="708">
        <v>0</v>
      </c>
      <c r="H677" s="252">
        <f t="shared" si="47"/>
        <v>2800</v>
      </c>
      <c r="I677" s="924"/>
    </row>
    <row r="678" spans="1:9" s="818" customFormat="1" ht="12.75" x14ac:dyDescent="0.2">
      <c r="A678" s="1073"/>
      <c r="B678" s="533" t="s">
        <v>2917</v>
      </c>
      <c r="C678" s="822" t="s">
        <v>2918</v>
      </c>
      <c r="D678" s="266" t="s">
        <v>411</v>
      </c>
      <c r="E678" s="704">
        <v>1</v>
      </c>
      <c r="F678" s="256">
        <f>VLOOKUP(B678,'[1]BASE DE DATOS'!$A$5:$E$964,5,FALSE)</f>
        <v>22000</v>
      </c>
      <c r="G678" s="708">
        <v>0</v>
      </c>
      <c r="H678" s="252">
        <f t="shared" si="47"/>
        <v>22000</v>
      </c>
      <c r="I678" s="924"/>
    </row>
    <row r="679" spans="1:9" s="818" customFormat="1" ht="12.75" x14ac:dyDescent="0.2">
      <c r="A679" s="1073"/>
      <c r="B679" s="533" t="s">
        <v>3031</v>
      </c>
      <c r="C679" s="822" t="s">
        <v>3032</v>
      </c>
      <c r="D679" s="266" t="s">
        <v>411</v>
      </c>
      <c r="E679" s="704">
        <v>2</v>
      </c>
      <c r="F679" s="256">
        <f>VLOOKUP(B679,'[1]BASE DE DATOS'!$A$5:$E$964,5,FALSE)</f>
        <v>1150</v>
      </c>
      <c r="G679" s="708">
        <v>0</v>
      </c>
      <c r="H679" s="252">
        <f t="shared" si="47"/>
        <v>2300</v>
      </c>
      <c r="I679" s="924"/>
    </row>
    <row r="680" spans="1:9" s="818" customFormat="1" ht="12.75" x14ac:dyDescent="0.2">
      <c r="A680" s="1073"/>
      <c r="B680" s="533" t="s">
        <v>1853</v>
      </c>
      <c r="C680" s="822" t="s">
        <v>3062</v>
      </c>
      <c r="D680" s="266" t="s">
        <v>405</v>
      </c>
      <c r="E680" s="704">
        <v>4.5</v>
      </c>
      <c r="F680" s="256">
        <f>VLOOKUP(B680,'[1]BASE DE DATOS'!$A$5:$E$964,5,FALSE)</f>
        <v>9100</v>
      </c>
      <c r="G680" s="708">
        <v>1.03</v>
      </c>
      <c r="H680" s="252">
        <f t="shared" si="47"/>
        <v>42178.5</v>
      </c>
      <c r="I680" s="924"/>
    </row>
    <row r="681" spans="1:9" s="818" customFormat="1" ht="12.75" x14ac:dyDescent="0.2">
      <c r="A681" s="1073"/>
      <c r="B681" s="533" t="s">
        <v>3094</v>
      </c>
      <c r="C681" s="822" t="s">
        <v>3095</v>
      </c>
      <c r="D681" s="266" t="s">
        <v>411</v>
      </c>
      <c r="E681" s="704">
        <v>4</v>
      </c>
      <c r="F681" s="256">
        <f>VLOOKUP(B681,'[1]BASE DE DATOS'!$A$5:$E$964,5,FALSE)</f>
        <v>1150</v>
      </c>
      <c r="G681" s="708">
        <v>0</v>
      </c>
      <c r="H681" s="252">
        <f t="shared" si="47"/>
        <v>4600</v>
      </c>
      <c r="I681" s="924"/>
    </row>
    <row r="682" spans="1:9" s="818" customFormat="1" ht="12.75" x14ac:dyDescent="0.2">
      <c r="A682" s="280" t="s">
        <v>2555</v>
      </c>
      <c r="B682" s="534" t="s">
        <v>2667</v>
      </c>
      <c r="C682" s="822" t="s">
        <v>2600</v>
      </c>
      <c r="D682" s="266" t="s">
        <v>585</v>
      </c>
      <c r="E682" s="704">
        <v>1</v>
      </c>
      <c r="F682" s="256">
        <f>VLOOKUP(B682,'[1]BASE DE DATOS'!$A$5:$E$964,5,FALSE)</f>
        <v>319246</v>
      </c>
      <c r="G682" s="708">
        <f>1/2.5</f>
        <v>0.4</v>
      </c>
      <c r="H682" s="252">
        <f t="shared" si="47"/>
        <v>127698.40000000001</v>
      </c>
      <c r="I682" s="924"/>
    </row>
    <row r="683" spans="1:9" s="818" customFormat="1" ht="13.5" thickBot="1" x14ac:dyDescent="0.25">
      <c r="A683" s="287" t="s">
        <v>293</v>
      </c>
      <c r="B683" s="535" t="s">
        <v>269</v>
      </c>
      <c r="C683" s="235" t="s">
        <v>284</v>
      </c>
      <c r="D683" s="177" t="s">
        <v>2199</v>
      </c>
      <c r="E683" s="704">
        <v>0.1</v>
      </c>
      <c r="F683" s="251">
        <f>H682</f>
        <v>127698.40000000001</v>
      </c>
      <c r="G683" s="708">
        <v>0</v>
      </c>
      <c r="H683" s="252">
        <f t="shared" si="47"/>
        <v>12769.840000000002</v>
      </c>
      <c r="I683" s="924"/>
    </row>
    <row r="684" spans="1:9" ht="45" x14ac:dyDescent="0.2">
      <c r="A684" s="292" t="s">
        <v>2327</v>
      </c>
      <c r="B684" s="868"/>
      <c r="C684" s="264" t="s">
        <v>2438</v>
      </c>
      <c r="D684" s="265" t="s">
        <v>411</v>
      </c>
      <c r="E684" s="707"/>
      <c r="F684" s="259">
        <f>ROUND(SUM(H684:H697),0)</f>
        <v>295690</v>
      </c>
      <c r="G684" s="711"/>
      <c r="H684" s="250"/>
    </row>
    <row r="685" spans="1:9" s="818" customFormat="1" ht="12.75" x14ac:dyDescent="0.2">
      <c r="A685" s="1072" t="s">
        <v>295</v>
      </c>
      <c r="B685" s="533" t="s">
        <v>1255</v>
      </c>
      <c r="C685" s="822" t="s">
        <v>2574</v>
      </c>
      <c r="D685" s="266" t="s">
        <v>411</v>
      </c>
      <c r="E685" s="704">
        <v>4</v>
      </c>
      <c r="F685" s="256">
        <f>VLOOKUP(B685,'[1]BASE DE DATOS'!$A$5:$E$964,5,FALSE)</f>
        <v>850</v>
      </c>
      <c r="G685" s="708">
        <v>0</v>
      </c>
      <c r="H685" s="252">
        <f t="shared" si="47"/>
        <v>3400</v>
      </c>
      <c r="I685" s="924"/>
    </row>
    <row r="686" spans="1:9" s="818" customFormat="1" ht="12.75" x14ac:dyDescent="0.2">
      <c r="A686" s="1073"/>
      <c r="B686" s="533" t="s">
        <v>1449</v>
      </c>
      <c r="C686" s="822" t="s">
        <v>2818</v>
      </c>
      <c r="D686" s="266" t="s">
        <v>405</v>
      </c>
      <c r="E686" s="704">
        <v>25</v>
      </c>
      <c r="F686" s="256">
        <f>VLOOKUP(B686,'[1]BASE DE DATOS'!$A$5:$E$964,5,FALSE)</f>
        <v>2150</v>
      </c>
      <c r="G686" s="708">
        <v>1.03</v>
      </c>
      <c r="H686" s="252">
        <f t="shared" si="47"/>
        <v>55362.5</v>
      </c>
      <c r="I686" s="924"/>
    </row>
    <row r="687" spans="1:9" s="818" customFormat="1" ht="12.75" x14ac:dyDescent="0.2">
      <c r="A687" s="1073"/>
      <c r="B687" s="533" t="s">
        <v>2846</v>
      </c>
      <c r="C687" s="822" t="s">
        <v>2847</v>
      </c>
      <c r="D687" s="266" t="s">
        <v>411</v>
      </c>
      <c r="E687" s="704">
        <v>0.3</v>
      </c>
      <c r="F687" s="256">
        <f>VLOOKUP(B687,'[1]BASE DE DATOS'!$A$5:$E$964,5,FALSE)</f>
        <v>19300</v>
      </c>
      <c r="G687" s="708">
        <v>0</v>
      </c>
      <c r="H687" s="252">
        <f t="shared" si="47"/>
        <v>5790</v>
      </c>
      <c r="I687" s="924"/>
    </row>
    <row r="688" spans="1:9" s="818" customFormat="1" ht="12.75" x14ac:dyDescent="0.2">
      <c r="A688" s="1073"/>
      <c r="B688" s="533" t="s">
        <v>1572</v>
      </c>
      <c r="C688" s="822" t="s">
        <v>2848</v>
      </c>
      <c r="D688" s="266" t="s">
        <v>411</v>
      </c>
      <c r="E688" s="704">
        <v>1</v>
      </c>
      <c r="F688" s="256">
        <f>VLOOKUP(B688,'[1]BASE DE DATOS'!$A$5:$E$964,5,FALSE)</f>
        <v>19300</v>
      </c>
      <c r="G688" s="708">
        <v>0</v>
      </c>
      <c r="H688" s="252">
        <f t="shared" si="47"/>
        <v>19300</v>
      </c>
      <c r="I688" s="924"/>
    </row>
    <row r="689" spans="1:9" s="818" customFormat="1" ht="12.75" x14ac:dyDescent="0.2">
      <c r="A689" s="1073"/>
      <c r="B689" s="533" t="s">
        <v>1641</v>
      </c>
      <c r="C689" s="823" t="s">
        <v>3167</v>
      </c>
      <c r="D689" s="273" t="s">
        <v>405</v>
      </c>
      <c r="E689" s="704">
        <v>0.3</v>
      </c>
      <c r="F689" s="256">
        <f>VLOOKUP(B689,'[1]BASE DE DATOS'!$A$5:$E$964,5,FALSE)</f>
        <v>7900</v>
      </c>
      <c r="G689" s="708">
        <v>1.03</v>
      </c>
      <c r="H689" s="252">
        <f t="shared" si="47"/>
        <v>2441.1</v>
      </c>
      <c r="I689" s="924"/>
    </row>
    <row r="690" spans="1:9" s="818" customFormat="1" ht="12.75" x14ac:dyDescent="0.2">
      <c r="A690" s="1073"/>
      <c r="B690" s="533" t="s">
        <v>2867</v>
      </c>
      <c r="C690" s="822" t="s">
        <v>2868</v>
      </c>
      <c r="D690" s="266" t="s">
        <v>411</v>
      </c>
      <c r="E690" s="704">
        <v>3</v>
      </c>
      <c r="F690" s="256">
        <f>VLOOKUP(B690,'[1]BASE DE DATOS'!$A$5:$E$964,5,FALSE)</f>
        <v>1200</v>
      </c>
      <c r="G690" s="708">
        <v>0</v>
      </c>
      <c r="H690" s="252">
        <f t="shared" si="47"/>
        <v>3600</v>
      </c>
      <c r="I690" s="924"/>
    </row>
    <row r="691" spans="1:9" s="818" customFormat="1" ht="12.75" x14ac:dyDescent="0.2">
      <c r="A691" s="1073"/>
      <c r="B691" s="533" t="s">
        <v>1803</v>
      </c>
      <c r="C691" s="822" t="s">
        <v>2135</v>
      </c>
      <c r="D691" s="266" t="s">
        <v>411</v>
      </c>
      <c r="E691" s="704">
        <v>1</v>
      </c>
      <c r="F691" s="256">
        <f>VLOOKUP(B691,'[1]BASE DE DATOS'!$A$5:$E$964,5,FALSE)</f>
        <v>2800</v>
      </c>
      <c r="G691" s="708">
        <v>0</v>
      </c>
      <c r="H691" s="252">
        <f t="shared" si="47"/>
        <v>2800</v>
      </c>
      <c r="I691" s="924"/>
    </row>
    <row r="692" spans="1:9" s="818" customFormat="1" ht="12.75" x14ac:dyDescent="0.2">
      <c r="A692" s="1073"/>
      <c r="B692" s="533" t="s">
        <v>2905</v>
      </c>
      <c r="C692" s="279" t="s">
        <v>2906</v>
      </c>
      <c r="D692" s="266" t="s">
        <v>411</v>
      </c>
      <c r="E692" s="704">
        <v>1</v>
      </c>
      <c r="F692" s="256">
        <f>VLOOKUP(B692,'[1]BASE DE DATOS'!$A$5:$E$964,5,FALSE)</f>
        <v>13450</v>
      </c>
      <c r="G692" s="708">
        <v>0</v>
      </c>
      <c r="H692" s="252">
        <f t="shared" si="47"/>
        <v>13450</v>
      </c>
      <c r="I692" s="924"/>
    </row>
    <row r="693" spans="1:9" s="818" customFormat="1" ht="12.75" x14ac:dyDescent="0.2">
      <c r="A693" s="1073"/>
      <c r="B693" s="533" t="s">
        <v>3031</v>
      </c>
      <c r="C693" s="822" t="s">
        <v>3032</v>
      </c>
      <c r="D693" s="266" t="s">
        <v>411</v>
      </c>
      <c r="E693" s="704">
        <v>2</v>
      </c>
      <c r="F693" s="256">
        <f>VLOOKUP(B693,'[1]BASE DE DATOS'!$A$5:$E$964,5,FALSE)</f>
        <v>1150</v>
      </c>
      <c r="G693" s="708">
        <v>0</v>
      </c>
      <c r="H693" s="252">
        <f t="shared" si="47"/>
        <v>2300</v>
      </c>
      <c r="I693" s="924"/>
    </row>
    <row r="694" spans="1:9" s="818" customFormat="1" ht="12.75" x14ac:dyDescent="0.2">
      <c r="A694" s="1073"/>
      <c r="B694" s="533" t="s">
        <v>1853</v>
      </c>
      <c r="C694" s="822" t="s">
        <v>3062</v>
      </c>
      <c r="D694" s="266" t="s">
        <v>405</v>
      </c>
      <c r="E694" s="704">
        <v>4.5</v>
      </c>
      <c r="F694" s="256">
        <f>VLOOKUP(B694,'[1]BASE DE DATOS'!$A$5:$E$964,5,FALSE)</f>
        <v>9100</v>
      </c>
      <c r="G694" s="708">
        <v>1.03</v>
      </c>
      <c r="H694" s="252">
        <f t="shared" si="47"/>
        <v>42178.5</v>
      </c>
      <c r="I694" s="924"/>
    </row>
    <row r="695" spans="1:9" s="818" customFormat="1" ht="12.75" x14ac:dyDescent="0.2">
      <c r="A695" s="1073"/>
      <c r="B695" s="533" t="s">
        <v>3094</v>
      </c>
      <c r="C695" s="822" t="s">
        <v>3095</v>
      </c>
      <c r="D695" s="266" t="s">
        <v>411</v>
      </c>
      <c r="E695" s="704">
        <v>4</v>
      </c>
      <c r="F695" s="256">
        <f>VLOOKUP(B695,'[1]BASE DE DATOS'!$A$5:$E$964,5,FALSE)</f>
        <v>1150</v>
      </c>
      <c r="G695" s="708">
        <v>0</v>
      </c>
      <c r="H695" s="252">
        <f t="shared" si="47"/>
        <v>4600</v>
      </c>
      <c r="I695" s="924"/>
    </row>
    <row r="696" spans="1:9" s="818" customFormat="1" ht="12.75" x14ac:dyDescent="0.2">
      <c r="A696" s="280" t="s">
        <v>2555</v>
      </c>
      <c r="B696" s="534" t="s">
        <v>2667</v>
      </c>
      <c r="C696" s="822" t="s">
        <v>2600</v>
      </c>
      <c r="D696" s="266" t="s">
        <v>585</v>
      </c>
      <c r="E696" s="704">
        <v>1</v>
      </c>
      <c r="F696" s="256">
        <f>VLOOKUP(B696,'[1]BASE DE DATOS'!$A$5:$E$964,5,FALSE)</f>
        <v>319246</v>
      </c>
      <c r="G696" s="708">
        <f>1/2.5</f>
        <v>0.4</v>
      </c>
      <c r="H696" s="252">
        <f t="shared" si="47"/>
        <v>127698.40000000001</v>
      </c>
      <c r="I696" s="924"/>
    </row>
    <row r="697" spans="1:9" s="818" customFormat="1" ht="13.5" thickBot="1" x14ac:dyDescent="0.25">
      <c r="A697" s="287" t="s">
        <v>293</v>
      </c>
      <c r="B697" s="535" t="s">
        <v>269</v>
      </c>
      <c r="C697" s="235" t="s">
        <v>284</v>
      </c>
      <c r="D697" s="177" t="s">
        <v>2199</v>
      </c>
      <c r="E697" s="704">
        <v>0.1</v>
      </c>
      <c r="F697" s="251">
        <f>H696</f>
        <v>127698.40000000001</v>
      </c>
      <c r="G697" s="708">
        <v>0</v>
      </c>
      <c r="H697" s="252">
        <f t="shared" si="47"/>
        <v>12769.840000000002</v>
      </c>
      <c r="I697" s="924"/>
    </row>
    <row r="698" spans="1:9" ht="30" x14ac:dyDescent="0.2">
      <c r="A698" s="292" t="s">
        <v>2328</v>
      </c>
      <c r="B698" s="871"/>
      <c r="C698" s="264" t="s">
        <v>2330</v>
      </c>
      <c r="D698" s="265" t="s">
        <v>411</v>
      </c>
      <c r="E698" s="707"/>
      <c r="F698" s="259">
        <f>ROUND(SUM(H698:H707),0)</f>
        <v>176312</v>
      </c>
      <c r="G698" s="711"/>
      <c r="H698" s="250"/>
    </row>
    <row r="699" spans="1:9" s="818" customFormat="1" ht="12.75" x14ac:dyDescent="0.2">
      <c r="A699" s="1072" t="s">
        <v>295</v>
      </c>
      <c r="B699" s="533" t="s">
        <v>1862</v>
      </c>
      <c r="C699" s="822" t="s">
        <v>2576</v>
      </c>
      <c r="D699" s="266" t="s">
        <v>411</v>
      </c>
      <c r="E699" s="704">
        <v>2</v>
      </c>
      <c r="F699" s="256">
        <f>VLOOKUP(B699,'[1]BASE DE DATOS'!$A$5:$E$964,5,FALSE)</f>
        <v>400</v>
      </c>
      <c r="G699" s="708">
        <v>0</v>
      </c>
      <c r="H699" s="252">
        <f t="shared" si="47"/>
        <v>800</v>
      </c>
      <c r="I699" s="924"/>
    </row>
    <row r="700" spans="1:9" s="818" customFormat="1" ht="12.75" x14ac:dyDescent="0.2">
      <c r="A700" s="1073"/>
      <c r="B700" s="533" t="s">
        <v>1444</v>
      </c>
      <c r="C700" s="822" t="s">
        <v>2816</v>
      </c>
      <c r="D700" s="266" t="s">
        <v>405</v>
      </c>
      <c r="E700" s="704">
        <v>16</v>
      </c>
      <c r="F700" s="256">
        <f>VLOOKUP(B700,'[1]BASE DE DATOS'!$A$5:$E$964,5,FALSE)</f>
        <v>3446</v>
      </c>
      <c r="G700" s="708">
        <v>1.03</v>
      </c>
      <c r="H700" s="252">
        <f t="shared" si="47"/>
        <v>56790.080000000002</v>
      </c>
      <c r="I700" s="924"/>
    </row>
    <row r="701" spans="1:9" s="818" customFormat="1" ht="12.75" x14ac:dyDescent="0.2">
      <c r="A701" s="1073"/>
      <c r="B701" s="533" t="s">
        <v>1751</v>
      </c>
      <c r="C701" s="822" t="s">
        <v>2844</v>
      </c>
      <c r="D701" s="266" t="s">
        <v>411</v>
      </c>
      <c r="E701" s="704">
        <v>1</v>
      </c>
      <c r="F701" s="256">
        <f>VLOOKUP(B701,'[1]BASE DE DATOS'!$A$5:$E$964,5,FALSE)</f>
        <v>600</v>
      </c>
      <c r="G701" s="708">
        <v>0</v>
      </c>
      <c r="H701" s="252">
        <f t="shared" si="47"/>
        <v>600</v>
      </c>
      <c r="I701" s="924"/>
    </row>
    <row r="702" spans="1:9" s="818" customFormat="1" ht="12.75" x14ac:dyDescent="0.2">
      <c r="A702" s="1073"/>
      <c r="B702" s="533" t="s">
        <v>1342</v>
      </c>
      <c r="C702" s="822" t="s">
        <v>2131</v>
      </c>
      <c r="D702" s="266" t="s">
        <v>256</v>
      </c>
      <c r="E702" s="704">
        <v>0.08</v>
      </c>
      <c r="F702" s="256">
        <f>VLOOKUP(B702,'[1]BASE DE DATOS'!$A$5:$E$964,5,FALSE)</f>
        <v>28050</v>
      </c>
      <c r="G702" s="708">
        <v>1.03</v>
      </c>
      <c r="H702" s="252">
        <f t="shared" si="47"/>
        <v>2311.3200000000002</v>
      </c>
      <c r="I702" s="924"/>
    </row>
    <row r="703" spans="1:9" s="818" customFormat="1" ht="12.75" x14ac:dyDescent="0.2">
      <c r="A703" s="1073"/>
      <c r="B703" s="533" t="s">
        <v>2867</v>
      </c>
      <c r="C703" s="822" t="s">
        <v>2868</v>
      </c>
      <c r="D703" s="266" t="s">
        <v>411</v>
      </c>
      <c r="E703" s="704">
        <v>3</v>
      </c>
      <c r="F703" s="256">
        <f>VLOOKUP(B703,'[1]BASE DE DATOS'!$A$5:$E$964,5,FALSE)</f>
        <v>1200</v>
      </c>
      <c r="G703" s="708">
        <v>0</v>
      </c>
      <c r="H703" s="252">
        <f t="shared" si="47"/>
        <v>3600</v>
      </c>
      <c r="I703" s="924"/>
    </row>
    <row r="704" spans="1:9" s="818" customFormat="1" ht="12.75" x14ac:dyDescent="0.2">
      <c r="A704" s="1073"/>
      <c r="B704" s="533" t="s">
        <v>1701</v>
      </c>
      <c r="C704" s="822" t="s">
        <v>2652</v>
      </c>
      <c r="D704" s="266" t="s">
        <v>411</v>
      </c>
      <c r="E704" s="704">
        <v>3.0000000000000001E-3</v>
      </c>
      <c r="F704" s="256">
        <f>VLOOKUP(B704,'[1]BASE DE DATOS'!$A$5:$E$964,5,FALSE)</f>
        <v>80900</v>
      </c>
      <c r="G704" s="708">
        <v>1.03</v>
      </c>
      <c r="H704" s="252">
        <f t="shared" si="47"/>
        <v>249.98099999999999</v>
      </c>
      <c r="I704" s="924"/>
    </row>
    <row r="705" spans="1:9" s="818" customFormat="1" ht="12.75" x14ac:dyDescent="0.2">
      <c r="A705" s="1073"/>
      <c r="B705" s="533" t="s">
        <v>1863</v>
      </c>
      <c r="C705" s="822" t="s">
        <v>3073</v>
      </c>
      <c r="D705" s="266" t="s">
        <v>405</v>
      </c>
      <c r="E705" s="704">
        <v>5</v>
      </c>
      <c r="F705" s="256">
        <f>VLOOKUP(B705,'[1]BASE DE DATOS'!$A$5:$E$964,5,FALSE)</f>
        <v>1283.3333333333333</v>
      </c>
      <c r="G705" s="708">
        <v>1.03</v>
      </c>
      <c r="H705" s="252">
        <f t="shared" si="47"/>
        <v>6609.1666666666661</v>
      </c>
      <c r="I705" s="924"/>
    </row>
    <row r="706" spans="1:9" s="818" customFormat="1" ht="12.75" x14ac:dyDescent="0.2">
      <c r="A706" s="280" t="s">
        <v>2555</v>
      </c>
      <c r="B706" s="534" t="s">
        <v>2667</v>
      </c>
      <c r="C706" s="822" t="s">
        <v>2600</v>
      </c>
      <c r="D706" s="266" t="s">
        <v>585</v>
      </c>
      <c r="E706" s="704">
        <v>1</v>
      </c>
      <c r="F706" s="256">
        <f>VLOOKUP(B706,'[1]BASE DE DATOS'!$A$5:$E$964,5,FALSE)</f>
        <v>319246</v>
      </c>
      <c r="G706" s="708">
        <f>1/3.33333333333333</f>
        <v>0.30000000000000032</v>
      </c>
      <c r="H706" s="252">
        <f t="shared" si="47"/>
        <v>95773.800000000105</v>
      </c>
      <c r="I706" s="924"/>
    </row>
    <row r="707" spans="1:9" s="818" customFormat="1" ht="13.5" thickBot="1" x14ac:dyDescent="0.25">
      <c r="A707" s="287" t="s">
        <v>293</v>
      </c>
      <c r="B707" s="535" t="s">
        <v>269</v>
      </c>
      <c r="C707" s="235" t="s">
        <v>284</v>
      </c>
      <c r="D707" s="177" t="s">
        <v>2199</v>
      </c>
      <c r="E707" s="704">
        <v>0.1</v>
      </c>
      <c r="F707" s="251">
        <f>H706</f>
        <v>95773.800000000105</v>
      </c>
      <c r="G707" s="708">
        <v>0</v>
      </c>
      <c r="H707" s="252">
        <f t="shared" si="47"/>
        <v>9577.3800000000101</v>
      </c>
      <c r="I707" s="924"/>
    </row>
    <row r="708" spans="1:9" ht="15" x14ac:dyDescent="0.2">
      <c r="A708" s="270" t="s">
        <v>2329</v>
      </c>
      <c r="B708" s="874"/>
      <c r="C708" s="264" t="s">
        <v>2331</v>
      </c>
      <c r="D708" s="265" t="s">
        <v>411</v>
      </c>
      <c r="E708" s="707"/>
      <c r="F708" s="259">
        <f>ROUND(SUM(H708:H721),0)</f>
        <v>278718</v>
      </c>
      <c r="G708" s="711"/>
      <c r="H708" s="250"/>
    </row>
    <row r="709" spans="1:9" s="818" customFormat="1" ht="12.75" x14ac:dyDescent="0.2">
      <c r="A709" s="1072" t="s">
        <v>295</v>
      </c>
      <c r="B709" s="533" t="s">
        <v>1255</v>
      </c>
      <c r="C709" s="822" t="s">
        <v>2574</v>
      </c>
      <c r="D709" s="266" t="s">
        <v>411</v>
      </c>
      <c r="E709" s="704">
        <v>4</v>
      </c>
      <c r="F709" s="256">
        <f>VLOOKUP(B709,'[1]BASE DE DATOS'!$A$5:$E$964,5,FALSE)</f>
        <v>850</v>
      </c>
      <c r="G709" s="708">
        <v>0</v>
      </c>
      <c r="H709" s="252">
        <f t="shared" si="47"/>
        <v>3400</v>
      </c>
      <c r="I709" s="924"/>
    </row>
    <row r="710" spans="1:9" s="818" customFormat="1" ht="12.75" x14ac:dyDescent="0.2">
      <c r="A710" s="1073"/>
      <c r="B710" s="533" t="s">
        <v>1449</v>
      </c>
      <c r="C710" s="822" t="s">
        <v>2818</v>
      </c>
      <c r="D710" s="266" t="s">
        <v>405</v>
      </c>
      <c r="E710" s="704">
        <v>20</v>
      </c>
      <c r="F710" s="256">
        <f>VLOOKUP(B710,'[1]BASE DE DATOS'!$A$5:$E$964,5,FALSE)</f>
        <v>2150</v>
      </c>
      <c r="G710" s="708">
        <v>1.03</v>
      </c>
      <c r="H710" s="252">
        <f t="shared" si="47"/>
        <v>44290</v>
      </c>
      <c r="I710" s="924"/>
    </row>
    <row r="711" spans="1:9" s="818" customFormat="1" ht="12.75" x14ac:dyDescent="0.2">
      <c r="A711" s="1073"/>
      <c r="B711" s="533" t="s">
        <v>2846</v>
      </c>
      <c r="C711" s="822" t="s">
        <v>2847</v>
      </c>
      <c r="D711" s="266" t="s">
        <v>411</v>
      </c>
      <c r="E711" s="704">
        <v>0.3</v>
      </c>
      <c r="F711" s="256">
        <f>VLOOKUP(B711,'[1]BASE DE DATOS'!$A$5:$E$964,5,FALSE)</f>
        <v>19300</v>
      </c>
      <c r="G711" s="708">
        <v>0</v>
      </c>
      <c r="H711" s="252">
        <f t="shared" si="47"/>
        <v>5790</v>
      </c>
      <c r="I711" s="924"/>
    </row>
    <row r="712" spans="1:9" s="818" customFormat="1" ht="12.75" x14ac:dyDescent="0.2">
      <c r="A712" s="1073"/>
      <c r="B712" s="533" t="s">
        <v>1572</v>
      </c>
      <c r="C712" s="822" t="s">
        <v>2848</v>
      </c>
      <c r="D712" s="266" t="s">
        <v>411</v>
      </c>
      <c r="E712" s="704">
        <v>1</v>
      </c>
      <c r="F712" s="256">
        <f>VLOOKUP(B712,'[1]BASE DE DATOS'!$A$5:$E$964,5,FALSE)</f>
        <v>19300</v>
      </c>
      <c r="G712" s="708">
        <v>0</v>
      </c>
      <c r="H712" s="252">
        <f t="shared" si="47"/>
        <v>19300</v>
      </c>
      <c r="I712" s="924"/>
    </row>
    <row r="713" spans="1:9" s="818" customFormat="1" ht="12.75" x14ac:dyDescent="0.2">
      <c r="A713" s="1073"/>
      <c r="B713" s="533" t="s">
        <v>1641</v>
      </c>
      <c r="C713" s="823" t="s">
        <v>3167</v>
      </c>
      <c r="D713" s="273" t="s">
        <v>405</v>
      </c>
      <c r="E713" s="704">
        <v>0.3</v>
      </c>
      <c r="F713" s="256">
        <f>VLOOKUP(B713,'[1]BASE DE DATOS'!$A$5:$E$964,5,FALSE)</f>
        <v>7900</v>
      </c>
      <c r="G713" s="708">
        <v>1.03</v>
      </c>
      <c r="H713" s="252">
        <f t="shared" si="47"/>
        <v>2441.1</v>
      </c>
      <c r="I713" s="924"/>
    </row>
    <row r="714" spans="1:9" s="818" customFormat="1" ht="12.75" x14ac:dyDescent="0.2">
      <c r="A714" s="1073"/>
      <c r="B714" s="533" t="s">
        <v>2867</v>
      </c>
      <c r="C714" s="822" t="s">
        <v>2868</v>
      </c>
      <c r="D714" s="266" t="s">
        <v>411</v>
      </c>
      <c r="E714" s="704">
        <v>3</v>
      </c>
      <c r="F714" s="256">
        <f>VLOOKUP(B714,'[1]BASE DE DATOS'!$A$5:$E$964,5,FALSE)</f>
        <v>1200</v>
      </c>
      <c r="G714" s="708">
        <v>0</v>
      </c>
      <c r="H714" s="252">
        <f t="shared" si="47"/>
        <v>3600</v>
      </c>
      <c r="I714" s="924"/>
    </row>
    <row r="715" spans="1:9" s="818" customFormat="1" ht="12.75" x14ac:dyDescent="0.2">
      <c r="A715" s="1073"/>
      <c r="B715" s="533" t="s">
        <v>1803</v>
      </c>
      <c r="C715" s="822" t="s">
        <v>2135</v>
      </c>
      <c r="D715" s="266" t="s">
        <v>411</v>
      </c>
      <c r="E715" s="704">
        <v>1</v>
      </c>
      <c r="F715" s="256">
        <f>VLOOKUP(B715,'[1]BASE DE DATOS'!$A$5:$E$964,5,FALSE)</f>
        <v>2800</v>
      </c>
      <c r="G715" s="708">
        <v>0</v>
      </c>
      <c r="H715" s="252">
        <f t="shared" si="47"/>
        <v>2800</v>
      </c>
      <c r="I715" s="924"/>
    </row>
    <row r="716" spans="1:9" s="818" customFormat="1" ht="12.75" x14ac:dyDescent="0.2">
      <c r="A716" s="1073"/>
      <c r="B716" s="533" t="s">
        <v>2907</v>
      </c>
      <c r="C716" s="822" t="s">
        <v>2908</v>
      </c>
      <c r="D716" s="266" t="s">
        <v>411</v>
      </c>
      <c r="E716" s="704">
        <v>1</v>
      </c>
      <c r="F716" s="256">
        <f>VLOOKUP(B716,'[1]BASE DE DATOS'!$A$5:$E$964,5,FALSE)</f>
        <v>7550</v>
      </c>
      <c r="G716" s="708">
        <v>0</v>
      </c>
      <c r="H716" s="252">
        <f t="shared" si="47"/>
        <v>7550</v>
      </c>
      <c r="I716" s="924"/>
    </row>
    <row r="717" spans="1:9" s="818" customFormat="1" ht="12.75" x14ac:dyDescent="0.2">
      <c r="A717" s="1073"/>
      <c r="B717" s="533" t="s">
        <v>3031</v>
      </c>
      <c r="C717" s="822" t="s">
        <v>3032</v>
      </c>
      <c r="D717" s="266" t="s">
        <v>411</v>
      </c>
      <c r="E717" s="704">
        <v>2</v>
      </c>
      <c r="F717" s="256">
        <f>VLOOKUP(B717,'[1]BASE DE DATOS'!$A$5:$E$964,5,FALSE)</f>
        <v>1150</v>
      </c>
      <c r="G717" s="708">
        <v>0</v>
      </c>
      <c r="H717" s="252">
        <f t="shared" si="47"/>
        <v>2300</v>
      </c>
      <c r="I717" s="924"/>
    </row>
    <row r="718" spans="1:9" s="818" customFormat="1" ht="12.75" x14ac:dyDescent="0.2">
      <c r="A718" s="1073"/>
      <c r="B718" s="533" t="s">
        <v>1853</v>
      </c>
      <c r="C718" s="822" t="s">
        <v>3062</v>
      </c>
      <c r="D718" s="266" t="s">
        <v>405</v>
      </c>
      <c r="E718" s="704">
        <v>4.5</v>
      </c>
      <c r="F718" s="256">
        <f>VLOOKUP(B718,'[1]BASE DE DATOS'!$A$5:$E$964,5,FALSE)</f>
        <v>9100</v>
      </c>
      <c r="G718" s="708">
        <v>1.03</v>
      </c>
      <c r="H718" s="252">
        <f t="shared" si="47"/>
        <v>42178.5</v>
      </c>
      <c r="I718" s="924"/>
    </row>
    <row r="719" spans="1:9" s="818" customFormat="1" ht="12.75" x14ac:dyDescent="0.2">
      <c r="A719" s="1073"/>
      <c r="B719" s="533" t="s">
        <v>3094</v>
      </c>
      <c r="C719" s="822" t="s">
        <v>3095</v>
      </c>
      <c r="D719" s="266" t="s">
        <v>411</v>
      </c>
      <c r="E719" s="704">
        <v>4</v>
      </c>
      <c r="F719" s="256">
        <f>VLOOKUP(B719,'[1]BASE DE DATOS'!$A$5:$E$964,5,FALSE)</f>
        <v>1150</v>
      </c>
      <c r="G719" s="708">
        <v>0</v>
      </c>
      <c r="H719" s="252">
        <f t="shared" si="47"/>
        <v>4600</v>
      </c>
      <c r="I719" s="924"/>
    </row>
    <row r="720" spans="1:9" s="818" customFormat="1" ht="12.75" x14ac:dyDescent="0.2">
      <c r="A720" s="280" t="s">
        <v>2555</v>
      </c>
      <c r="B720" s="534" t="s">
        <v>2667</v>
      </c>
      <c r="C720" s="822" t="s">
        <v>2600</v>
      </c>
      <c r="D720" s="266" t="s">
        <v>585</v>
      </c>
      <c r="E720" s="704">
        <v>1</v>
      </c>
      <c r="F720" s="256">
        <f>VLOOKUP(B720,'[1]BASE DE DATOS'!$A$5:$E$964,5,FALSE)</f>
        <v>319246</v>
      </c>
      <c r="G720" s="708">
        <f>1/2.5</f>
        <v>0.4</v>
      </c>
      <c r="H720" s="252">
        <f t="shared" ref="H720:H721" si="48">IF(G720&gt;0,(G720*F720*E720),(F720*E720))</f>
        <v>127698.40000000001</v>
      </c>
      <c r="I720" s="924"/>
    </row>
    <row r="721" spans="1:9" s="818" customFormat="1" ht="13.5" thickBot="1" x14ac:dyDescent="0.25">
      <c r="A721" s="287" t="s">
        <v>293</v>
      </c>
      <c r="B721" s="535" t="s">
        <v>269</v>
      </c>
      <c r="C721" s="235" t="s">
        <v>284</v>
      </c>
      <c r="D721" s="177" t="s">
        <v>2199</v>
      </c>
      <c r="E721" s="704">
        <v>0.1</v>
      </c>
      <c r="F721" s="251">
        <f>H720</f>
        <v>127698.40000000001</v>
      </c>
      <c r="G721" s="708">
        <v>0</v>
      </c>
      <c r="H721" s="252">
        <f t="shared" si="48"/>
        <v>12769.840000000002</v>
      </c>
      <c r="I721" s="924"/>
    </row>
    <row r="722" spans="1:9" ht="30" x14ac:dyDescent="0.2">
      <c r="A722" s="292" t="s">
        <v>2332</v>
      </c>
      <c r="B722" s="868"/>
      <c r="C722" s="264" t="s">
        <v>2333</v>
      </c>
      <c r="D722" s="265" t="s">
        <v>411</v>
      </c>
      <c r="E722" s="707"/>
      <c r="F722" s="259">
        <f>ROUND(SUM(H722:H736),0)</f>
        <v>327617</v>
      </c>
      <c r="G722" s="711"/>
      <c r="H722" s="250"/>
    </row>
    <row r="723" spans="1:9" s="818" customFormat="1" ht="12.75" x14ac:dyDescent="0.2">
      <c r="A723" s="1072" t="s">
        <v>295</v>
      </c>
      <c r="B723" s="533" t="s">
        <v>1255</v>
      </c>
      <c r="C723" s="822" t="s">
        <v>2574</v>
      </c>
      <c r="D723" s="266" t="s">
        <v>411</v>
      </c>
      <c r="E723" s="704">
        <v>6</v>
      </c>
      <c r="F723" s="256">
        <f>VLOOKUP(B723,'[1]BASE DE DATOS'!$A$5:$E$964,5,FALSE)</f>
        <v>850</v>
      </c>
      <c r="G723" s="708">
        <v>0</v>
      </c>
      <c r="H723" s="252">
        <f t="shared" ref="H723:H760" si="49">IF(G723&gt;0,(G723*F723*E723),(F723*E723))</f>
        <v>5100</v>
      </c>
      <c r="I723" s="924"/>
    </row>
    <row r="724" spans="1:9" s="818" customFormat="1" ht="12.75" x14ac:dyDescent="0.2">
      <c r="A724" s="1073"/>
      <c r="B724" s="533" t="s">
        <v>1444</v>
      </c>
      <c r="C724" s="822" t="s">
        <v>2816</v>
      </c>
      <c r="D724" s="266" t="s">
        <v>405</v>
      </c>
      <c r="E724" s="704">
        <v>19</v>
      </c>
      <c r="F724" s="256">
        <f>VLOOKUP(B724,'[1]BASE DE DATOS'!$A$5:$E$964,5,FALSE)</f>
        <v>3446</v>
      </c>
      <c r="G724" s="708">
        <v>1.03</v>
      </c>
      <c r="H724" s="252">
        <f t="shared" si="49"/>
        <v>67438.22</v>
      </c>
      <c r="I724" s="924"/>
    </row>
    <row r="725" spans="1:9" s="818" customFormat="1" ht="12.75" x14ac:dyDescent="0.2">
      <c r="A725" s="1073"/>
      <c r="B725" s="533" t="s">
        <v>2846</v>
      </c>
      <c r="C725" s="822" t="s">
        <v>2847</v>
      </c>
      <c r="D725" s="266" t="s">
        <v>411</v>
      </c>
      <c r="E725" s="704">
        <v>0.3</v>
      </c>
      <c r="F725" s="256">
        <f>VLOOKUP(B725,'[1]BASE DE DATOS'!$A$5:$E$964,5,FALSE)</f>
        <v>19300</v>
      </c>
      <c r="G725" s="708">
        <v>0</v>
      </c>
      <c r="H725" s="252">
        <f t="shared" si="49"/>
        <v>5790</v>
      </c>
      <c r="I725" s="924"/>
    </row>
    <row r="726" spans="1:9" s="818" customFormat="1" ht="12.75" x14ac:dyDescent="0.2">
      <c r="A726" s="1073"/>
      <c r="B726" s="533" t="s">
        <v>1572</v>
      </c>
      <c r="C726" s="822" t="s">
        <v>2848</v>
      </c>
      <c r="D726" s="266" t="s">
        <v>411</v>
      </c>
      <c r="E726" s="704">
        <v>0.7</v>
      </c>
      <c r="F726" s="256">
        <f>VLOOKUP(B726,'[1]BASE DE DATOS'!$A$5:$E$964,5,FALSE)</f>
        <v>19300</v>
      </c>
      <c r="G726" s="708">
        <v>0</v>
      </c>
      <c r="H726" s="252">
        <f t="shared" si="49"/>
        <v>13510</v>
      </c>
      <c r="I726" s="924"/>
    </row>
    <row r="727" spans="1:9" s="818" customFormat="1" ht="12.75" x14ac:dyDescent="0.2">
      <c r="A727" s="1073"/>
      <c r="B727" s="533" t="s">
        <v>1641</v>
      </c>
      <c r="C727" s="823" t="s">
        <v>3167</v>
      </c>
      <c r="D727" s="273" t="s">
        <v>405</v>
      </c>
      <c r="E727" s="704">
        <v>0.3</v>
      </c>
      <c r="F727" s="256">
        <f>VLOOKUP(B727,'[1]BASE DE DATOS'!$A$5:$E$964,5,FALSE)</f>
        <v>7900</v>
      </c>
      <c r="G727" s="708">
        <v>0</v>
      </c>
      <c r="H727" s="252">
        <f t="shared" si="49"/>
        <v>2370</v>
      </c>
      <c r="I727" s="924"/>
    </row>
    <row r="728" spans="1:9" s="818" customFormat="1" ht="12.75" x14ac:dyDescent="0.2">
      <c r="A728" s="1073"/>
      <c r="B728" s="533" t="s">
        <v>1700</v>
      </c>
      <c r="C728" s="822" t="s">
        <v>2866</v>
      </c>
      <c r="D728" s="266" t="s">
        <v>411</v>
      </c>
      <c r="E728" s="704">
        <v>2</v>
      </c>
      <c r="F728" s="256">
        <f>VLOOKUP(B728,'[1]BASE DE DATOS'!$A$5:$E$964,5,FALSE)</f>
        <v>9150</v>
      </c>
      <c r="G728" s="708">
        <v>0</v>
      </c>
      <c r="H728" s="252">
        <f t="shared" si="49"/>
        <v>18300</v>
      </c>
      <c r="I728" s="924"/>
    </row>
    <row r="729" spans="1:9" s="818" customFormat="1" ht="12.75" x14ac:dyDescent="0.2">
      <c r="A729" s="1073"/>
      <c r="B729" s="533" t="s">
        <v>2867</v>
      </c>
      <c r="C729" s="822" t="s">
        <v>2868</v>
      </c>
      <c r="D729" s="266" t="s">
        <v>411</v>
      </c>
      <c r="E729" s="704">
        <v>3</v>
      </c>
      <c r="F729" s="256">
        <f>VLOOKUP(B729,'[1]BASE DE DATOS'!$A$5:$E$964,5,FALSE)</f>
        <v>1200</v>
      </c>
      <c r="G729" s="708">
        <v>0</v>
      </c>
      <c r="H729" s="252">
        <f t="shared" si="49"/>
        <v>3600</v>
      </c>
      <c r="I729" s="924"/>
    </row>
    <row r="730" spans="1:9" s="818" customFormat="1" ht="12.75" x14ac:dyDescent="0.2">
      <c r="A730" s="1073"/>
      <c r="B730" s="533" t="s">
        <v>1803</v>
      </c>
      <c r="C730" s="822" t="s">
        <v>2135</v>
      </c>
      <c r="D730" s="266" t="s">
        <v>411</v>
      </c>
      <c r="E730" s="704">
        <v>2</v>
      </c>
      <c r="F730" s="256">
        <f>VLOOKUP(B730,'[1]BASE DE DATOS'!$A$5:$E$964,5,FALSE)</f>
        <v>2800</v>
      </c>
      <c r="G730" s="708">
        <v>0</v>
      </c>
      <c r="H730" s="252">
        <f t="shared" si="49"/>
        <v>5600</v>
      </c>
      <c r="I730" s="924"/>
    </row>
    <row r="731" spans="1:9" s="818" customFormat="1" ht="12.75" x14ac:dyDescent="0.2">
      <c r="A731" s="1073"/>
      <c r="B731" s="533" t="s">
        <v>3031</v>
      </c>
      <c r="C731" s="822" t="s">
        <v>3032</v>
      </c>
      <c r="D731" s="266" t="s">
        <v>411</v>
      </c>
      <c r="E731" s="704">
        <v>2</v>
      </c>
      <c r="F731" s="256">
        <f>VLOOKUP(B731,'[1]BASE DE DATOS'!$A$5:$E$964,5,FALSE)</f>
        <v>1150</v>
      </c>
      <c r="G731" s="708">
        <v>0</v>
      </c>
      <c r="H731" s="252">
        <f t="shared" si="49"/>
        <v>2300</v>
      </c>
      <c r="I731" s="924"/>
    </row>
    <row r="732" spans="1:9" s="818" customFormat="1" ht="12.75" x14ac:dyDescent="0.2">
      <c r="A732" s="1073"/>
      <c r="B732" s="533" t="s">
        <v>3039</v>
      </c>
      <c r="C732" s="279" t="s">
        <v>3898</v>
      </c>
      <c r="D732" s="266" t="s">
        <v>411</v>
      </c>
      <c r="E732" s="704">
        <v>1</v>
      </c>
      <c r="F732" s="256">
        <f>VLOOKUP(B732,'[1]BASE DE DATOS'!$A$5:$E$964,5,FALSE)</f>
        <v>6100</v>
      </c>
      <c r="G732" s="708">
        <v>0</v>
      </c>
      <c r="H732" s="252">
        <f t="shared" si="49"/>
        <v>6100</v>
      </c>
      <c r="I732" s="924"/>
    </row>
    <row r="733" spans="1:9" s="818" customFormat="1" ht="12.75" x14ac:dyDescent="0.2">
      <c r="A733" s="1073"/>
      <c r="B733" s="533" t="s">
        <v>1853</v>
      </c>
      <c r="C733" s="822" t="s">
        <v>3062</v>
      </c>
      <c r="D733" s="266" t="s">
        <v>405</v>
      </c>
      <c r="E733" s="704">
        <v>6</v>
      </c>
      <c r="F733" s="256">
        <f>VLOOKUP(B733,'[1]BASE DE DATOS'!$A$5:$E$964,5,FALSE)</f>
        <v>9100</v>
      </c>
      <c r="G733" s="708">
        <v>1.03</v>
      </c>
      <c r="H733" s="252">
        <f t="shared" si="49"/>
        <v>56238</v>
      </c>
      <c r="I733" s="924"/>
    </row>
    <row r="734" spans="1:9" s="818" customFormat="1" ht="12.75" x14ac:dyDescent="0.2">
      <c r="A734" s="1073"/>
      <c r="B734" s="533" t="s">
        <v>3094</v>
      </c>
      <c r="C734" s="822" t="s">
        <v>3095</v>
      </c>
      <c r="D734" s="266" t="s">
        <v>411</v>
      </c>
      <c r="E734" s="704">
        <v>6.25</v>
      </c>
      <c r="F734" s="256">
        <f>VLOOKUP(B734,'[1]BASE DE DATOS'!$A$5:$E$964,5,FALSE)</f>
        <v>1150</v>
      </c>
      <c r="G734" s="708">
        <v>0</v>
      </c>
      <c r="H734" s="252">
        <f t="shared" si="49"/>
        <v>7187.5</v>
      </c>
      <c r="I734" s="924"/>
    </row>
    <row r="735" spans="1:9" s="818" customFormat="1" ht="12.75" x14ac:dyDescent="0.2">
      <c r="A735" s="280" t="s">
        <v>2555</v>
      </c>
      <c r="B735" s="534" t="s">
        <v>2667</v>
      </c>
      <c r="C735" s="822" t="s">
        <v>2600</v>
      </c>
      <c r="D735" s="266" t="s">
        <v>585</v>
      </c>
      <c r="E735" s="704">
        <v>1</v>
      </c>
      <c r="F735" s="256">
        <f>VLOOKUP(B735,'[1]BASE DE DATOS'!$A$5:$E$964,5,FALSE)</f>
        <v>319246</v>
      </c>
      <c r="G735" s="708">
        <f>1/2.5</f>
        <v>0.4</v>
      </c>
      <c r="H735" s="252">
        <f t="shared" si="49"/>
        <v>127698.40000000001</v>
      </c>
      <c r="I735" s="924"/>
    </row>
    <row r="736" spans="1:9" s="818" customFormat="1" ht="13.5" thickBot="1" x14ac:dyDescent="0.25">
      <c r="A736" s="287" t="s">
        <v>293</v>
      </c>
      <c r="B736" s="535" t="s">
        <v>269</v>
      </c>
      <c r="C736" s="235" t="s">
        <v>284</v>
      </c>
      <c r="D736" s="177" t="s">
        <v>2199</v>
      </c>
      <c r="E736" s="704">
        <v>0.05</v>
      </c>
      <c r="F736" s="251">
        <f>H735</f>
        <v>127698.40000000001</v>
      </c>
      <c r="G736" s="708">
        <v>0</v>
      </c>
      <c r="H736" s="252">
        <f t="shared" si="49"/>
        <v>6384.920000000001</v>
      </c>
      <c r="I736" s="924"/>
    </row>
    <row r="737" spans="1:9" ht="33" customHeight="1" x14ac:dyDescent="0.2">
      <c r="A737" s="292" t="s">
        <v>2334</v>
      </c>
      <c r="B737" s="868"/>
      <c r="C737" s="264" t="s">
        <v>2439</v>
      </c>
      <c r="D737" s="265" t="s">
        <v>411</v>
      </c>
      <c r="E737" s="707"/>
      <c r="F737" s="259">
        <f>ROUND(SUM(H737:H750),0)</f>
        <v>271283</v>
      </c>
      <c r="G737" s="711"/>
      <c r="H737" s="250"/>
    </row>
    <row r="738" spans="1:9" s="818" customFormat="1" ht="12.75" x14ac:dyDescent="0.2">
      <c r="A738" s="1072" t="s">
        <v>295</v>
      </c>
      <c r="B738" s="533" t="s">
        <v>1255</v>
      </c>
      <c r="C738" s="822" t="s">
        <v>2574</v>
      </c>
      <c r="D738" s="266" t="s">
        <v>411</v>
      </c>
      <c r="E738" s="704">
        <v>4</v>
      </c>
      <c r="F738" s="256">
        <f>VLOOKUP(B738,'[1]BASE DE DATOS'!$A$5:$E$964,5,FALSE)</f>
        <v>850</v>
      </c>
      <c r="G738" s="708">
        <v>0</v>
      </c>
      <c r="H738" s="252">
        <f t="shared" si="49"/>
        <v>3400</v>
      </c>
      <c r="I738" s="924"/>
    </row>
    <row r="739" spans="1:9" s="818" customFormat="1" ht="12.75" x14ac:dyDescent="0.2">
      <c r="A739" s="1073"/>
      <c r="B739" s="533" t="s">
        <v>1449</v>
      </c>
      <c r="C739" s="822" t="s">
        <v>2818</v>
      </c>
      <c r="D739" s="266" t="s">
        <v>405</v>
      </c>
      <c r="E739" s="704">
        <v>20</v>
      </c>
      <c r="F739" s="256">
        <f>VLOOKUP(B739,'[1]BASE DE DATOS'!$A$5:$E$964,5,FALSE)</f>
        <v>2150</v>
      </c>
      <c r="G739" s="708">
        <v>1.03</v>
      </c>
      <c r="H739" s="252">
        <f t="shared" si="49"/>
        <v>44290</v>
      </c>
      <c r="I739" s="924"/>
    </row>
    <row r="740" spans="1:9" s="818" customFormat="1" ht="12.75" x14ac:dyDescent="0.2">
      <c r="A740" s="1073"/>
      <c r="B740" s="533" t="s">
        <v>2846</v>
      </c>
      <c r="C740" s="822" t="s">
        <v>2847</v>
      </c>
      <c r="D740" s="266" t="s">
        <v>411</v>
      </c>
      <c r="E740" s="704">
        <v>0.3</v>
      </c>
      <c r="F740" s="256">
        <f>VLOOKUP(B740,'[1]BASE DE DATOS'!$A$5:$E$964,5,FALSE)</f>
        <v>19300</v>
      </c>
      <c r="G740" s="708">
        <v>0</v>
      </c>
      <c r="H740" s="252">
        <f t="shared" si="49"/>
        <v>5790</v>
      </c>
      <c r="I740" s="924"/>
    </row>
    <row r="741" spans="1:9" s="818" customFormat="1" ht="12.75" x14ac:dyDescent="0.2">
      <c r="A741" s="1073"/>
      <c r="B741" s="533" t="s">
        <v>1572</v>
      </c>
      <c r="C741" s="822" t="s">
        <v>2848</v>
      </c>
      <c r="D741" s="266" t="s">
        <v>411</v>
      </c>
      <c r="E741" s="704">
        <v>1</v>
      </c>
      <c r="F741" s="256">
        <f>VLOOKUP(B741,'[1]BASE DE DATOS'!$A$5:$E$964,5,FALSE)</f>
        <v>19300</v>
      </c>
      <c r="G741" s="708">
        <v>0</v>
      </c>
      <c r="H741" s="252">
        <f t="shared" si="49"/>
        <v>19300</v>
      </c>
      <c r="I741" s="924"/>
    </row>
    <row r="742" spans="1:9" s="818" customFormat="1" ht="12.75" x14ac:dyDescent="0.2">
      <c r="A742" s="1073"/>
      <c r="B742" s="533" t="s">
        <v>1641</v>
      </c>
      <c r="C742" s="823" t="s">
        <v>3167</v>
      </c>
      <c r="D742" s="273" t="s">
        <v>405</v>
      </c>
      <c r="E742" s="704">
        <v>0.3</v>
      </c>
      <c r="F742" s="256">
        <f>VLOOKUP(B742,'[1]BASE DE DATOS'!$A$5:$E$964,5,FALSE)</f>
        <v>7900</v>
      </c>
      <c r="G742" s="708">
        <v>1.03</v>
      </c>
      <c r="H742" s="252">
        <f t="shared" si="49"/>
        <v>2441.1</v>
      </c>
      <c r="I742" s="924"/>
    </row>
    <row r="743" spans="1:9" s="818" customFormat="1" ht="12.75" x14ac:dyDescent="0.2">
      <c r="A743" s="1073"/>
      <c r="B743" s="533" t="s">
        <v>2867</v>
      </c>
      <c r="C743" s="822" t="s">
        <v>2868</v>
      </c>
      <c r="D743" s="266" t="s">
        <v>411</v>
      </c>
      <c r="E743" s="704">
        <v>3</v>
      </c>
      <c r="F743" s="256">
        <f>VLOOKUP(B743,'[1]BASE DE DATOS'!$A$5:$E$964,5,FALSE)</f>
        <v>1200</v>
      </c>
      <c r="G743" s="708">
        <v>0</v>
      </c>
      <c r="H743" s="252">
        <f t="shared" si="49"/>
        <v>3600</v>
      </c>
      <c r="I743" s="924"/>
    </row>
    <row r="744" spans="1:9" s="818" customFormat="1" ht="12.75" x14ac:dyDescent="0.2">
      <c r="A744" s="1073"/>
      <c r="B744" s="533" t="s">
        <v>1803</v>
      </c>
      <c r="C744" s="822" t="s">
        <v>2135</v>
      </c>
      <c r="D744" s="266" t="s">
        <v>411</v>
      </c>
      <c r="E744" s="704">
        <v>1</v>
      </c>
      <c r="F744" s="256">
        <f>VLOOKUP(B744,'[1]BASE DE DATOS'!$A$5:$E$964,5,FALSE)</f>
        <v>2800</v>
      </c>
      <c r="G744" s="708">
        <v>0</v>
      </c>
      <c r="H744" s="252">
        <f t="shared" si="49"/>
        <v>2800</v>
      </c>
      <c r="I744" s="924"/>
    </row>
    <row r="745" spans="1:9" s="818" customFormat="1" ht="12.75" x14ac:dyDescent="0.2">
      <c r="A745" s="1073"/>
      <c r="B745" s="533" t="s">
        <v>1434</v>
      </c>
      <c r="C745" s="279" t="s">
        <v>3132</v>
      </c>
      <c r="D745" s="266" t="s">
        <v>411</v>
      </c>
      <c r="E745" s="704">
        <v>1</v>
      </c>
      <c r="F745" s="256">
        <f>VLOOKUP(B745,'[1]BASE DE DATOS'!$A$5:$E$964,5,FALSE)</f>
        <v>6500</v>
      </c>
      <c r="G745" s="708">
        <v>0</v>
      </c>
      <c r="H745" s="252">
        <f t="shared" si="49"/>
        <v>6500</v>
      </c>
      <c r="I745" s="924"/>
    </row>
    <row r="746" spans="1:9" s="818" customFormat="1" ht="12.75" x14ac:dyDescent="0.2">
      <c r="A746" s="1073"/>
      <c r="B746" s="533" t="s">
        <v>3031</v>
      </c>
      <c r="C746" s="822" t="s">
        <v>3032</v>
      </c>
      <c r="D746" s="266" t="s">
        <v>411</v>
      </c>
      <c r="E746" s="704">
        <v>2</v>
      </c>
      <c r="F746" s="256">
        <f>VLOOKUP(B746,'[1]BASE DE DATOS'!$A$5:$E$964,5,FALSE)</f>
        <v>1150</v>
      </c>
      <c r="G746" s="708">
        <v>0</v>
      </c>
      <c r="H746" s="252">
        <f t="shared" si="49"/>
        <v>2300</v>
      </c>
      <c r="I746" s="924"/>
    </row>
    <row r="747" spans="1:9" s="818" customFormat="1" ht="12.75" x14ac:dyDescent="0.2">
      <c r="A747" s="1073"/>
      <c r="B747" s="533" t="s">
        <v>1853</v>
      </c>
      <c r="C747" s="822" t="s">
        <v>3062</v>
      </c>
      <c r="D747" s="266" t="s">
        <v>405</v>
      </c>
      <c r="E747" s="704">
        <v>4.5</v>
      </c>
      <c r="F747" s="256">
        <f>VLOOKUP(B747,'[1]BASE DE DATOS'!$A$5:$E$964,5,FALSE)</f>
        <v>9100</v>
      </c>
      <c r="G747" s="708">
        <v>1.03</v>
      </c>
      <c r="H747" s="252">
        <f t="shared" si="49"/>
        <v>42178.5</v>
      </c>
      <c r="I747" s="924"/>
    </row>
    <row r="748" spans="1:9" s="818" customFormat="1" ht="12.75" x14ac:dyDescent="0.2">
      <c r="A748" s="1073"/>
      <c r="B748" s="533" t="s">
        <v>3094</v>
      </c>
      <c r="C748" s="822" t="s">
        <v>3095</v>
      </c>
      <c r="D748" s="266" t="s">
        <v>411</v>
      </c>
      <c r="E748" s="704">
        <v>4</v>
      </c>
      <c r="F748" s="256">
        <f>VLOOKUP(B748,'[1]BASE DE DATOS'!$A$5:$E$964,5,FALSE)</f>
        <v>1150</v>
      </c>
      <c r="G748" s="708">
        <v>0</v>
      </c>
      <c r="H748" s="252">
        <f t="shared" si="49"/>
        <v>4600</v>
      </c>
      <c r="I748" s="924"/>
    </row>
    <row r="749" spans="1:9" s="818" customFormat="1" ht="12.75" x14ac:dyDescent="0.2">
      <c r="A749" s="280" t="s">
        <v>2555</v>
      </c>
      <c r="B749" s="534" t="s">
        <v>2667</v>
      </c>
      <c r="C749" s="822" t="s">
        <v>2600</v>
      </c>
      <c r="D749" s="266" t="s">
        <v>585</v>
      </c>
      <c r="E749" s="704">
        <v>1</v>
      </c>
      <c r="F749" s="256">
        <f>VLOOKUP(B749,'[1]BASE DE DATOS'!$A$5:$E$964,5,FALSE)</f>
        <v>319246</v>
      </c>
      <c r="G749" s="708">
        <f>1/2.5</f>
        <v>0.4</v>
      </c>
      <c r="H749" s="252">
        <f t="shared" si="49"/>
        <v>127698.40000000001</v>
      </c>
      <c r="I749" s="924"/>
    </row>
    <row r="750" spans="1:9" s="818" customFormat="1" ht="13.5" thickBot="1" x14ac:dyDescent="0.25">
      <c r="A750" s="287" t="s">
        <v>293</v>
      </c>
      <c r="B750" s="535" t="s">
        <v>269</v>
      </c>
      <c r="C750" s="235" t="s">
        <v>284</v>
      </c>
      <c r="D750" s="177" t="s">
        <v>2199</v>
      </c>
      <c r="E750" s="704">
        <v>0.05</v>
      </c>
      <c r="F750" s="251">
        <f>H749</f>
        <v>127698.40000000001</v>
      </c>
      <c r="G750" s="708">
        <v>0</v>
      </c>
      <c r="H750" s="252">
        <f t="shared" si="49"/>
        <v>6384.920000000001</v>
      </c>
      <c r="I750" s="924"/>
    </row>
    <row r="751" spans="1:9" s="814" customFormat="1" ht="30" x14ac:dyDescent="0.2">
      <c r="A751" s="292" t="s">
        <v>2335</v>
      </c>
      <c r="B751" s="871"/>
      <c r="C751" s="264" t="s">
        <v>2337</v>
      </c>
      <c r="D751" s="265" t="s">
        <v>405</v>
      </c>
      <c r="E751" s="707"/>
      <c r="F751" s="259">
        <f>ROUND(SUM(H751:H760),0)</f>
        <v>71790</v>
      </c>
      <c r="G751" s="711"/>
      <c r="H751" s="250"/>
      <c r="I751" s="925">
        <v>12</v>
      </c>
    </row>
    <row r="752" spans="1:9" s="825" customFormat="1" ht="12.75" x14ac:dyDescent="0.2">
      <c r="A752" s="1072" t="s">
        <v>295</v>
      </c>
      <c r="B752" s="533" t="s">
        <v>1255</v>
      </c>
      <c r="C752" s="839" t="s">
        <v>2574</v>
      </c>
      <c r="D752" s="266" t="s">
        <v>411</v>
      </c>
      <c r="E752" s="705">
        <v>0.67</v>
      </c>
      <c r="F752" s="256">
        <f>VLOOKUP(B752,'[1]BASE DE DATOS'!$A$5:$E$964,5,FALSE)</f>
        <v>850</v>
      </c>
      <c r="G752" s="709">
        <v>0</v>
      </c>
      <c r="H752" s="252">
        <f t="shared" si="49"/>
        <v>569.5</v>
      </c>
      <c r="I752" s="924"/>
    </row>
    <row r="753" spans="1:9" s="825" customFormat="1" ht="12.75" x14ac:dyDescent="0.2">
      <c r="A753" s="1073"/>
      <c r="B753" s="533" t="s">
        <v>1339</v>
      </c>
      <c r="C753" s="839" t="s">
        <v>2798</v>
      </c>
      <c r="D753" s="266" t="s">
        <v>411</v>
      </c>
      <c r="E753" s="705">
        <v>0.67</v>
      </c>
      <c r="F753" s="256">
        <f>VLOOKUP(B753,'[1]BASE DE DATOS'!$A$5:$E$964,5,FALSE)</f>
        <v>3700</v>
      </c>
      <c r="G753" s="709">
        <v>0</v>
      </c>
      <c r="H753" s="252">
        <f t="shared" si="49"/>
        <v>2479</v>
      </c>
      <c r="I753" s="924"/>
    </row>
    <row r="754" spans="1:9" s="825" customFormat="1" ht="12.75" x14ac:dyDescent="0.2">
      <c r="A754" s="1073"/>
      <c r="B754" s="533" t="s">
        <v>1426</v>
      </c>
      <c r="C754" s="839" t="s">
        <v>2813</v>
      </c>
      <c r="D754" s="266" t="s">
        <v>405</v>
      </c>
      <c r="E754" s="705">
        <v>1</v>
      </c>
      <c r="F754" s="256">
        <f>VLOOKUP(B754,'[1]BASE DE DATOS'!$A$5:$E$964,5,FALSE)</f>
        <v>11700</v>
      </c>
      <c r="G754" s="709">
        <v>1.03</v>
      </c>
      <c r="H754" s="252">
        <f t="shared" si="49"/>
        <v>12051</v>
      </c>
      <c r="I754" s="924"/>
    </row>
    <row r="755" spans="1:9" s="825" customFormat="1" ht="12.75" x14ac:dyDescent="0.2">
      <c r="A755" s="1073"/>
      <c r="B755" s="533" t="s">
        <v>1641</v>
      </c>
      <c r="C755" s="823" t="s">
        <v>3167</v>
      </c>
      <c r="D755" s="273" t="s">
        <v>405</v>
      </c>
      <c r="E755" s="705">
        <v>2.998249469253976E-2</v>
      </c>
      <c r="F755" s="256">
        <f>VLOOKUP(B755,'[1]BASE DE DATOS'!$A$5:$E$964,5,FALSE)</f>
        <v>7900</v>
      </c>
      <c r="G755" s="709">
        <v>1.03</v>
      </c>
      <c r="H755" s="252">
        <f t="shared" si="49"/>
        <v>243.96755931319603</v>
      </c>
      <c r="I755" s="924"/>
    </row>
    <row r="756" spans="1:9" s="825" customFormat="1" ht="12.75" x14ac:dyDescent="0.2">
      <c r="A756" s="1073"/>
      <c r="B756" s="533" t="s">
        <v>1853</v>
      </c>
      <c r="C756" s="839" t="s">
        <v>3062</v>
      </c>
      <c r="D756" s="266" t="s">
        <v>405</v>
      </c>
      <c r="E756" s="705">
        <v>1</v>
      </c>
      <c r="F756" s="256">
        <f>VLOOKUP(B756,'[1]BASE DE DATOS'!$A$5:$E$964,5,FALSE)</f>
        <v>9100</v>
      </c>
      <c r="G756" s="709">
        <v>1.03</v>
      </c>
      <c r="H756" s="252">
        <f t="shared" si="49"/>
        <v>9373</v>
      </c>
      <c r="I756" s="924"/>
    </row>
    <row r="757" spans="1:9" s="825" customFormat="1" ht="12.75" x14ac:dyDescent="0.2">
      <c r="A757" s="1073"/>
      <c r="B757" s="533" t="s">
        <v>3094</v>
      </c>
      <c r="C757" s="839" t="s">
        <v>3095</v>
      </c>
      <c r="D757" s="266" t="s">
        <v>411</v>
      </c>
      <c r="E757" s="705">
        <v>2.2999999999999998</v>
      </c>
      <c r="F757" s="256">
        <f>VLOOKUP(B757,'[1]BASE DE DATOS'!$A$5:$E$964,5,FALSE)</f>
        <v>1150</v>
      </c>
      <c r="G757" s="709">
        <v>0</v>
      </c>
      <c r="H757" s="252">
        <f t="shared" si="49"/>
        <v>2645</v>
      </c>
      <c r="I757" s="924"/>
    </row>
    <row r="758" spans="1:9" s="825" customFormat="1" ht="12.75" x14ac:dyDescent="0.2">
      <c r="A758" s="1073"/>
      <c r="B758" s="533" t="s">
        <v>1700</v>
      </c>
      <c r="C758" s="839" t="s">
        <v>2866</v>
      </c>
      <c r="D758" s="266" t="s">
        <v>411</v>
      </c>
      <c r="E758" s="705">
        <v>0.25</v>
      </c>
      <c r="F758" s="256">
        <f>VLOOKUP(B758,'[1]BASE DE DATOS'!$A$5:$E$964,5,FALSE)</f>
        <v>9150</v>
      </c>
      <c r="G758" s="709">
        <v>0</v>
      </c>
      <c r="H758" s="252">
        <f t="shared" si="49"/>
        <v>2287.5</v>
      </c>
      <c r="I758" s="924"/>
    </row>
    <row r="759" spans="1:9" s="825" customFormat="1" ht="12.75" x14ac:dyDescent="0.2">
      <c r="A759" s="280" t="s">
        <v>2555</v>
      </c>
      <c r="B759" s="534" t="s">
        <v>2667</v>
      </c>
      <c r="C759" s="822" t="s">
        <v>2600</v>
      </c>
      <c r="D759" s="266" t="s">
        <v>585</v>
      </c>
      <c r="E759" s="705">
        <v>1</v>
      </c>
      <c r="F759" s="256">
        <f>VLOOKUP(B759,'[1]BASE DE DATOS'!$A$5:$E$964,5,FALSE)</f>
        <v>319246</v>
      </c>
      <c r="G759" s="709">
        <f>1/8.3333</f>
        <v>0.12000048000192001</v>
      </c>
      <c r="H759" s="252">
        <f t="shared" si="49"/>
        <v>38309.673238692958</v>
      </c>
      <c r="I759" s="924"/>
    </row>
    <row r="760" spans="1:9" s="818" customFormat="1" ht="13.5" thickBot="1" x14ac:dyDescent="0.25">
      <c r="A760" s="287" t="s">
        <v>293</v>
      </c>
      <c r="B760" s="535" t="s">
        <v>269</v>
      </c>
      <c r="C760" s="235" t="s">
        <v>284</v>
      </c>
      <c r="D760" s="177" t="s">
        <v>2199</v>
      </c>
      <c r="E760" s="704">
        <v>0.1</v>
      </c>
      <c r="F760" s="251">
        <f>H759</f>
        <v>38309.673238692958</v>
      </c>
      <c r="G760" s="708">
        <v>0</v>
      </c>
      <c r="H760" s="252">
        <f t="shared" si="49"/>
        <v>3830.9673238692958</v>
      </c>
      <c r="I760" s="924"/>
    </row>
    <row r="761" spans="1:9" s="41" customFormat="1" ht="15.75" thickBot="1" x14ac:dyDescent="0.25">
      <c r="A761" s="1084" t="s">
        <v>2336</v>
      </c>
      <c r="B761" s="1085"/>
      <c r="C761" s="1085"/>
      <c r="D761" s="1085"/>
      <c r="E761" s="1085"/>
      <c r="F761" s="1085"/>
      <c r="G761" s="1085"/>
      <c r="H761" s="1086"/>
      <c r="I761" s="914"/>
    </row>
    <row r="762" spans="1:9" s="41" customFormat="1" ht="45.75" thickBot="1" x14ac:dyDescent="0.25">
      <c r="A762" s="798" t="s">
        <v>2044</v>
      </c>
      <c r="B762" s="866" t="s">
        <v>265</v>
      </c>
      <c r="C762" s="798" t="s">
        <v>402</v>
      </c>
      <c r="D762" s="798" t="s">
        <v>346</v>
      </c>
      <c r="E762" s="192" t="s">
        <v>1913</v>
      </c>
      <c r="F762" s="73" t="s">
        <v>3165</v>
      </c>
      <c r="G762" s="290" t="s">
        <v>281</v>
      </c>
      <c r="H762" s="74" t="s">
        <v>3164</v>
      </c>
      <c r="I762" s="914"/>
    </row>
    <row r="763" spans="1:9" ht="30" x14ac:dyDescent="0.2">
      <c r="A763" s="292" t="s">
        <v>2338</v>
      </c>
      <c r="B763" s="868"/>
      <c r="C763" s="264" t="s">
        <v>3138</v>
      </c>
      <c r="D763" s="265" t="s">
        <v>411</v>
      </c>
      <c r="E763" s="707"/>
      <c r="F763" s="259">
        <f>ROUND(SUM(H763:H766),0)</f>
        <v>217451</v>
      </c>
      <c r="G763" s="711"/>
      <c r="H763" s="250"/>
    </row>
    <row r="764" spans="1:9" s="818" customFormat="1" ht="12.75" x14ac:dyDescent="0.2">
      <c r="A764" s="801" t="s">
        <v>382</v>
      </c>
      <c r="B764" s="533" t="s">
        <v>2937</v>
      </c>
      <c r="C764" s="822" t="s">
        <v>2938</v>
      </c>
      <c r="D764" s="266" t="s">
        <v>411</v>
      </c>
      <c r="E764" s="704">
        <v>1</v>
      </c>
      <c r="F764" s="256">
        <f>VLOOKUP(B764,'[1]BASE DE DATOS'!$A$5:$E$964,5,FALSE)</f>
        <v>112100</v>
      </c>
      <c r="G764" s="708">
        <v>0</v>
      </c>
      <c r="H764" s="252">
        <f t="shared" ref="H764:H766" si="50">IF(G764&gt;0,(G764*F764*E764),(F764*E764))</f>
        <v>112100</v>
      </c>
      <c r="I764" s="924"/>
    </row>
    <row r="765" spans="1:9" s="818" customFormat="1" ht="12.75" x14ac:dyDescent="0.2">
      <c r="A765" s="280" t="s">
        <v>2555</v>
      </c>
      <c r="B765" s="534" t="s">
        <v>2667</v>
      </c>
      <c r="C765" s="822" t="s">
        <v>2600</v>
      </c>
      <c r="D765" s="266" t="s">
        <v>585</v>
      </c>
      <c r="E765" s="704">
        <v>1</v>
      </c>
      <c r="F765" s="256">
        <f>VLOOKUP(B765,'[1]BASE DE DATOS'!$A$5:$E$964,5,FALSE)</f>
        <v>319246</v>
      </c>
      <c r="G765" s="708">
        <f>1/3.33333333</f>
        <v>0.30000000030000001</v>
      </c>
      <c r="H765" s="252">
        <f t="shared" si="50"/>
        <v>95773.800095773811</v>
      </c>
      <c r="I765" s="924"/>
    </row>
    <row r="766" spans="1:9" s="818" customFormat="1" ht="13.5" thickBot="1" x14ac:dyDescent="0.25">
      <c r="A766" s="287" t="s">
        <v>293</v>
      </c>
      <c r="B766" s="535" t="s">
        <v>269</v>
      </c>
      <c r="C766" s="235" t="s">
        <v>284</v>
      </c>
      <c r="D766" s="177" t="s">
        <v>2199</v>
      </c>
      <c r="E766" s="704">
        <v>0.1</v>
      </c>
      <c r="F766" s="251">
        <f>H765</f>
        <v>95773.800095773811</v>
      </c>
      <c r="G766" s="708">
        <v>0</v>
      </c>
      <c r="H766" s="252">
        <f t="shared" si="50"/>
        <v>9577.3800095773822</v>
      </c>
      <c r="I766" s="924"/>
    </row>
    <row r="767" spans="1:9" ht="30" x14ac:dyDescent="0.2">
      <c r="A767" s="524" t="s">
        <v>2339</v>
      </c>
      <c r="B767" s="868"/>
      <c r="C767" s="264" t="s">
        <v>2440</v>
      </c>
      <c r="D767" s="265" t="s">
        <v>411</v>
      </c>
      <c r="E767" s="707"/>
      <c r="F767" s="259">
        <f>ROUND(SUM(H767:H770),0)</f>
        <v>1330774</v>
      </c>
      <c r="G767" s="711"/>
      <c r="H767" s="250"/>
    </row>
    <row r="768" spans="1:9" s="818" customFormat="1" ht="12.75" x14ac:dyDescent="0.2">
      <c r="A768" s="801" t="s">
        <v>382</v>
      </c>
      <c r="B768" s="533" t="s">
        <v>2927</v>
      </c>
      <c r="C768" s="822" t="s">
        <v>2928</v>
      </c>
      <c r="D768" s="266" t="s">
        <v>411</v>
      </c>
      <c r="E768" s="704">
        <v>1</v>
      </c>
      <c r="F768" s="256">
        <f>VLOOKUP(B768,'[1]BASE DE DATOS'!$A$5:$E$964,5,FALSE)</f>
        <v>1235000</v>
      </c>
      <c r="G768" s="708">
        <v>0</v>
      </c>
      <c r="H768" s="252">
        <f t="shared" ref="H768:H770" si="51">IF(G768&gt;0,(G768*F768*E768),(F768*E768))</f>
        <v>1235000</v>
      </c>
      <c r="I768" s="924"/>
    </row>
    <row r="769" spans="1:9" s="818" customFormat="1" ht="12.75" x14ac:dyDescent="0.2">
      <c r="A769" s="280" t="s">
        <v>2555</v>
      </c>
      <c r="B769" s="534" t="s">
        <v>2667</v>
      </c>
      <c r="C769" s="822" t="s">
        <v>2600</v>
      </c>
      <c r="D769" s="266" t="s">
        <v>585</v>
      </c>
      <c r="E769" s="704">
        <v>1</v>
      </c>
      <c r="F769" s="256">
        <f>VLOOKUP(B769,'[1]BASE DE DATOS'!$A$5:$E$964,5,FALSE)</f>
        <v>319246</v>
      </c>
      <c r="G769" s="708">
        <f>1/5</f>
        <v>0.2</v>
      </c>
      <c r="H769" s="252">
        <f t="shared" si="51"/>
        <v>63849.200000000004</v>
      </c>
      <c r="I769" s="924"/>
    </row>
    <row r="770" spans="1:9" s="818" customFormat="1" ht="13.5" thickBot="1" x14ac:dyDescent="0.25">
      <c r="A770" s="287" t="s">
        <v>293</v>
      </c>
      <c r="B770" s="535" t="s">
        <v>269</v>
      </c>
      <c r="C770" s="235" t="s">
        <v>284</v>
      </c>
      <c r="D770" s="177" t="s">
        <v>2199</v>
      </c>
      <c r="E770" s="704">
        <v>0.5</v>
      </c>
      <c r="F770" s="251">
        <f>H769</f>
        <v>63849.200000000004</v>
      </c>
      <c r="G770" s="708">
        <v>0</v>
      </c>
      <c r="H770" s="252">
        <f t="shared" si="51"/>
        <v>31924.600000000002</v>
      </c>
      <c r="I770" s="924"/>
    </row>
    <row r="771" spans="1:9" ht="30" x14ac:dyDescent="0.2">
      <c r="A771" s="292" t="s">
        <v>2340</v>
      </c>
      <c r="B771" s="868"/>
      <c r="C771" s="264" t="s">
        <v>2441</v>
      </c>
      <c r="D771" s="265" t="s">
        <v>411</v>
      </c>
      <c r="E771" s="707"/>
      <c r="F771" s="259">
        <f>ROUND(SUM(H771:H774),0)</f>
        <v>667774</v>
      </c>
      <c r="G771" s="711"/>
      <c r="H771" s="250"/>
    </row>
    <row r="772" spans="1:9" s="818" customFormat="1" ht="12.75" x14ac:dyDescent="0.2">
      <c r="A772" s="801" t="s">
        <v>382</v>
      </c>
      <c r="B772" s="533" t="s">
        <v>2947</v>
      </c>
      <c r="C772" s="822" t="s">
        <v>2948</v>
      </c>
      <c r="D772" s="266" t="s">
        <v>411</v>
      </c>
      <c r="E772" s="704">
        <v>1</v>
      </c>
      <c r="F772" s="256">
        <f>VLOOKUP(B772,'[1]BASE DE DATOS'!$A$5:$E$964,5,FALSE)</f>
        <v>572000</v>
      </c>
      <c r="G772" s="708">
        <v>0</v>
      </c>
      <c r="H772" s="252">
        <f t="shared" ref="H772:H774" si="52">IF(G772&gt;0,(G772*F772*E772),(F772*E772))</f>
        <v>572000</v>
      </c>
      <c r="I772" s="924"/>
    </row>
    <row r="773" spans="1:9" s="818" customFormat="1" ht="12.75" x14ac:dyDescent="0.2">
      <c r="A773" s="280" t="s">
        <v>2555</v>
      </c>
      <c r="B773" s="534" t="s">
        <v>2667</v>
      </c>
      <c r="C773" s="822" t="s">
        <v>2600</v>
      </c>
      <c r="D773" s="266" t="s">
        <v>585</v>
      </c>
      <c r="E773" s="704">
        <v>1</v>
      </c>
      <c r="F773" s="256">
        <f>VLOOKUP(B773,'[1]BASE DE DATOS'!$A$5:$E$964,5,FALSE)</f>
        <v>319246</v>
      </c>
      <c r="G773" s="708">
        <f>1/5</f>
        <v>0.2</v>
      </c>
      <c r="H773" s="252">
        <f t="shared" si="52"/>
        <v>63849.200000000004</v>
      </c>
      <c r="I773" s="924"/>
    </row>
    <row r="774" spans="1:9" s="818" customFormat="1" ht="13.5" thickBot="1" x14ac:dyDescent="0.25">
      <c r="A774" s="287" t="s">
        <v>293</v>
      </c>
      <c r="B774" s="535" t="s">
        <v>269</v>
      </c>
      <c r="C774" s="235" t="s">
        <v>284</v>
      </c>
      <c r="D774" s="177" t="s">
        <v>2199</v>
      </c>
      <c r="E774" s="704">
        <v>0.5</v>
      </c>
      <c r="F774" s="251">
        <f>H773</f>
        <v>63849.200000000004</v>
      </c>
      <c r="G774" s="708">
        <v>0</v>
      </c>
      <c r="H774" s="252">
        <f t="shared" si="52"/>
        <v>31924.600000000002</v>
      </c>
      <c r="I774" s="924"/>
    </row>
    <row r="775" spans="1:9" ht="30" x14ac:dyDescent="0.2">
      <c r="A775" s="292" t="s">
        <v>2341</v>
      </c>
      <c r="B775" s="868"/>
      <c r="C775" s="264" t="s">
        <v>3123</v>
      </c>
      <c r="D775" s="265" t="s">
        <v>411</v>
      </c>
      <c r="E775" s="707"/>
      <c r="F775" s="259">
        <f>ROUND(SUM(H775:H778),0)</f>
        <v>156911</v>
      </c>
      <c r="G775" s="711"/>
      <c r="H775" s="250"/>
    </row>
    <row r="776" spans="1:9" s="818" customFormat="1" ht="12.75" x14ac:dyDescent="0.2">
      <c r="A776" s="801" t="s">
        <v>382</v>
      </c>
      <c r="B776" s="533" t="s">
        <v>2925</v>
      </c>
      <c r="C776" s="822" t="s">
        <v>2926</v>
      </c>
      <c r="D776" s="266" t="s">
        <v>411</v>
      </c>
      <c r="E776" s="704">
        <v>1</v>
      </c>
      <c r="F776" s="256">
        <f>VLOOKUP(B776,'[1]BASE DE DATOS'!$A$5:$E$964,5,FALSE)</f>
        <v>123400</v>
      </c>
      <c r="G776" s="708">
        <v>0</v>
      </c>
      <c r="H776" s="252">
        <f t="shared" ref="H776:H778" si="53">IF(G776&gt;0,(G776*F776*E776),(F776*E776))</f>
        <v>123400</v>
      </c>
      <c r="I776" s="924"/>
    </row>
    <row r="777" spans="1:9" s="818" customFormat="1" ht="12.75" x14ac:dyDescent="0.2">
      <c r="A777" s="280" t="s">
        <v>2555</v>
      </c>
      <c r="B777" s="534" t="s">
        <v>2667</v>
      </c>
      <c r="C777" s="822" t="s">
        <v>2600</v>
      </c>
      <c r="D777" s="266" t="s">
        <v>585</v>
      </c>
      <c r="E777" s="704">
        <v>1</v>
      </c>
      <c r="F777" s="256">
        <f>VLOOKUP(B777,'[1]BASE DE DATOS'!$A$5:$E$964,5,FALSE)</f>
        <v>319246</v>
      </c>
      <c r="G777" s="708">
        <f>1/14.29</f>
        <v>6.9979006298110574E-2</v>
      </c>
      <c r="H777" s="252">
        <f t="shared" si="53"/>
        <v>22340.517844646609</v>
      </c>
      <c r="I777" s="924"/>
    </row>
    <row r="778" spans="1:9" s="818" customFormat="1" ht="13.5" thickBot="1" x14ac:dyDescent="0.25">
      <c r="A778" s="287" t="s">
        <v>293</v>
      </c>
      <c r="B778" s="535" t="s">
        <v>269</v>
      </c>
      <c r="C778" s="235" t="s">
        <v>284</v>
      </c>
      <c r="D778" s="177" t="s">
        <v>2199</v>
      </c>
      <c r="E778" s="704">
        <v>0.5</v>
      </c>
      <c r="F778" s="251">
        <f>H777</f>
        <v>22340.517844646609</v>
      </c>
      <c r="G778" s="708">
        <v>0</v>
      </c>
      <c r="H778" s="252">
        <f t="shared" si="53"/>
        <v>11170.258922323304</v>
      </c>
      <c r="I778" s="924"/>
    </row>
    <row r="779" spans="1:9" ht="30" x14ac:dyDescent="0.2">
      <c r="A779" s="292" t="s">
        <v>2342</v>
      </c>
      <c r="B779" s="868"/>
      <c r="C779" s="264" t="s">
        <v>2442</v>
      </c>
      <c r="D779" s="265" t="s">
        <v>411</v>
      </c>
      <c r="E779" s="707"/>
      <c r="F779" s="259">
        <f>ROUND(SUM(H779:H782),0)</f>
        <v>1967435</v>
      </c>
      <c r="G779" s="711"/>
      <c r="H779" s="250"/>
    </row>
    <row r="780" spans="1:9" s="818" customFormat="1" ht="12.75" x14ac:dyDescent="0.2">
      <c r="A780" s="801" t="s">
        <v>382</v>
      </c>
      <c r="B780" s="533" t="s">
        <v>2939</v>
      </c>
      <c r="C780" s="822" t="s">
        <v>2940</v>
      </c>
      <c r="D780" s="266" t="s">
        <v>411</v>
      </c>
      <c r="E780" s="704">
        <v>1</v>
      </c>
      <c r="F780" s="256">
        <f>VLOOKUP(B780,'[1]BASE DE DATOS'!$A$5:$E$964,5,FALSE)</f>
        <v>1728000</v>
      </c>
      <c r="G780" s="708">
        <v>0</v>
      </c>
      <c r="H780" s="252">
        <f t="shared" ref="H780:H782" si="54">IF(G780&gt;0,(G780*F780*E780),(F780*E780))</f>
        <v>1728000</v>
      </c>
      <c r="I780" s="924"/>
    </row>
    <row r="781" spans="1:9" s="818" customFormat="1" ht="12.75" x14ac:dyDescent="0.2">
      <c r="A781" s="280" t="s">
        <v>2555</v>
      </c>
      <c r="B781" s="534" t="s">
        <v>2667</v>
      </c>
      <c r="C781" s="822" t="s">
        <v>2600</v>
      </c>
      <c r="D781" s="266" t="s">
        <v>585</v>
      </c>
      <c r="E781" s="704">
        <v>1</v>
      </c>
      <c r="F781" s="256">
        <f>VLOOKUP(B781,'[1]BASE DE DATOS'!$A$5:$E$964,5,FALSE)</f>
        <v>319246</v>
      </c>
      <c r="G781" s="708">
        <f>1/2</f>
        <v>0.5</v>
      </c>
      <c r="H781" s="252">
        <f t="shared" si="54"/>
        <v>159623</v>
      </c>
      <c r="I781" s="924"/>
    </row>
    <row r="782" spans="1:9" s="818" customFormat="1" ht="13.5" thickBot="1" x14ac:dyDescent="0.25">
      <c r="A782" s="287" t="s">
        <v>293</v>
      </c>
      <c r="B782" s="535" t="s">
        <v>269</v>
      </c>
      <c r="C782" s="235" t="s">
        <v>284</v>
      </c>
      <c r="D782" s="177" t="s">
        <v>2199</v>
      </c>
      <c r="E782" s="704">
        <v>0.5</v>
      </c>
      <c r="F782" s="251">
        <f>H781</f>
        <v>159623</v>
      </c>
      <c r="G782" s="708">
        <v>0</v>
      </c>
      <c r="H782" s="252">
        <f t="shared" si="54"/>
        <v>79811.5</v>
      </c>
      <c r="I782" s="924"/>
    </row>
    <row r="783" spans="1:9" ht="30" x14ac:dyDescent="0.2">
      <c r="A783" s="292" t="s">
        <v>3178</v>
      </c>
      <c r="B783" s="871"/>
      <c r="C783" s="264" t="s">
        <v>2443</v>
      </c>
      <c r="D783" s="265" t="s">
        <v>411</v>
      </c>
      <c r="E783" s="707"/>
      <c r="F783" s="259">
        <f>ROUND(SUM(H783:H786),0)</f>
        <v>494474</v>
      </c>
      <c r="G783" s="711"/>
      <c r="H783" s="250"/>
    </row>
    <row r="784" spans="1:9" s="818" customFormat="1" ht="25.5" x14ac:dyDescent="0.2">
      <c r="A784" s="801" t="s">
        <v>382</v>
      </c>
      <c r="B784" s="533" t="s">
        <v>2959</v>
      </c>
      <c r="C784" s="279" t="s">
        <v>2601</v>
      </c>
      <c r="D784" s="266" t="s">
        <v>411</v>
      </c>
      <c r="E784" s="704">
        <v>1</v>
      </c>
      <c r="F784" s="256">
        <f>VLOOKUP(B784,'[1]BASE DE DATOS'!$A$5:$E$964,5,FALSE)</f>
        <v>398700</v>
      </c>
      <c r="G784" s="708">
        <v>0</v>
      </c>
      <c r="H784" s="252">
        <f t="shared" ref="H784:H786" si="55">IF(G784&gt;0,(G784*F784*E784),(F784*E784))</f>
        <v>398700</v>
      </c>
      <c r="I784" s="924"/>
    </row>
    <row r="785" spans="1:9" s="818" customFormat="1" ht="12.75" x14ac:dyDescent="0.2">
      <c r="A785" s="280" t="s">
        <v>2555</v>
      </c>
      <c r="B785" s="534" t="s">
        <v>2667</v>
      </c>
      <c r="C785" s="822" t="s">
        <v>2600</v>
      </c>
      <c r="D785" s="266" t="s">
        <v>585</v>
      </c>
      <c r="E785" s="704">
        <v>1</v>
      </c>
      <c r="F785" s="256">
        <f>VLOOKUP(B785,'[1]BASE DE DATOS'!$A$5:$E$964,5,FALSE)</f>
        <v>319246</v>
      </c>
      <c r="G785" s="708">
        <f>1/5</f>
        <v>0.2</v>
      </c>
      <c r="H785" s="252">
        <f t="shared" si="55"/>
        <v>63849.200000000004</v>
      </c>
      <c r="I785" s="924"/>
    </row>
    <row r="786" spans="1:9" s="818" customFormat="1" ht="13.5" thickBot="1" x14ac:dyDescent="0.25">
      <c r="A786" s="287" t="s">
        <v>293</v>
      </c>
      <c r="B786" s="535" t="s">
        <v>269</v>
      </c>
      <c r="C786" s="235" t="s">
        <v>284</v>
      </c>
      <c r="D786" s="177" t="s">
        <v>2199</v>
      </c>
      <c r="E786" s="704">
        <v>0.5</v>
      </c>
      <c r="F786" s="251">
        <f>H785</f>
        <v>63849.200000000004</v>
      </c>
      <c r="G786" s="708">
        <v>0</v>
      </c>
      <c r="H786" s="252">
        <f t="shared" si="55"/>
        <v>31924.600000000002</v>
      </c>
      <c r="I786" s="924"/>
    </row>
    <row r="787" spans="1:9" ht="30" x14ac:dyDescent="0.2">
      <c r="A787" s="292" t="s">
        <v>3179</v>
      </c>
      <c r="B787" s="868"/>
      <c r="C787" s="264" t="s">
        <v>2444</v>
      </c>
      <c r="D787" s="265" t="s">
        <v>411</v>
      </c>
      <c r="E787" s="707"/>
      <c r="F787" s="259">
        <f>ROUND(SUM(H787:H790),0)</f>
        <v>64787</v>
      </c>
      <c r="G787" s="711"/>
      <c r="H787" s="250"/>
    </row>
    <row r="788" spans="1:9" s="818" customFormat="1" ht="12.75" x14ac:dyDescent="0.2">
      <c r="A788" s="801" t="s">
        <v>382</v>
      </c>
      <c r="B788" s="533" t="s">
        <v>2931</v>
      </c>
      <c r="C788" s="822" t="s">
        <v>2932</v>
      </c>
      <c r="D788" s="266" t="s">
        <v>411</v>
      </c>
      <c r="E788" s="704">
        <v>1</v>
      </c>
      <c r="F788" s="256">
        <f>VLOOKUP(B788,'[1]BASE DE DATOS'!$A$5:$E$964,5,FALSE)</f>
        <v>16900</v>
      </c>
      <c r="G788" s="708">
        <v>0</v>
      </c>
      <c r="H788" s="252">
        <f t="shared" ref="H788:H790" si="56">IF(G788&gt;0,(G788*F788*E788),(F788*E788))</f>
        <v>16900</v>
      </c>
      <c r="I788" s="924"/>
    </row>
    <row r="789" spans="1:9" s="818" customFormat="1" ht="12.75" x14ac:dyDescent="0.2">
      <c r="A789" s="280" t="s">
        <v>2555</v>
      </c>
      <c r="B789" s="534" t="s">
        <v>2667</v>
      </c>
      <c r="C789" s="822" t="s">
        <v>2600</v>
      </c>
      <c r="D789" s="266" t="s">
        <v>585</v>
      </c>
      <c r="E789" s="704">
        <v>1</v>
      </c>
      <c r="F789" s="256">
        <f>VLOOKUP(B789,'[1]BASE DE DATOS'!$A$5:$E$964,5,FALSE)</f>
        <v>319246</v>
      </c>
      <c r="G789" s="708">
        <f>1/10</f>
        <v>0.1</v>
      </c>
      <c r="H789" s="252">
        <f t="shared" si="56"/>
        <v>31924.600000000002</v>
      </c>
      <c r="I789" s="924"/>
    </row>
    <row r="790" spans="1:9" s="818" customFormat="1" ht="13.5" thickBot="1" x14ac:dyDescent="0.25">
      <c r="A790" s="287" t="s">
        <v>293</v>
      </c>
      <c r="B790" s="535" t="s">
        <v>269</v>
      </c>
      <c r="C790" s="235" t="s">
        <v>284</v>
      </c>
      <c r="D790" s="177" t="s">
        <v>2199</v>
      </c>
      <c r="E790" s="704">
        <v>0.5</v>
      </c>
      <c r="F790" s="251">
        <f>H789</f>
        <v>31924.600000000002</v>
      </c>
      <c r="G790" s="708">
        <v>0</v>
      </c>
      <c r="H790" s="252">
        <f t="shared" si="56"/>
        <v>15962.300000000001</v>
      </c>
      <c r="I790" s="924"/>
    </row>
    <row r="791" spans="1:9" ht="30" x14ac:dyDescent="0.2">
      <c r="A791" s="292" t="s">
        <v>2343</v>
      </c>
      <c r="B791" s="868"/>
      <c r="C791" s="264" t="s">
        <v>2445</v>
      </c>
      <c r="D791" s="265" t="s">
        <v>411</v>
      </c>
      <c r="E791" s="707"/>
      <c r="F791" s="259">
        <f>ROUND(SUM(H791:H794),0)</f>
        <v>147787</v>
      </c>
      <c r="G791" s="711"/>
      <c r="H791" s="250"/>
    </row>
    <row r="792" spans="1:9" s="818" customFormat="1" ht="12.75" x14ac:dyDescent="0.2">
      <c r="A792" s="801" t="s">
        <v>382</v>
      </c>
      <c r="B792" s="533" t="s">
        <v>2929</v>
      </c>
      <c r="C792" s="822" t="s">
        <v>2930</v>
      </c>
      <c r="D792" s="266" t="s">
        <v>411</v>
      </c>
      <c r="E792" s="704">
        <v>1</v>
      </c>
      <c r="F792" s="256">
        <f>VLOOKUP(B792,'[1]BASE DE DATOS'!$A$5:$E$964,5,FALSE)</f>
        <v>99900</v>
      </c>
      <c r="G792" s="708">
        <v>0</v>
      </c>
      <c r="H792" s="252">
        <f t="shared" ref="H792:H794" si="57">IF(G792&gt;0,(G792*F792*E792),(F792*E792))</f>
        <v>99900</v>
      </c>
      <c r="I792" s="924"/>
    </row>
    <row r="793" spans="1:9" s="818" customFormat="1" ht="12.75" x14ac:dyDescent="0.2">
      <c r="A793" s="280" t="s">
        <v>2555</v>
      </c>
      <c r="B793" s="534" t="s">
        <v>2667</v>
      </c>
      <c r="C793" s="822" t="s">
        <v>2600</v>
      </c>
      <c r="D793" s="266" t="s">
        <v>585</v>
      </c>
      <c r="E793" s="704">
        <v>1</v>
      </c>
      <c r="F793" s="256">
        <f>VLOOKUP(B793,'[1]BASE DE DATOS'!$A$5:$E$964,5,FALSE)</f>
        <v>319246</v>
      </c>
      <c r="G793" s="708">
        <f>1/10</f>
        <v>0.1</v>
      </c>
      <c r="H793" s="252">
        <f t="shared" si="57"/>
        <v>31924.600000000002</v>
      </c>
      <c r="I793" s="924"/>
    </row>
    <row r="794" spans="1:9" s="818" customFormat="1" ht="13.5" thickBot="1" x14ac:dyDescent="0.25">
      <c r="A794" s="287" t="s">
        <v>293</v>
      </c>
      <c r="B794" s="535" t="s">
        <v>269</v>
      </c>
      <c r="C794" s="235" t="s">
        <v>284</v>
      </c>
      <c r="D794" s="177" t="s">
        <v>2199</v>
      </c>
      <c r="E794" s="704">
        <v>0.5</v>
      </c>
      <c r="F794" s="251">
        <f>H793</f>
        <v>31924.600000000002</v>
      </c>
      <c r="G794" s="708">
        <v>0</v>
      </c>
      <c r="H794" s="252">
        <f t="shared" si="57"/>
        <v>15962.300000000001</v>
      </c>
      <c r="I794" s="924"/>
    </row>
    <row r="795" spans="1:9" ht="30" x14ac:dyDescent="0.2">
      <c r="A795" s="292" t="s">
        <v>2344</v>
      </c>
      <c r="B795" s="868"/>
      <c r="C795" s="264" t="s">
        <v>2446</v>
      </c>
      <c r="D795" s="265" t="s">
        <v>411</v>
      </c>
      <c r="E795" s="707"/>
      <c r="F795" s="259">
        <f>ROUND(SUM(H795:H798),0)</f>
        <v>210661</v>
      </c>
      <c r="G795" s="711"/>
      <c r="H795" s="250"/>
    </row>
    <row r="796" spans="1:9" s="818" customFormat="1" ht="12.75" x14ac:dyDescent="0.2">
      <c r="A796" s="801" t="s">
        <v>382</v>
      </c>
      <c r="B796" s="533" t="s">
        <v>2935</v>
      </c>
      <c r="C796" s="822" t="s">
        <v>2936</v>
      </c>
      <c r="D796" s="266" t="s">
        <v>411</v>
      </c>
      <c r="E796" s="704">
        <v>1</v>
      </c>
      <c r="F796" s="256">
        <f>VLOOKUP(B796,'[1]BASE DE DATOS'!$A$5:$E$964,5,FALSE)</f>
        <v>66999</v>
      </c>
      <c r="G796" s="708">
        <v>0</v>
      </c>
      <c r="H796" s="252">
        <f t="shared" ref="H796:H798" si="58">IF(G796&gt;0,(G796*F796*E796),(F796*E796))</f>
        <v>66999</v>
      </c>
      <c r="I796" s="924"/>
    </row>
    <row r="797" spans="1:9" s="818" customFormat="1" ht="12.75" x14ac:dyDescent="0.2">
      <c r="A797" s="280" t="s">
        <v>2555</v>
      </c>
      <c r="B797" s="534" t="s">
        <v>2667</v>
      </c>
      <c r="C797" s="822" t="s">
        <v>2600</v>
      </c>
      <c r="D797" s="266" t="s">
        <v>585</v>
      </c>
      <c r="E797" s="704">
        <v>1</v>
      </c>
      <c r="F797" s="256">
        <f>VLOOKUP(B797,'[1]BASE DE DATOS'!$A$5:$E$964,5,FALSE)</f>
        <v>319246</v>
      </c>
      <c r="G797" s="708">
        <f>1/3.3333</f>
        <v>0.3000030000300003</v>
      </c>
      <c r="H797" s="252">
        <f t="shared" si="58"/>
        <v>95774.757747577474</v>
      </c>
      <c r="I797" s="924"/>
    </row>
    <row r="798" spans="1:9" s="818" customFormat="1" ht="13.5" thickBot="1" x14ac:dyDescent="0.25">
      <c r="A798" s="287" t="s">
        <v>293</v>
      </c>
      <c r="B798" s="535" t="s">
        <v>269</v>
      </c>
      <c r="C798" s="235" t="s">
        <v>284</v>
      </c>
      <c r="D798" s="177" t="s">
        <v>2199</v>
      </c>
      <c r="E798" s="704">
        <v>0.5</v>
      </c>
      <c r="F798" s="251">
        <f>H797</f>
        <v>95774.757747577474</v>
      </c>
      <c r="G798" s="708">
        <v>0</v>
      </c>
      <c r="H798" s="252">
        <f t="shared" si="58"/>
        <v>47887.378873788737</v>
      </c>
      <c r="I798" s="924"/>
    </row>
    <row r="799" spans="1:9" ht="30" x14ac:dyDescent="0.2">
      <c r="A799" s="524" t="s">
        <v>2345</v>
      </c>
      <c r="B799" s="871"/>
      <c r="C799" s="264" t="s">
        <v>2447</v>
      </c>
      <c r="D799" s="265" t="s">
        <v>411</v>
      </c>
      <c r="E799" s="707"/>
      <c r="F799" s="259">
        <f>ROUND(SUM(H799:H802),0)</f>
        <v>2254435</v>
      </c>
      <c r="G799" s="711"/>
      <c r="H799" s="250"/>
    </row>
    <row r="800" spans="1:9" s="818" customFormat="1" ht="12.75" x14ac:dyDescent="0.2">
      <c r="A800" s="801" t="s">
        <v>382</v>
      </c>
      <c r="B800" s="533" t="s">
        <v>2943</v>
      </c>
      <c r="C800" s="822" t="s">
        <v>2944</v>
      </c>
      <c r="D800" s="266" t="s">
        <v>411</v>
      </c>
      <c r="E800" s="704">
        <v>1</v>
      </c>
      <c r="F800" s="256">
        <f>VLOOKUP(B800,'[1]BASE DE DATOS'!$A$5:$E$964,5,FALSE)</f>
        <v>2015000</v>
      </c>
      <c r="G800" s="708">
        <v>0</v>
      </c>
      <c r="H800" s="252">
        <f t="shared" ref="H800:H802" si="59">IF(G800&gt;0,(G800*F800*E800),(F800*E800))</f>
        <v>2015000</v>
      </c>
      <c r="I800" s="924"/>
    </row>
    <row r="801" spans="1:9" s="818" customFormat="1" ht="12.75" x14ac:dyDescent="0.2">
      <c r="A801" s="280" t="s">
        <v>2555</v>
      </c>
      <c r="B801" s="534" t="s">
        <v>2667</v>
      </c>
      <c r="C801" s="822" t="s">
        <v>2600</v>
      </c>
      <c r="D801" s="266" t="s">
        <v>585</v>
      </c>
      <c r="E801" s="704">
        <v>1</v>
      </c>
      <c r="F801" s="256">
        <f>VLOOKUP(B801,'[1]BASE DE DATOS'!$A$5:$E$964,5,FALSE)</f>
        <v>319246</v>
      </c>
      <c r="G801" s="708">
        <f>1/2</f>
        <v>0.5</v>
      </c>
      <c r="H801" s="252">
        <f t="shared" si="59"/>
        <v>159623</v>
      </c>
      <c r="I801" s="924"/>
    </row>
    <row r="802" spans="1:9" s="818" customFormat="1" ht="13.5" thickBot="1" x14ac:dyDescent="0.25">
      <c r="A802" s="287" t="s">
        <v>293</v>
      </c>
      <c r="B802" s="535" t="s">
        <v>269</v>
      </c>
      <c r="C802" s="235" t="s">
        <v>284</v>
      </c>
      <c r="D802" s="177" t="s">
        <v>2199</v>
      </c>
      <c r="E802" s="704">
        <v>0.5</v>
      </c>
      <c r="F802" s="251">
        <f>H801</f>
        <v>159623</v>
      </c>
      <c r="G802" s="708">
        <v>0</v>
      </c>
      <c r="H802" s="252">
        <f t="shared" si="59"/>
        <v>79811.5</v>
      </c>
      <c r="I802" s="924"/>
    </row>
    <row r="803" spans="1:9" ht="30" x14ac:dyDescent="0.2">
      <c r="A803" s="292" t="s">
        <v>2346</v>
      </c>
      <c r="B803" s="868"/>
      <c r="C803" s="264" t="s">
        <v>2448</v>
      </c>
      <c r="D803" s="265" t="s">
        <v>411</v>
      </c>
      <c r="E803" s="707"/>
      <c r="F803" s="259">
        <f>ROUND(SUM(H803:H806),0)</f>
        <v>2440774</v>
      </c>
      <c r="G803" s="711"/>
      <c r="H803" s="250"/>
    </row>
    <row r="804" spans="1:9" s="818" customFormat="1" ht="12.75" x14ac:dyDescent="0.2">
      <c r="A804" s="801" t="s">
        <v>382</v>
      </c>
      <c r="B804" s="533" t="s">
        <v>2945</v>
      </c>
      <c r="C804" s="822" t="s">
        <v>2946</v>
      </c>
      <c r="D804" s="266" t="s">
        <v>411</v>
      </c>
      <c r="E804" s="704">
        <v>1</v>
      </c>
      <c r="F804" s="256">
        <f>VLOOKUP(B804,'[1]BASE DE DATOS'!$A$5:$E$964,5,FALSE)</f>
        <v>2345000</v>
      </c>
      <c r="G804" s="708">
        <v>0</v>
      </c>
      <c r="H804" s="252">
        <f t="shared" ref="H804:H806" si="60">IF(G804&gt;0,(G804*F804*E804),(F804*E804))</f>
        <v>2345000</v>
      </c>
      <c r="I804" s="924"/>
    </row>
    <row r="805" spans="1:9" s="818" customFormat="1" ht="12.75" x14ac:dyDescent="0.2">
      <c r="A805" s="280" t="s">
        <v>2555</v>
      </c>
      <c r="B805" s="534" t="s">
        <v>2667</v>
      </c>
      <c r="C805" s="822" t="s">
        <v>2600</v>
      </c>
      <c r="D805" s="266" t="s">
        <v>585</v>
      </c>
      <c r="E805" s="704">
        <v>1</v>
      </c>
      <c r="F805" s="256">
        <f>VLOOKUP(B805,'[1]BASE DE DATOS'!$A$5:$E$964,5,FALSE)</f>
        <v>319246</v>
      </c>
      <c r="G805" s="715">
        <f>1/5</f>
        <v>0.2</v>
      </c>
      <c r="H805" s="252">
        <f t="shared" si="60"/>
        <v>63849.200000000004</v>
      </c>
      <c r="I805" s="924"/>
    </row>
    <row r="806" spans="1:9" s="818" customFormat="1" ht="13.5" thickBot="1" x14ac:dyDescent="0.25">
      <c r="A806" s="287" t="s">
        <v>293</v>
      </c>
      <c r="B806" s="535" t="s">
        <v>269</v>
      </c>
      <c r="C806" s="235" t="s">
        <v>284</v>
      </c>
      <c r="D806" s="177" t="s">
        <v>2199</v>
      </c>
      <c r="E806" s="704">
        <v>0.5</v>
      </c>
      <c r="F806" s="251">
        <f>H805</f>
        <v>63849.200000000004</v>
      </c>
      <c r="G806" s="708">
        <v>0</v>
      </c>
      <c r="H806" s="252">
        <f t="shared" si="60"/>
        <v>31924.600000000002</v>
      </c>
      <c r="I806" s="924"/>
    </row>
    <row r="807" spans="1:9" ht="30" x14ac:dyDescent="0.2">
      <c r="A807" s="292" t="s">
        <v>2347</v>
      </c>
      <c r="B807" s="868"/>
      <c r="C807" s="264" t="s">
        <v>2449</v>
      </c>
      <c r="D807" s="265" t="s">
        <v>411</v>
      </c>
      <c r="E807" s="707"/>
      <c r="F807" s="259">
        <f>ROUND(SUM(H807:H810),0)</f>
        <v>439887</v>
      </c>
      <c r="G807" s="711"/>
      <c r="H807" s="250"/>
    </row>
    <row r="808" spans="1:9" s="818" customFormat="1" ht="12.75" x14ac:dyDescent="0.2">
      <c r="A808" s="801" t="s">
        <v>382</v>
      </c>
      <c r="B808" s="533" t="s">
        <v>2923</v>
      </c>
      <c r="C808" s="822" t="s">
        <v>2924</v>
      </c>
      <c r="D808" s="266" t="s">
        <v>411</v>
      </c>
      <c r="E808" s="704">
        <v>1</v>
      </c>
      <c r="F808" s="256">
        <f>VLOOKUP(B808,'[1]BASE DE DATOS'!$A$5:$E$964,5,FALSE)</f>
        <v>392000</v>
      </c>
      <c r="G808" s="708">
        <v>0</v>
      </c>
      <c r="H808" s="252">
        <f t="shared" ref="H808:H810" si="61">IF(G808&gt;0,(G808*F808*E808),(F808*E808))</f>
        <v>392000</v>
      </c>
      <c r="I808" s="924"/>
    </row>
    <row r="809" spans="1:9" s="818" customFormat="1" ht="12.75" x14ac:dyDescent="0.2">
      <c r="A809" s="280" t="s">
        <v>2555</v>
      </c>
      <c r="B809" s="534" t="s">
        <v>2667</v>
      </c>
      <c r="C809" s="822" t="s">
        <v>2600</v>
      </c>
      <c r="D809" s="266" t="s">
        <v>585</v>
      </c>
      <c r="E809" s="704">
        <v>1</v>
      </c>
      <c r="F809" s="256">
        <f>VLOOKUP(B809,'[1]BASE DE DATOS'!$A$5:$E$964,5,FALSE)</f>
        <v>319246</v>
      </c>
      <c r="G809" s="708">
        <f>1/10</f>
        <v>0.1</v>
      </c>
      <c r="H809" s="252">
        <f t="shared" si="61"/>
        <v>31924.600000000002</v>
      </c>
      <c r="I809" s="924"/>
    </row>
    <row r="810" spans="1:9" s="818" customFormat="1" ht="13.5" thickBot="1" x14ac:dyDescent="0.25">
      <c r="A810" s="287" t="s">
        <v>293</v>
      </c>
      <c r="B810" s="535" t="s">
        <v>269</v>
      </c>
      <c r="C810" s="235" t="s">
        <v>284</v>
      </c>
      <c r="D810" s="177" t="s">
        <v>2199</v>
      </c>
      <c r="E810" s="704">
        <v>0.5</v>
      </c>
      <c r="F810" s="251">
        <f>H809</f>
        <v>31924.600000000002</v>
      </c>
      <c r="G810" s="708">
        <v>0</v>
      </c>
      <c r="H810" s="252">
        <f t="shared" si="61"/>
        <v>15962.300000000001</v>
      </c>
      <c r="I810" s="924"/>
    </row>
    <row r="811" spans="1:9" ht="30" x14ac:dyDescent="0.2">
      <c r="A811" s="292" t="s">
        <v>2348</v>
      </c>
      <c r="B811" s="868"/>
      <c r="C811" s="264" t="s">
        <v>2450</v>
      </c>
      <c r="D811" s="265" t="s">
        <v>411</v>
      </c>
      <c r="E811" s="707"/>
      <c r="F811" s="259">
        <f>ROUND(SUM(H811:H814),0)</f>
        <v>2230774</v>
      </c>
      <c r="G811" s="711"/>
      <c r="H811" s="250"/>
    </row>
    <row r="812" spans="1:9" s="818" customFormat="1" ht="12.75" x14ac:dyDescent="0.2">
      <c r="A812" s="801" t="s">
        <v>382</v>
      </c>
      <c r="B812" s="533" t="s">
        <v>2941</v>
      </c>
      <c r="C812" s="822" t="s">
        <v>2942</v>
      </c>
      <c r="D812" s="266" t="s">
        <v>411</v>
      </c>
      <c r="E812" s="704">
        <v>1</v>
      </c>
      <c r="F812" s="256">
        <f>VLOOKUP(B812,'[1]BASE DE DATOS'!$A$5:$E$964,5,FALSE)</f>
        <v>2135000</v>
      </c>
      <c r="G812" s="708">
        <v>0</v>
      </c>
      <c r="H812" s="252">
        <f t="shared" ref="H812:H814" si="62">IF(G812&gt;0,(G812*F812*E812),(F812*E812))</f>
        <v>2135000</v>
      </c>
      <c r="I812" s="924"/>
    </row>
    <row r="813" spans="1:9" s="818" customFormat="1" ht="12.75" x14ac:dyDescent="0.2">
      <c r="A813" s="280" t="s">
        <v>2555</v>
      </c>
      <c r="B813" s="534" t="s">
        <v>2667</v>
      </c>
      <c r="C813" s="822" t="s">
        <v>2600</v>
      </c>
      <c r="D813" s="266" t="s">
        <v>585</v>
      </c>
      <c r="E813" s="704">
        <v>1</v>
      </c>
      <c r="F813" s="256">
        <f>VLOOKUP(B813,'[1]BASE DE DATOS'!$A$5:$E$964,5,FALSE)</f>
        <v>319246</v>
      </c>
      <c r="G813" s="715">
        <f>1/5</f>
        <v>0.2</v>
      </c>
      <c r="H813" s="252">
        <f t="shared" si="62"/>
        <v>63849.200000000004</v>
      </c>
      <c r="I813" s="924"/>
    </row>
    <row r="814" spans="1:9" s="818" customFormat="1" ht="13.5" thickBot="1" x14ac:dyDescent="0.25">
      <c r="A814" s="287" t="s">
        <v>293</v>
      </c>
      <c r="B814" s="535" t="s">
        <v>269</v>
      </c>
      <c r="C814" s="235" t="s">
        <v>284</v>
      </c>
      <c r="D814" s="177" t="s">
        <v>2199</v>
      </c>
      <c r="E814" s="704">
        <v>0.5</v>
      </c>
      <c r="F814" s="251">
        <f>H813</f>
        <v>63849.200000000004</v>
      </c>
      <c r="G814" s="708">
        <v>0</v>
      </c>
      <c r="H814" s="252">
        <f t="shared" si="62"/>
        <v>31924.600000000002</v>
      </c>
      <c r="I814" s="924"/>
    </row>
    <row r="815" spans="1:9" ht="30" x14ac:dyDescent="0.2">
      <c r="A815" s="292" t="s">
        <v>2349</v>
      </c>
      <c r="B815" s="868"/>
      <c r="C815" s="264" t="s">
        <v>3137</v>
      </c>
      <c r="D815" s="265" t="s">
        <v>411</v>
      </c>
      <c r="E815" s="707"/>
      <c r="F815" s="259">
        <f>ROUND(SUM(H815:H818),0)</f>
        <v>80787</v>
      </c>
      <c r="G815" s="711"/>
      <c r="H815" s="250"/>
    </row>
    <row r="816" spans="1:9" s="818" customFormat="1" ht="12.75" x14ac:dyDescent="0.2">
      <c r="A816" s="801" t="s">
        <v>382</v>
      </c>
      <c r="B816" s="533" t="s">
        <v>2933</v>
      </c>
      <c r="C816" s="822" t="s">
        <v>2934</v>
      </c>
      <c r="D816" s="266" t="s">
        <v>411</v>
      </c>
      <c r="E816" s="704">
        <v>1</v>
      </c>
      <c r="F816" s="256">
        <f>VLOOKUP(B816,'[1]BASE DE DATOS'!$A$5:$E$964,5,FALSE)</f>
        <v>32900</v>
      </c>
      <c r="G816" s="708">
        <v>0</v>
      </c>
      <c r="H816" s="252">
        <f t="shared" ref="H816:H818" si="63">IF(G816&gt;0,(G816*F816*E816),(F816*E816))</f>
        <v>32900</v>
      </c>
      <c r="I816" s="924"/>
    </row>
    <row r="817" spans="1:9" s="818" customFormat="1" ht="12.75" x14ac:dyDescent="0.2">
      <c r="A817" s="280" t="s">
        <v>2555</v>
      </c>
      <c r="B817" s="534" t="s">
        <v>2667</v>
      </c>
      <c r="C817" s="822" t="s">
        <v>2600</v>
      </c>
      <c r="D817" s="266" t="s">
        <v>585</v>
      </c>
      <c r="E817" s="704">
        <v>1</v>
      </c>
      <c r="F817" s="256">
        <f>VLOOKUP(B817,'[1]BASE DE DATOS'!$A$5:$E$964,5,FALSE)</f>
        <v>319246</v>
      </c>
      <c r="G817" s="708">
        <f>1/10</f>
        <v>0.1</v>
      </c>
      <c r="H817" s="252">
        <f t="shared" si="63"/>
        <v>31924.600000000002</v>
      </c>
      <c r="I817" s="924"/>
    </row>
    <row r="818" spans="1:9" s="818" customFormat="1" ht="13.5" thickBot="1" x14ac:dyDescent="0.25">
      <c r="A818" s="287" t="s">
        <v>293</v>
      </c>
      <c r="B818" s="535" t="s">
        <v>269</v>
      </c>
      <c r="C818" s="235" t="s">
        <v>284</v>
      </c>
      <c r="D818" s="177" t="s">
        <v>2199</v>
      </c>
      <c r="E818" s="704">
        <v>0.5</v>
      </c>
      <c r="F818" s="251">
        <f>H817</f>
        <v>31924.600000000002</v>
      </c>
      <c r="G818" s="708">
        <v>0</v>
      </c>
      <c r="H818" s="252">
        <f t="shared" si="63"/>
        <v>15962.300000000001</v>
      </c>
      <c r="I818" s="924"/>
    </row>
    <row r="819" spans="1:9" ht="30" x14ac:dyDescent="0.2">
      <c r="A819" s="292" t="s">
        <v>2350</v>
      </c>
      <c r="B819" s="868"/>
      <c r="C819" s="264" t="s">
        <v>2451</v>
      </c>
      <c r="D819" s="265" t="s">
        <v>411</v>
      </c>
      <c r="E819" s="707"/>
      <c r="F819" s="259">
        <f>ROUND(SUM(H819:H822),0)</f>
        <v>1450174</v>
      </c>
      <c r="G819" s="711"/>
      <c r="H819" s="250"/>
    </row>
    <row r="820" spans="1:9" s="818" customFormat="1" ht="12.75" x14ac:dyDescent="0.2">
      <c r="A820" s="801" t="s">
        <v>382</v>
      </c>
      <c r="B820" s="533" t="s">
        <v>2951</v>
      </c>
      <c r="C820" s="822" t="s">
        <v>2952</v>
      </c>
      <c r="D820" s="266" t="s">
        <v>411</v>
      </c>
      <c r="E820" s="704">
        <v>1</v>
      </c>
      <c r="F820" s="256">
        <f>VLOOKUP(B820,'[1]BASE DE DATOS'!$A$5:$E$964,5,FALSE)</f>
        <v>1354400</v>
      </c>
      <c r="G820" s="708">
        <v>0</v>
      </c>
      <c r="H820" s="252">
        <f t="shared" ref="H820:H822" si="64">IF(G820&gt;0,(G820*F820*E820),(F820*E820))</f>
        <v>1354400</v>
      </c>
      <c r="I820" s="924"/>
    </row>
    <row r="821" spans="1:9" s="818" customFormat="1" ht="12.75" x14ac:dyDescent="0.2">
      <c r="A821" s="280" t="s">
        <v>2555</v>
      </c>
      <c r="B821" s="534" t="s">
        <v>2667</v>
      </c>
      <c r="C821" s="822" t="s">
        <v>2600</v>
      </c>
      <c r="D821" s="266" t="s">
        <v>585</v>
      </c>
      <c r="E821" s="704">
        <v>1</v>
      </c>
      <c r="F821" s="256">
        <f>VLOOKUP(B821,'[1]BASE DE DATOS'!$A$5:$E$964,5,FALSE)</f>
        <v>319246</v>
      </c>
      <c r="G821" s="708">
        <f>1/5</f>
        <v>0.2</v>
      </c>
      <c r="H821" s="252">
        <f t="shared" si="64"/>
        <v>63849.200000000004</v>
      </c>
      <c r="I821" s="924"/>
    </row>
    <row r="822" spans="1:9" s="818" customFormat="1" ht="13.5" thickBot="1" x14ac:dyDescent="0.25">
      <c r="A822" s="287" t="s">
        <v>293</v>
      </c>
      <c r="B822" s="535" t="s">
        <v>269</v>
      </c>
      <c r="C822" s="235" t="s">
        <v>284</v>
      </c>
      <c r="D822" s="177" t="s">
        <v>2199</v>
      </c>
      <c r="E822" s="704">
        <v>0.5</v>
      </c>
      <c r="F822" s="251">
        <f>H821</f>
        <v>63849.200000000004</v>
      </c>
      <c r="G822" s="708">
        <v>0</v>
      </c>
      <c r="H822" s="252">
        <f t="shared" si="64"/>
        <v>31924.600000000002</v>
      </c>
      <c r="I822" s="924"/>
    </row>
    <row r="823" spans="1:9" ht="30" x14ac:dyDescent="0.2">
      <c r="A823" s="292" t="s">
        <v>2351</v>
      </c>
      <c r="B823" s="868"/>
      <c r="C823" s="264" t="s">
        <v>2452</v>
      </c>
      <c r="D823" s="265" t="s">
        <v>411</v>
      </c>
      <c r="E823" s="707"/>
      <c r="F823" s="259">
        <f>ROUND(SUM(H823:H826),0)</f>
        <v>871774</v>
      </c>
      <c r="G823" s="711"/>
      <c r="H823" s="250"/>
    </row>
    <row r="824" spans="1:9" s="818" customFormat="1" ht="12.75" x14ac:dyDescent="0.2">
      <c r="A824" s="801" t="s">
        <v>382</v>
      </c>
      <c r="B824" s="533" t="s">
        <v>2949</v>
      </c>
      <c r="C824" s="822" t="s">
        <v>2950</v>
      </c>
      <c r="D824" s="266" t="s">
        <v>411</v>
      </c>
      <c r="E824" s="704">
        <v>1</v>
      </c>
      <c r="F824" s="256">
        <f>VLOOKUP(B824,'[1]BASE DE DATOS'!$A$5:$E$964,5,FALSE)</f>
        <v>776000</v>
      </c>
      <c r="G824" s="708">
        <v>0</v>
      </c>
      <c r="H824" s="252">
        <f t="shared" ref="H824:H826" si="65">IF(G824&gt;0,(G824*F824*E824),(F824*E824))</f>
        <v>776000</v>
      </c>
      <c r="I824" s="924"/>
    </row>
    <row r="825" spans="1:9" s="818" customFormat="1" ht="12.75" x14ac:dyDescent="0.2">
      <c r="A825" s="280" t="s">
        <v>2555</v>
      </c>
      <c r="B825" s="534" t="s">
        <v>2667</v>
      </c>
      <c r="C825" s="822" t="s">
        <v>2600</v>
      </c>
      <c r="D825" s="266" t="s">
        <v>585</v>
      </c>
      <c r="E825" s="704">
        <v>1</v>
      </c>
      <c r="F825" s="256">
        <f>VLOOKUP(B825,'[1]BASE DE DATOS'!$A$5:$E$964,5,FALSE)</f>
        <v>319246</v>
      </c>
      <c r="G825" s="708">
        <f>1/5</f>
        <v>0.2</v>
      </c>
      <c r="H825" s="252">
        <f t="shared" si="65"/>
        <v>63849.200000000004</v>
      </c>
      <c r="I825" s="924"/>
    </row>
    <row r="826" spans="1:9" s="818" customFormat="1" ht="13.5" thickBot="1" x14ac:dyDescent="0.25">
      <c r="A826" s="287" t="s">
        <v>293</v>
      </c>
      <c r="B826" s="535" t="s">
        <v>269</v>
      </c>
      <c r="C826" s="235" t="s">
        <v>284</v>
      </c>
      <c r="D826" s="177" t="s">
        <v>2199</v>
      </c>
      <c r="E826" s="704">
        <v>0.5</v>
      </c>
      <c r="F826" s="251">
        <f>H825</f>
        <v>63849.200000000004</v>
      </c>
      <c r="G826" s="708">
        <v>0</v>
      </c>
      <c r="H826" s="252">
        <f t="shared" si="65"/>
        <v>31924.600000000002</v>
      </c>
      <c r="I826" s="924"/>
    </row>
    <row r="827" spans="1:9" ht="30" x14ac:dyDescent="0.2">
      <c r="A827" s="292" t="s">
        <v>2352</v>
      </c>
      <c r="B827" s="868"/>
      <c r="C827" s="264" t="s">
        <v>2453</v>
      </c>
      <c r="D827" s="265" t="s">
        <v>411</v>
      </c>
      <c r="E827" s="707"/>
      <c r="F827" s="259">
        <f>ROUND(SUM(H827:H830),0)</f>
        <v>3900707</v>
      </c>
      <c r="G827" s="711"/>
      <c r="H827" s="250"/>
      <c r="I827" s="924">
        <v>17</v>
      </c>
    </row>
    <row r="828" spans="1:9" s="818" customFormat="1" ht="12.75" x14ac:dyDescent="0.2">
      <c r="A828" s="801" t="s">
        <v>382</v>
      </c>
      <c r="B828" s="533" t="s">
        <v>2984</v>
      </c>
      <c r="C828" s="822" t="s">
        <v>2985</v>
      </c>
      <c r="D828" s="266" t="s">
        <v>411</v>
      </c>
      <c r="E828" s="704">
        <v>1</v>
      </c>
      <c r="F828" s="256">
        <f>VLOOKUP(B828,'[1]BASE DE DATOS'!$A$5:$E$964,5,FALSE)</f>
        <v>3567000</v>
      </c>
      <c r="G828" s="708">
        <v>0</v>
      </c>
      <c r="H828" s="252">
        <f t="shared" ref="H828:H830" si="66">IF(G828&gt;0,(G828*F828*E828),(F828*E828))</f>
        <v>3567000</v>
      </c>
      <c r="I828" s="924"/>
    </row>
    <row r="829" spans="1:9" s="818" customFormat="1" ht="12.75" x14ac:dyDescent="0.2">
      <c r="A829" s="280" t="s">
        <v>2555</v>
      </c>
      <c r="B829" s="534" t="s">
        <v>2667</v>
      </c>
      <c r="C829" s="822" t="s">
        <v>2600</v>
      </c>
      <c r="D829" s="266" t="s">
        <v>585</v>
      </c>
      <c r="E829" s="704">
        <v>1</v>
      </c>
      <c r="F829" s="256">
        <f>VLOOKUP(B829,'[1]BASE DE DATOS'!$A$5:$E$964,5,FALSE)</f>
        <v>319246</v>
      </c>
      <c r="G829" s="708">
        <f>1/1.435</f>
        <v>0.69686411149825778</v>
      </c>
      <c r="H829" s="252">
        <f t="shared" si="66"/>
        <v>222471.08013937279</v>
      </c>
      <c r="I829" s="924"/>
    </row>
    <row r="830" spans="1:9" s="818" customFormat="1" ht="13.5" thickBot="1" x14ac:dyDescent="0.25">
      <c r="A830" s="287" t="s">
        <v>293</v>
      </c>
      <c r="B830" s="535" t="s">
        <v>269</v>
      </c>
      <c r="C830" s="235" t="s">
        <v>284</v>
      </c>
      <c r="D830" s="177" t="s">
        <v>2199</v>
      </c>
      <c r="E830" s="704">
        <v>0.5</v>
      </c>
      <c r="F830" s="251">
        <f>H829</f>
        <v>222471.08013937279</v>
      </c>
      <c r="G830" s="708">
        <v>0</v>
      </c>
      <c r="H830" s="252">
        <f t="shared" si="66"/>
        <v>111235.54006968639</v>
      </c>
      <c r="I830" s="924"/>
    </row>
    <row r="831" spans="1:9" s="41" customFormat="1" ht="15.75" thickBot="1" x14ac:dyDescent="0.25">
      <c r="A831" s="1084" t="s">
        <v>2353</v>
      </c>
      <c r="B831" s="1085"/>
      <c r="C831" s="1085"/>
      <c r="D831" s="1085"/>
      <c r="E831" s="1085"/>
      <c r="F831" s="1085"/>
      <c r="G831" s="1085"/>
      <c r="H831" s="1086"/>
      <c r="I831" s="914"/>
    </row>
    <row r="832" spans="1:9" s="41" customFormat="1" ht="45.75" thickBot="1" x14ac:dyDescent="0.25">
      <c r="A832" s="798" t="s">
        <v>2044</v>
      </c>
      <c r="B832" s="866" t="s">
        <v>265</v>
      </c>
      <c r="C832" s="798" t="s">
        <v>402</v>
      </c>
      <c r="D832" s="798" t="s">
        <v>346</v>
      </c>
      <c r="E832" s="192" t="s">
        <v>1913</v>
      </c>
      <c r="F832" s="73" t="s">
        <v>3165</v>
      </c>
      <c r="G832" s="290" t="s">
        <v>281</v>
      </c>
      <c r="H832" s="74" t="s">
        <v>3164</v>
      </c>
      <c r="I832" s="914"/>
    </row>
    <row r="833" spans="1:9" ht="30" x14ac:dyDescent="0.2">
      <c r="A833" s="270" t="s">
        <v>2355</v>
      </c>
      <c r="B833" s="874"/>
      <c r="C833" s="264" t="s">
        <v>2354</v>
      </c>
      <c r="D833" s="265" t="s">
        <v>411</v>
      </c>
      <c r="E833" s="707"/>
      <c r="F833" s="259">
        <f>ROUND(SUM(H833:H847),0)</f>
        <v>335782</v>
      </c>
      <c r="G833" s="711"/>
      <c r="H833" s="250"/>
    </row>
    <row r="834" spans="1:9" s="818" customFormat="1" ht="12.75" x14ac:dyDescent="0.2">
      <c r="A834" s="1072" t="s">
        <v>295</v>
      </c>
      <c r="B834" s="533" t="s">
        <v>1255</v>
      </c>
      <c r="C834" s="822" t="s">
        <v>2574</v>
      </c>
      <c r="D834" s="266" t="s">
        <v>411</v>
      </c>
      <c r="E834" s="704">
        <v>4</v>
      </c>
      <c r="F834" s="256">
        <f>VLOOKUP(B834,'[1]BASE DE DATOS'!$A$5:$E$964,5,FALSE)</f>
        <v>850</v>
      </c>
      <c r="G834" s="708">
        <v>0</v>
      </c>
      <c r="H834" s="252">
        <f t="shared" ref="H834:H847" si="67">IF(G834&gt;0,(G834*F834*E834),(F834*E834))</f>
        <v>3400</v>
      </c>
      <c r="I834" s="924"/>
    </row>
    <row r="835" spans="1:9" s="818" customFormat="1" ht="12.75" x14ac:dyDescent="0.2">
      <c r="A835" s="1073"/>
      <c r="B835" s="533" t="s">
        <v>1444</v>
      </c>
      <c r="C835" s="822" t="s">
        <v>2816</v>
      </c>
      <c r="D835" s="266" t="s">
        <v>405</v>
      </c>
      <c r="E835" s="704">
        <v>20</v>
      </c>
      <c r="F835" s="256">
        <f>VLOOKUP(B835,'[1]BASE DE DATOS'!$A$5:$E$964,5,FALSE)</f>
        <v>3446</v>
      </c>
      <c r="G835" s="708">
        <v>1.03</v>
      </c>
      <c r="H835" s="252">
        <f t="shared" si="67"/>
        <v>70987.600000000006</v>
      </c>
      <c r="I835" s="924"/>
    </row>
    <row r="836" spans="1:9" s="818" customFormat="1" ht="12.75" x14ac:dyDescent="0.2">
      <c r="A836" s="1073"/>
      <c r="B836" s="533" t="s">
        <v>2846</v>
      </c>
      <c r="C836" s="822" t="s">
        <v>2847</v>
      </c>
      <c r="D836" s="266" t="s">
        <v>411</v>
      </c>
      <c r="E836" s="704">
        <v>0.3</v>
      </c>
      <c r="F836" s="256">
        <f>VLOOKUP(B836,'[1]BASE DE DATOS'!$A$5:$E$964,5,FALSE)</f>
        <v>19300</v>
      </c>
      <c r="G836" s="708">
        <v>0</v>
      </c>
      <c r="H836" s="252">
        <f t="shared" si="67"/>
        <v>5790</v>
      </c>
      <c r="I836" s="924"/>
    </row>
    <row r="837" spans="1:9" s="818" customFormat="1" ht="12.75" x14ac:dyDescent="0.2">
      <c r="A837" s="1073"/>
      <c r="B837" s="533" t="s">
        <v>1572</v>
      </c>
      <c r="C837" s="822" t="s">
        <v>2848</v>
      </c>
      <c r="D837" s="266" t="s">
        <v>411</v>
      </c>
      <c r="E837" s="704">
        <v>0.7</v>
      </c>
      <c r="F837" s="256">
        <f>VLOOKUP(B837,'[1]BASE DE DATOS'!$A$5:$E$964,5,FALSE)</f>
        <v>19300</v>
      </c>
      <c r="G837" s="708">
        <v>0</v>
      </c>
      <c r="H837" s="252">
        <f t="shared" si="67"/>
        <v>13510</v>
      </c>
      <c r="I837" s="924"/>
    </row>
    <row r="838" spans="1:9" s="818" customFormat="1" ht="12.75" x14ac:dyDescent="0.2">
      <c r="A838" s="1073"/>
      <c r="B838" s="533" t="s">
        <v>1641</v>
      </c>
      <c r="C838" s="823" t="s">
        <v>3167</v>
      </c>
      <c r="D838" s="273" t="s">
        <v>405</v>
      </c>
      <c r="E838" s="704">
        <v>0.5</v>
      </c>
      <c r="F838" s="256">
        <f>VLOOKUP(B838,'[1]BASE DE DATOS'!$A$5:$E$964,5,FALSE)</f>
        <v>7900</v>
      </c>
      <c r="G838" s="708">
        <v>1.03</v>
      </c>
      <c r="H838" s="252">
        <f t="shared" si="67"/>
        <v>4068.5</v>
      </c>
      <c r="I838" s="924"/>
    </row>
    <row r="839" spans="1:9" s="818" customFormat="1" ht="12.75" x14ac:dyDescent="0.2">
      <c r="A839" s="1073"/>
      <c r="B839" s="533" t="s">
        <v>1700</v>
      </c>
      <c r="C839" s="822" t="s">
        <v>2866</v>
      </c>
      <c r="D839" s="266" t="s">
        <v>411</v>
      </c>
      <c r="E839" s="704">
        <v>1</v>
      </c>
      <c r="F839" s="256">
        <f>VLOOKUP(B839,'[1]BASE DE DATOS'!$A$5:$E$964,5,FALSE)</f>
        <v>9150</v>
      </c>
      <c r="G839" s="708">
        <v>0</v>
      </c>
      <c r="H839" s="252">
        <f t="shared" si="67"/>
        <v>9150</v>
      </c>
      <c r="I839" s="924"/>
    </row>
    <row r="840" spans="1:9" s="818" customFormat="1" ht="12.75" x14ac:dyDescent="0.2">
      <c r="A840" s="1073"/>
      <c r="B840" s="533" t="s">
        <v>2867</v>
      </c>
      <c r="C840" s="822" t="s">
        <v>2868</v>
      </c>
      <c r="D840" s="266" t="s">
        <v>411</v>
      </c>
      <c r="E840" s="704">
        <v>3</v>
      </c>
      <c r="F840" s="256">
        <f>VLOOKUP(B840,'[1]BASE DE DATOS'!$A$5:$E$964,5,FALSE)</f>
        <v>1200</v>
      </c>
      <c r="G840" s="708">
        <v>0</v>
      </c>
      <c r="H840" s="252">
        <f t="shared" si="67"/>
        <v>3600</v>
      </c>
      <c r="I840" s="924"/>
    </row>
    <row r="841" spans="1:9" s="818" customFormat="1" ht="12.75" x14ac:dyDescent="0.2">
      <c r="A841" s="1073"/>
      <c r="B841" s="533" t="s">
        <v>1803</v>
      </c>
      <c r="C841" s="822" t="s">
        <v>2135</v>
      </c>
      <c r="D841" s="266" t="s">
        <v>411</v>
      </c>
      <c r="E841" s="704">
        <v>1</v>
      </c>
      <c r="F841" s="256">
        <f>VLOOKUP(B841,'[1]BASE DE DATOS'!$A$5:$E$964,5,FALSE)</f>
        <v>2800</v>
      </c>
      <c r="G841" s="708">
        <v>0</v>
      </c>
      <c r="H841" s="252">
        <f t="shared" si="67"/>
        <v>2800</v>
      </c>
      <c r="I841" s="924"/>
    </row>
    <row r="842" spans="1:9" s="818" customFormat="1" ht="12.75" x14ac:dyDescent="0.2">
      <c r="A842" s="1073"/>
      <c r="B842" s="533" t="s">
        <v>3031</v>
      </c>
      <c r="C842" s="822" t="s">
        <v>3032</v>
      </c>
      <c r="D842" s="266" t="s">
        <v>411</v>
      </c>
      <c r="E842" s="704">
        <v>2</v>
      </c>
      <c r="F842" s="256">
        <f>VLOOKUP(B842,'[1]BASE DE DATOS'!$A$5:$E$964,5,FALSE)</f>
        <v>1150</v>
      </c>
      <c r="G842" s="708">
        <v>0</v>
      </c>
      <c r="H842" s="252">
        <f t="shared" si="67"/>
        <v>2300</v>
      </c>
      <c r="I842" s="924"/>
    </row>
    <row r="843" spans="1:9" s="818" customFormat="1" ht="12.75" x14ac:dyDescent="0.2">
      <c r="A843" s="1073"/>
      <c r="B843" s="533" t="s">
        <v>3039</v>
      </c>
      <c r="C843" s="279" t="s">
        <v>3898</v>
      </c>
      <c r="D843" s="266" t="s">
        <v>411</v>
      </c>
      <c r="E843" s="704">
        <v>1</v>
      </c>
      <c r="F843" s="256">
        <f>VLOOKUP(B843,'[1]BASE DE DATOS'!$A$5:$E$964,5,FALSE)</f>
        <v>6100</v>
      </c>
      <c r="G843" s="708">
        <v>0</v>
      </c>
      <c r="H843" s="252">
        <f t="shared" si="67"/>
        <v>6100</v>
      </c>
      <c r="I843" s="924"/>
    </row>
    <row r="844" spans="1:9" s="818" customFormat="1" ht="12.75" x14ac:dyDescent="0.2">
      <c r="A844" s="1073"/>
      <c r="B844" s="533" t="s">
        <v>1853</v>
      </c>
      <c r="C844" s="822" t="s">
        <v>3062</v>
      </c>
      <c r="D844" s="266" t="s">
        <v>405</v>
      </c>
      <c r="E844" s="704">
        <v>6</v>
      </c>
      <c r="F844" s="256">
        <f>VLOOKUP(B844,'[1]BASE DE DATOS'!$A$5:$E$964,5,FALSE)</f>
        <v>9100</v>
      </c>
      <c r="G844" s="708">
        <v>1.03</v>
      </c>
      <c r="H844" s="252">
        <f t="shared" si="67"/>
        <v>56238</v>
      </c>
      <c r="I844" s="924"/>
    </row>
    <row r="845" spans="1:9" s="818" customFormat="1" ht="12.75" x14ac:dyDescent="0.2">
      <c r="A845" s="1073"/>
      <c r="B845" s="533" t="s">
        <v>3094</v>
      </c>
      <c r="C845" s="822" t="s">
        <v>3095</v>
      </c>
      <c r="D845" s="266" t="s">
        <v>411</v>
      </c>
      <c r="E845" s="704">
        <v>4</v>
      </c>
      <c r="F845" s="256">
        <f>VLOOKUP(B845,'[1]BASE DE DATOS'!$A$5:$E$964,5,FALSE)</f>
        <v>1150</v>
      </c>
      <c r="G845" s="708">
        <v>0</v>
      </c>
      <c r="H845" s="252">
        <f t="shared" si="67"/>
        <v>4600</v>
      </c>
      <c r="I845" s="924"/>
    </row>
    <row r="846" spans="1:9" s="818" customFormat="1" ht="12.75" x14ac:dyDescent="0.2">
      <c r="A846" s="280" t="s">
        <v>2555</v>
      </c>
      <c r="B846" s="534" t="s">
        <v>2667</v>
      </c>
      <c r="C846" s="822" t="s">
        <v>2600</v>
      </c>
      <c r="D846" s="266" t="s">
        <v>585</v>
      </c>
      <c r="E846" s="704">
        <v>1</v>
      </c>
      <c r="F846" s="256">
        <f>VLOOKUP(B846,'[1]BASE DE DATOS'!$A$5:$E$964,5,FALSE)</f>
        <v>319246</v>
      </c>
      <c r="G846" s="708">
        <f>1/2.5</f>
        <v>0.4</v>
      </c>
      <c r="H846" s="252">
        <f t="shared" si="67"/>
        <v>127698.40000000001</v>
      </c>
      <c r="I846" s="924"/>
    </row>
    <row r="847" spans="1:9" s="818" customFormat="1" ht="13.5" thickBot="1" x14ac:dyDescent="0.25">
      <c r="A847" s="287" t="s">
        <v>293</v>
      </c>
      <c r="B847" s="535" t="s">
        <v>269</v>
      </c>
      <c r="C847" s="235" t="s">
        <v>284</v>
      </c>
      <c r="D847" s="177" t="s">
        <v>2199</v>
      </c>
      <c r="E847" s="704">
        <v>0.2</v>
      </c>
      <c r="F847" s="251">
        <f>H846</f>
        <v>127698.40000000001</v>
      </c>
      <c r="G847" s="708">
        <v>0</v>
      </c>
      <c r="H847" s="252">
        <f t="shared" si="67"/>
        <v>25539.680000000004</v>
      </c>
      <c r="I847" s="924"/>
    </row>
    <row r="848" spans="1:9" ht="15" x14ac:dyDescent="0.2">
      <c r="A848" s="270" t="s">
        <v>2357</v>
      </c>
      <c r="B848" s="870"/>
      <c r="C848" s="264" t="s">
        <v>2356</v>
      </c>
      <c r="D848" s="265" t="s">
        <v>411</v>
      </c>
      <c r="E848" s="707"/>
      <c r="F848" s="259">
        <f>ROUND(SUM(H848:H858),0)</f>
        <v>336683</v>
      </c>
      <c r="G848" s="711"/>
      <c r="H848" s="250"/>
    </row>
    <row r="849" spans="1:9" s="818" customFormat="1" ht="12.75" x14ac:dyDescent="0.2">
      <c r="A849" s="1072" t="s">
        <v>295</v>
      </c>
      <c r="B849" s="533" t="s">
        <v>1444</v>
      </c>
      <c r="C849" s="822" t="s">
        <v>2816</v>
      </c>
      <c r="D849" s="266" t="s">
        <v>405</v>
      </c>
      <c r="E849" s="704">
        <v>20</v>
      </c>
      <c r="F849" s="256">
        <f>VLOOKUP(B849,'[1]BASE DE DATOS'!$A$5:$E$964,5,FALSE)</f>
        <v>3446</v>
      </c>
      <c r="G849" s="708">
        <v>1.03</v>
      </c>
      <c r="H849" s="252">
        <f t="shared" ref="H849:H888" si="68">IF(G849&gt;0,(G849*F849*E849),(F849*E849))</f>
        <v>70987.600000000006</v>
      </c>
      <c r="I849" s="924"/>
    </row>
    <row r="850" spans="1:9" s="818" customFormat="1" ht="12.75" x14ac:dyDescent="0.2">
      <c r="A850" s="1073"/>
      <c r="B850" s="533" t="s">
        <v>1700</v>
      </c>
      <c r="C850" s="822" t="s">
        <v>2866</v>
      </c>
      <c r="D850" s="266" t="s">
        <v>411</v>
      </c>
      <c r="E850" s="704">
        <v>0.33</v>
      </c>
      <c r="F850" s="256">
        <f>VLOOKUP(B850,'[1]BASE DE DATOS'!$A$5:$E$964,5,FALSE)</f>
        <v>9150</v>
      </c>
      <c r="G850" s="708">
        <v>0</v>
      </c>
      <c r="H850" s="252">
        <f t="shared" si="68"/>
        <v>3019.5</v>
      </c>
      <c r="I850" s="924"/>
    </row>
    <row r="851" spans="1:9" s="818" customFormat="1" ht="12.75" x14ac:dyDescent="0.2">
      <c r="A851" s="1073"/>
      <c r="B851" s="533" t="s">
        <v>2867</v>
      </c>
      <c r="C851" s="822" t="s">
        <v>2868</v>
      </c>
      <c r="D851" s="266" t="s">
        <v>411</v>
      </c>
      <c r="E851" s="704">
        <v>3</v>
      </c>
      <c r="F851" s="256">
        <f>VLOOKUP(B851,'[1]BASE DE DATOS'!$A$5:$E$964,5,FALSE)</f>
        <v>1200</v>
      </c>
      <c r="G851" s="708">
        <v>0</v>
      </c>
      <c r="H851" s="252">
        <f t="shared" si="68"/>
        <v>3600</v>
      </c>
      <c r="I851" s="924"/>
    </row>
    <row r="852" spans="1:9" s="818" customFormat="1" ht="12.75" x14ac:dyDescent="0.2">
      <c r="A852" s="1073"/>
      <c r="B852" s="533" t="s">
        <v>1803</v>
      </c>
      <c r="C852" s="822" t="s">
        <v>2135</v>
      </c>
      <c r="D852" s="266" t="s">
        <v>411</v>
      </c>
      <c r="E852" s="704">
        <v>1</v>
      </c>
      <c r="F852" s="256">
        <f>VLOOKUP(B852,'[1]BASE DE DATOS'!$A$5:$E$964,5,FALSE)</f>
        <v>2800</v>
      </c>
      <c r="G852" s="708">
        <v>0</v>
      </c>
      <c r="H852" s="252">
        <f t="shared" si="68"/>
        <v>2800</v>
      </c>
      <c r="I852" s="924"/>
    </row>
    <row r="853" spans="1:9" s="818" customFormat="1" ht="12.75" x14ac:dyDescent="0.2">
      <c r="A853" s="1073"/>
      <c r="B853" s="533" t="s">
        <v>3031</v>
      </c>
      <c r="C853" s="822" t="s">
        <v>3032</v>
      </c>
      <c r="D853" s="266" t="s">
        <v>411</v>
      </c>
      <c r="E853" s="704">
        <v>2</v>
      </c>
      <c r="F853" s="256">
        <f>VLOOKUP(B853,'[1]BASE DE DATOS'!$A$5:$E$964,5,FALSE)</f>
        <v>1150</v>
      </c>
      <c r="G853" s="708">
        <v>0</v>
      </c>
      <c r="H853" s="252">
        <f t="shared" si="68"/>
        <v>2300</v>
      </c>
      <c r="I853" s="924"/>
    </row>
    <row r="854" spans="1:9" s="818" customFormat="1" ht="12.75" x14ac:dyDescent="0.2">
      <c r="A854" s="1073"/>
      <c r="B854" s="533" t="s">
        <v>3034</v>
      </c>
      <c r="C854" s="279" t="s">
        <v>3035</v>
      </c>
      <c r="D854" s="266" t="s">
        <v>411</v>
      </c>
      <c r="E854" s="704">
        <v>1</v>
      </c>
      <c r="F854" s="256">
        <f>VLOOKUP(B854,'[1]BASE DE DATOS'!$A$5:$E$964,5,FALSE)</f>
        <v>39900</v>
      </c>
      <c r="G854" s="708">
        <v>0</v>
      </c>
      <c r="H854" s="252">
        <f t="shared" si="68"/>
        <v>39900</v>
      </c>
      <c r="I854" s="924"/>
    </row>
    <row r="855" spans="1:9" s="818" customFormat="1" ht="12.75" x14ac:dyDescent="0.2">
      <c r="A855" s="1073"/>
      <c r="B855" s="533" t="s">
        <v>1853</v>
      </c>
      <c r="C855" s="822" t="s">
        <v>3062</v>
      </c>
      <c r="D855" s="266" t="s">
        <v>405</v>
      </c>
      <c r="E855" s="704">
        <v>6</v>
      </c>
      <c r="F855" s="256">
        <f>VLOOKUP(B855,'[1]BASE DE DATOS'!$A$5:$E$964,5,FALSE)</f>
        <v>9100</v>
      </c>
      <c r="G855" s="708">
        <v>1.03</v>
      </c>
      <c r="H855" s="252">
        <f t="shared" si="68"/>
        <v>56238</v>
      </c>
      <c r="I855" s="924"/>
    </row>
    <row r="856" spans="1:9" s="818" customFormat="1" ht="12.75" x14ac:dyDescent="0.2">
      <c r="A856" s="1073"/>
      <c r="B856" s="533" t="s">
        <v>3094</v>
      </c>
      <c r="C856" s="822" t="s">
        <v>3095</v>
      </c>
      <c r="D856" s="266" t="s">
        <v>411</v>
      </c>
      <c r="E856" s="704">
        <v>4</v>
      </c>
      <c r="F856" s="256">
        <f>VLOOKUP(B856,'[1]BASE DE DATOS'!$A$5:$E$964,5,FALSE)</f>
        <v>1150</v>
      </c>
      <c r="G856" s="708">
        <v>0</v>
      </c>
      <c r="H856" s="252">
        <f t="shared" si="68"/>
        <v>4600</v>
      </c>
      <c r="I856" s="924"/>
    </row>
    <row r="857" spans="1:9" s="818" customFormat="1" ht="12.75" x14ac:dyDescent="0.2">
      <c r="A857" s="280" t="s">
        <v>2555</v>
      </c>
      <c r="B857" s="534" t="s">
        <v>2667</v>
      </c>
      <c r="C857" s="822" t="s">
        <v>2600</v>
      </c>
      <c r="D857" s="266" t="s">
        <v>585</v>
      </c>
      <c r="E857" s="704">
        <v>1</v>
      </c>
      <c r="F857" s="256">
        <f>VLOOKUP(B857,'[1]BASE DE DATOS'!$A$5:$E$964,5,FALSE)</f>
        <v>319246</v>
      </c>
      <c r="G857" s="708">
        <f>1/2.5</f>
        <v>0.4</v>
      </c>
      <c r="H857" s="252">
        <f t="shared" si="68"/>
        <v>127698.40000000001</v>
      </c>
      <c r="I857" s="924"/>
    </row>
    <row r="858" spans="1:9" s="818" customFormat="1" ht="13.5" thickBot="1" x14ac:dyDescent="0.25">
      <c r="A858" s="287" t="s">
        <v>293</v>
      </c>
      <c r="B858" s="535" t="s">
        <v>269</v>
      </c>
      <c r="C858" s="235" t="s">
        <v>284</v>
      </c>
      <c r="D858" s="177" t="s">
        <v>2199</v>
      </c>
      <c r="E858" s="704">
        <v>0.2</v>
      </c>
      <c r="F858" s="251">
        <f>H857</f>
        <v>127698.40000000001</v>
      </c>
      <c r="G858" s="708">
        <v>0</v>
      </c>
      <c r="H858" s="252">
        <f t="shared" si="68"/>
        <v>25539.680000000004</v>
      </c>
      <c r="I858" s="924"/>
    </row>
    <row r="859" spans="1:9" ht="30" x14ac:dyDescent="0.2">
      <c r="A859" s="270" t="s">
        <v>2358</v>
      </c>
      <c r="B859" s="874"/>
      <c r="C859" s="264" t="s">
        <v>3636</v>
      </c>
      <c r="D859" s="265" t="s">
        <v>411</v>
      </c>
      <c r="E859" s="707"/>
      <c r="F859" s="259">
        <f>ROUND(SUM(H859:H873),0)</f>
        <v>344923</v>
      </c>
      <c r="G859" s="711"/>
      <c r="H859" s="250"/>
    </row>
    <row r="860" spans="1:9" s="818" customFormat="1" ht="12.75" x14ac:dyDescent="0.2">
      <c r="A860" s="1072" t="s">
        <v>295</v>
      </c>
      <c r="B860" s="533" t="s">
        <v>1255</v>
      </c>
      <c r="C860" s="822" t="s">
        <v>2574</v>
      </c>
      <c r="D860" s="266" t="s">
        <v>411</v>
      </c>
      <c r="E860" s="704">
        <v>4</v>
      </c>
      <c r="F860" s="256">
        <f>VLOOKUP(B860,'[1]BASE DE DATOS'!$A$5:$E$964,5,FALSE)</f>
        <v>850</v>
      </c>
      <c r="G860" s="708">
        <v>0</v>
      </c>
      <c r="H860" s="252">
        <f t="shared" si="68"/>
        <v>3400</v>
      </c>
      <c r="I860" s="924"/>
    </row>
    <row r="861" spans="1:9" s="818" customFormat="1" ht="12.75" x14ac:dyDescent="0.2">
      <c r="A861" s="1073"/>
      <c r="B861" s="533" t="s">
        <v>1444</v>
      </c>
      <c r="C861" s="822" t="s">
        <v>2816</v>
      </c>
      <c r="D861" s="266" t="s">
        <v>405</v>
      </c>
      <c r="E861" s="704">
        <v>19</v>
      </c>
      <c r="F861" s="256">
        <f>VLOOKUP(B861,'[1]BASE DE DATOS'!$A$5:$E$964,5,FALSE)</f>
        <v>3446</v>
      </c>
      <c r="G861" s="708">
        <v>1.03</v>
      </c>
      <c r="H861" s="252">
        <f t="shared" si="68"/>
        <v>67438.22</v>
      </c>
      <c r="I861" s="924"/>
    </row>
    <row r="862" spans="1:9" s="818" customFormat="1" ht="12.75" x14ac:dyDescent="0.2">
      <c r="A862" s="1073"/>
      <c r="B862" s="533" t="s">
        <v>2846</v>
      </c>
      <c r="C862" s="822" t="s">
        <v>2847</v>
      </c>
      <c r="D862" s="266" t="s">
        <v>411</v>
      </c>
      <c r="E862" s="704">
        <v>0.6</v>
      </c>
      <c r="F862" s="256">
        <f>VLOOKUP(B862,'[1]BASE DE DATOS'!$A$5:$E$964,5,FALSE)</f>
        <v>19300</v>
      </c>
      <c r="G862" s="708">
        <v>0</v>
      </c>
      <c r="H862" s="252">
        <f t="shared" si="68"/>
        <v>11580</v>
      </c>
      <c r="I862" s="924"/>
    </row>
    <row r="863" spans="1:9" s="818" customFormat="1" ht="12.75" x14ac:dyDescent="0.2">
      <c r="A863" s="1073"/>
      <c r="B863" s="533" t="s">
        <v>1572</v>
      </c>
      <c r="C863" s="822" t="s">
        <v>2848</v>
      </c>
      <c r="D863" s="266" t="s">
        <v>411</v>
      </c>
      <c r="E863" s="704">
        <v>0.7</v>
      </c>
      <c r="F863" s="256">
        <f>VLOOKUP(B863,'[1]BASE DE DATOS'!$A$5:$E$964,5,FALSE)</f>
        <v>19300</v>
      </c>
      <c r="G863" s="708">
        <v>0</v>
      </c>
      <c r="H863" s="252">
        <f t="shared" si="68"/>
        <v>13510</v>
      </c>
      <c r="I863" s="924"/>
    </row>
    <row r="864" spans="1:9" s="818" customFormat="1" ht="12.75" x14ac:dyDescent="0.2">
      <c r="A864" s="1073"/>
      <c r="B864" s="533" t="s">
        <v>1641</v>
      </c>
      <c r="C864" s="823" t="s">
        <v>3167</v>
      </c>
      <c r="D864" s="273" t="s">
        <v>405</v>
      </c>
      <c r="E864" s="704">
        <v>0.5</v>
      </c>
      <c r="F864" s="256">
        <f>VLOOKUP(B864,'[1]BASE DE DATOS'!$A$5:$E$964,5,FALSE)</f>
        <v>7900</v>
      </c>
      <c r="G864" s="708">
        <v>1.03</v>
      </c>
      <c r="H864" s="252">
        <f t="shared" si="68"/>
        <v>4068.5</v>
      </c>
      <c r="I864" s="924"/>
    </row>
    <row r="865" spans="1:9" s="818" customFormat="1" ht="12.75" x14ac:dyDescent="0.2">
      <c r="A865" s="1073"/>
      <c r="B865" s="533" t="s">
        <v>1700</v>
      </c>
      <c r="C865" s="822" t="s">
        <v>2866</v>
      </c>
      <c r="D865" s="266" t="s">
        <v>411</v>
      </c>
      <c r="E865" s="704">
        <v>1</v>
      </c>
      <c r="F865" s="256">
        <f>VLOOKUP(B865,'[1]BASE DE DATOS'!$A$5:$E$964,5,FALSE)</f>
        <v>9150</v>
      </c>
      <c r="G865" s="708">
        <v>0</v>
      </c>
      <c r="H865" s="252">
        <f t="shared" si="68"/>
        <v>9150</v>
      </c>
      <c r="I865" s="924"/>
    </row>
    <row r="866" spans="1:9" s="818" customFormat="1" ht="12.75" x14ac:dyDescent="0.2">
      <c r="A866" s="1073"/>
      <c r="B866" s="533" t="s">
        <v>2867</v>
      </c>
      <c r="C866" s="822" t="s">
        <v>2868</v>
      </c>
      <c r="D866" s="266" t="s">
        <v>411</v>
      </c>
      <c r="E866" s="704">
        <v>3</v>
      </c>
      <c r="F866" s="256">
        <f>VLOOKUP(B866,'[1]BASE DE DATOS'!$A$5:$E$964,5,FALSE)</f>
        <v>1200</v>
      </c>
      <c r="G866" s="708">
        <v>0</v>
      </c>
      <c r="H866" s="252">
        <f t="shared" si="68"/>
        <v>3600</v>
      </c>
      <c r="I866" s="924"/>
    </row>
    <row r="867" spans="1:9" s="818" customFormat="1" ht="12.75" x14ac:dyDescent="0.2">
      <c r="A867" s="1073"/>
      <c r="B867" s="533" t="s">
        <v>1803</v>
      </c>
      <c r="C867" s="822" t="s">
        <v>2135</v>
      </c>
      <c r="D867" s="266" t="s">
        <v>411</v>
      </c>
      <c r="E867" s="704">
        <v>1</v>
      </c>
      <c r="F867" s="256">
        <f>VLOOKUP(B867,'[1]BASE DE DATOS'!$A$5:$E$964,5,FALSE)</f>
        <v>2800</v>
      </c>
      <c r="G867" s="708">
        <v>0</v>
      </c>
      <c r="H867" s="252">
        <f t="shared" si="68"/>
        <v>2800</v>
      </c>
      <c r="I867" s="924"/>
    </row>
    <row r="868" spans="1:9" s="818" customFormat="1" ht="12.75" x14ac:dyDescent="0.2">
      <c r="A868" s="1073"/>
      <c r="B868" s="533" t="s">
        <v>3031</v>
      </c>
      <c r="C868" s="822" t="s">
        <v>3032</v>
      </c>
      <c r="D868" s="266" t="s">
        <v>411</v>
      </c>
      <c r="E868" s="704">
        <v>2</v>
      </c>
      <c r="F868" s="256">
        <f>VLOOKUP(B868,'[1]BASE DE DATOS'!$A$5:$E$964,5,FALSE)</f>
        <v>1150</v>
      </c>
      <c r="G868" s="708">
        <v>0</v>
      </c>
      <c r="H868" s="252">
        <f t="shared" si="68"/>
        <v>2300</v>
      </c>
      <c r="I868" s="924"/>
    </row>
    <row r="869" spans="1:9" s="818" customFormat="1" ht="12.75" x14ac:dyDescent="0.2">
      <c r="A869" s="1073"/>
      <c r="B869" s="533" t="s">
        <v>3037</v>
      </c>
      <c r="C869" s="822" t="s">
        <v>3038</v>
      </c>
      <c r="D869" s="266" t="s">
        <v>411</v>
      </c>
      <c r="E869" s="704">
        <v>1</v>
      </c>
      <c r="F869" s="256">
        <f>VLOOKUP(B869,'[1]BASE DE DATOS'!$A$5:$E$964,5,FALSE)</f>
        <v>13000</v>
      </c>
      <c r="G869" s="708">
        <v>0</v>
      </c>
      <c r="H869" s="252">
        <f t="shared" si="68"/>
        <v>13000</v>
      </c>
      <c r="I869" s="924"/>
    </row>
    <row r="870" spans="1:9" s="818" customFormat="1" ht="12.75" x14ac:dyDescent="0.2">
      <c r="A870" s="1073"/>
      <c r="B870" s="533" t="s">
        <v>1853</v>
      </c>
      <c r="C870" s="822" t="s">
        <v>3062</v>
      </c>
      <c r="D870" s="266" t="s">
        <v>405</v>
      </c>
      <c r="E870" s="704">
        <v>6</v>
      </c>
      <c r="F870" s="256">
        <f>VLOOKUP(B870,'[1]BASE DE DATOS'!$A$5:$E$964,5,FALSE)</f>
        <v>9100</v>
      </c>
      <c r="G870" s="708">
        <v>1.03</v>
      </c>
      <c r="H870" s="252">
        <f t="shared" si="68"/>
        <v>56238</v>
      </c>
      <c r="I870" s="924"/>
    </row>
    <row r="871" spans="1:9" s="818" customFormat="1" ht="12.75" x14ac:dyDescent="0.2">
      <c r="A871" s="1073"/>
      <c r="B871" s="533" t="s">
        <v>3094</v>
      </c>
      <c r="C871" s="822" t="s">
        <v>3095</v>
      </c>
      <c r="D871" s="266" t="s">
        <v>411</v>
      </c>
      <c r="E871" s="704">
        <v>4</v>
      </c>
      <c r="F871" s="256">
        <f>VLOOKUP(B871,'[1]BASE DE DATOS'!$A$5:$E$964,5,FALSE)</f>
        <v>1150</v>
      </c>
      <c r="G871" s="708">
        <v>0</v>
      </c>
      <c r="H871" s="252">
        <f t="shared" si="68"/>
        <v>4600</v>
      </c>
      <c r="I871" s="924"/>
    </row>
    <row r="872" spans="1:9" s="818" customFormat="1" ht="12.75" x14ac:dyDescent="0.2">
      <c r="A872" s="280" t="s">
        <v>2555</v>
      </c>
      <c r="B872" s="534" t="s">
        <v>2667</v>
      </c>
      <c r="C872" s="822" t="s">
        <v>2600</v>
      </c>
      <c r="D872" s="266" t="s">
        <v>585</v>
      </c>
      <c r="E872" s="704">
        <v>1</v>
      </c>
      <c r="F872" s="256">
        <f>VLOOKUP(B872,'[1]BASE DE DATOS'!$A$5:$E$964,5,FALSE)</f>
        <v>319246</v>
      </c>
      <c r="G872" s="708">
        <f>1/2.5</f>
        <v>0.4</v>
      </c>
      <c r="H872" s="252">
        <f t="shared" si="68"/>
        <v>127698.40000000001</v>
      </c>
      <c r="I872" s="924"/>
    </row>
    <row r="873" spans="1:9" s="818" customFormat="1" ht="13.5" thickBot="1" x14ac:dyDescent="0.25">
      <c r="A873" s="287" t="s">
        <v>293</v>
      </c>
      <c r="B873" s="535" t="s">
        <v>269</v>
      </c>
      <c r="C873" s="235" t="s">
        <v>284</v>
      </c>
      <c r="D873" s="177" t="s">
        <v>2199</v>
      </c>
      <c r="E873" s="704">
        <v>0.2</v>
      </c>
      <c r="F873" s="251">
        <f>H872</f>
        <v>127698.40000000001</v>
      </c>
      <c r="G873" s="708">
        <v>0</v>
      </c>
      <c r="H873" s="252">
        <f t="shared" si="68"/>
        <v>25539.680000000004</v>
      </c>
      <c r="I873" s="924"/>
    </row>
    <row r="874" spans="1:9" ht="30" x14ac:dyDescent="0.2">
      <c r="A874" s="292" t="s">
        <v>2360</v>
      </c>
      <c r="B874" s="868"/>
      <c r="C874" s="264" t="s">
        <v>2359</v>
      </c>
      <c r="D874" s="265" t="s">
        <v>411</v>
      </c>
      <c r="E874" s="707"/>
      <c r="F874" s="259">
        <f>ROUND(SUM(H874:H888),0)</f>
        <v>362832</v>
      </c>
      <c r="G874" s="711"/>
      <c r="H874" s="250"/>
    </row>
    <row r="875" spans="1:9" s="818" customFormat="1" ht="12.75" x14ac:dyDescent="0.2">
      <c r="A875" s="1072" t="s">
        <v>295</v>
      </c>
      <c r="B875" s="533" t="s">
        <v>1255</v>
      </c>
      <c r="C875" s="822" t="s">
        <v>2574</v>
      </c>
      <c r="D875" s="266" t="s">
        <v>411</v>
      </c>
      <c r="E875" s="704">
        <v>4</v>
      </c>
      <c r="F875" s="256">
        <f>VLOOKUP(B875,'[1]BASE DE DATOS'!$A$5:$E$964,5,FALSE)</f>
        <v>850</v>
      </c>
      <c r="G875" s="708">
        <v>0</v>
      </c>
      <c r="H875" s="252">
        <f t="shared" si="68"/>
        <v>3400</v>
      </c>
      <c r="I875" s="924"/>
    </row>
    <row r="876" spans="1:9" s="818" customFormat="1" ht="12.75" x14ac:dyDescent="0.2">
      <c r="A876" s="1073"/>
      <c r="B876" s="533" t="s">
        <v>1444</v>
      </c>
      <c r="C876" s="822" t="s">
        <v>2816</v>
      </c>
      <c r="D876" s="266" t="s">
        <v>405</v>
      </c>
      <c r="E876" s="704">
        <v>20</v>
      </c>
      <c r="F876" s="256">
        <f>VLOOKUP(B876,'[1]BASE DE DATOS'!$A$5:$E$964,5,FALSE)</f>
        <v>3446</v>
      </c>
      <c r="G876" s="708">
        <v>1.03</v>
      </c>
      <c r="H876" s="252">
        <f t="shared" si="68"/>
        <v>70987.600000000006</v>
      </c>
      <c r="I876" s="924"/>
    </row>
    <row r="877" spans="1:9" s="818" customFormat="1" ht="12.75" x14ac:dyDescent="0.2">
      <c r="A877" s="1073"/>
      <c r="B877" s="533" t="s">
        <v>2846</v>
      </c>
      <c r="C877" s="822" t="s">
        <v>2847</v>
      </c>
      <c r="D877" s="266" t="s">
        <v>411</v>
      </c>
      <c r="E877" s="704">
        <v>0.3</v>
      </c>
      <c r="F877" s="256">
        <f>VLOOKUP(B877,'[1]BASE DE DATOS'!$A$5:$E$964,5,FALSE)</f>
        <v>19300</v>
      </c>
      <c r="G877" s="708">
        <v>0</v>
      </c>
      <c r="H877" s="252">
        <f t="shared" si="68"/>
        <v>5790</v>
      </c>
      <c r="I877" s="924"/>
    </row>
    <row r="878" spans="1:9" s="818" customFormat="1" ht="12.75" x14ac:dyDescent="0.2">
      <c r="A878" s="1073"/>
      <c r="B878" s="533" t="s">
        <v>1572</v>
      </c>
      <c r="C878" s="822" t="s">
        <v>2848</v>
      </c>
      <c r="D878" s="266" t="s">
        <v>411</v>
      </c>
      <c r="E878" s="704">
        <v>0.7</v>
      </c>
      <c r="F878" s="256">
        <f>VLOOKUP(B878,'[1]BASE DE DATOS'!$A$5:$E$964,5,FALSE)</f>
        <v>19300</v>
      </c>
      <c r="G878" s="708">
        <v>0</v>
      </c>
      <c r="H878" s="252">
        <f t="shared" si="68"/>
        <v>13510</v>
      </c>
      <c r="I878" s="924"/>
    </row>
    <row r="879" spans="1:9" s="818" customFormat="1" ht="12.75" x14ac:dyDescent="0.2">
      <c r="A879" s="1073"/>
      <c r="B879" s="533" t="s">
        <v>1641</v>
      </c>
      <c r="C879" s="823" t="s">
        <v>3167</v>
      </c>
      <c r="D879" s="273" t="s">
        <v>405</v>
      </c>
      <c r="E879" s="704">
        <v>0.5</v>
      </c>
      <c r="F879" s="256">
        <f>VLOOKUP(B879,'[1]BASE DE DATOS'!$A$5:$E$964,5,FALSE)</f>
        <v>7900</v>
      </c>
      <c r="G879" s="708">
        <v>1.03</v>
      </c>
      <c r="H879" s="252">
        <f t="shared" si="68"/>
        <v>4068.5</v>
      </c>
      <c r="I879" s="924"/>
    </row>
    <row r="880" spans="1:9" s="818" customFormat="1" ht="12.75" x14ac:dyDescent="0.2">
      <c r="A880" s="1073"/>
      <c r="B880" s="533" t="s">
        <v>1700</v>
      </c>
      <c r="C880" s="822" t="s">
        <v>2866</v>
      </c>
      <c r="D880" s="266" t="s">
        <v>411</v>
      </c>
      <c r="E880" s="704">
        <v>1</v>
      </c>
      <c r="F880" s="256">
        <f>VLOOKUP(B880,'[1]BASE DE DATOS'!$A$5:$E$964,5,FALSE)</f>
        <v>9150</v>
      </c>
      <c r="G880" s="708">
        <v>0</v>
      </c>
      <c r="H880" s="252">
        <f t="shared" si="68"/>
        <v>9150</v>
      </c>
      <c r="I880" s="924"/>
    </row>
    <row r="881" spans="1:9" s="818" customFormat="1" ht="12.75" x14ac:dyDescent="0.2">
      <c r="A881" s="1073"/>
      <c r="B881" s="533" t="s">
        <v>2867</v>
      </c>
      <c r="C881" s="822" t="s">
        <v>2868</v>
      </c>
      <c r="D881" s="266" t="s">
        <v>411</v>
      </c>
      <c r="E881" s="704">
        <v>3</v>
      </c>
      <c r="F881" s="256">
        <f>VLOOKUP(B881,'[1]BASE DE DATOS'!$A$5:$E$964,5,FALSE)</f>
        <v>1200</v>
      </c>
      <c r="G881" s="708">
        <v>0</v>
      </c>
      <c r="H881" s="252">
        <f t="shared" si="68"/>
        <v>3600</v>
      </c>
      <c r="I881" s="924"/>
    </row>
    <row r="882" spans="1:9" s="818" customFormat="1" ht="12.75" x14ac:dyDescent="0.2">
      <c r="A882" s="1073"/>
      <c r="B882" s="533" t="s">
        <v>1803</v>
      </c>
      <c r="C882" s="822" t="s">
        <v>2135</v>
      </c>
      <c r="D882" s="266" t="s">
        <v>411</v>
      </c>
      <c r="E882" s="704">
        <v>1</v>
      </c>
      <c r="F882" s="256">
        <f>VLOOKUP(B882,'[1]BASE DE DATOS'!$A$5:$E$964,5,FALSE)</f>
        <v>2800</v>
      </c>
      <c r="G882" s="708">
        <v>0</v>
      </c>
      <c r="H882" s="252">
        <f t="shared" si="68"/>
        <v>2800</v>
      </c>
      <c r="I882" s="924"/>
    </row>
    <row r="883" spans="1:9" s="818" customFormat="1" ht="12.75" x14ac:dyDescent="0.2">
      <c r="A883" s="1073"/>
      <c r="B883" s="533" t="s">
        <v>3031</v>
      </c>
      <c r="C883" s="822" t="s">
        <v>3032</v>
      </c>
      <c r="D883" s="266" t="s">
        <v>411</v>
      </c>
      <c r="E883" s="704">
        <v>2</v>
      </c>
      <c r="F883" s="256">
        <f>VLOOKUP(B883,'[1]BASE DE DATOS'!$A$5:$E$964,5,FALSE)</f>
        <v>1150</v>
      </c>
      <c r="G883" s="708">
        <v>0</v>
      </c>
      <c r="H883" s="252">
        <f t="shared" si="68"/>
        <v>2300</v>
      </c>
      <c r="I883" s="924"/>
    </row>
    <row r="884" spans="1:9" s="818" customFormat="1" ht="12.75" x14ac:dyDescent="0.2">
      <c r="A884" s="1073"/>
      <c r="B884" s="533" t="s">
        <v>3036</v>
      </c>
      <c r="C884" s="279" t="s">
        <v>3897</v>
      </c>
      <c r="D884" s="266" t="s">
        <v>411</v>
      </c>
      <c r="E884" s="704">
        <v>1</v>
      </c>
      <c r="F884" s="256">
        <f>VLOOKUP(B884,'[1]BASE DE DATOS'!$A$5:$E$964,5,FALSE)</f>
        <v>33150</v>
      </c>
      <c r="G884" s="708">
        <v>0</v>
      </c>
      <c r="H884" s="252">
        <f t="shared" si="68"/>
        <v>33150</v>
      </c>
      <c r="I884" s="924"/>
    </row>
    <row r="885" spans="1:9" s="818" customFormat="1" ht="12.75" x14ac:dyDescent="0.2">
      <c r="A885" s="1073"/>
      <c r="B885" s="533" t="s">
        <v>1853</v>
      </c>
      <c r="C885" s="822" t="s">
        <v>3062</v>
      </c>
      <c r="D885" s="266" t="s">
        <v>405</v>
      </c>
      <c r="E885" s="704">
        <v>6</v>
      </c>
      <c r="F885" s="256">
        <f>VLOOKUP(B885,'[1]BASE DE DATOS'!$A$5:$E$964,5,FALSE)</f>
        <v>9100</v>
      </c>
      <c r="G885" s="708">
        <v>1.03</v>
      </c>
      <c r="H885" s="252">
        <f t="shared" si="68"/>
        <v>56238</v>
      </c>
      <c r="I885" s="924"/>
    </row>
    <row r="886" spans="1:9" s="818" customFormat="1" ht="12.75" x14ac:dyDescent="0.2">
      <c r="A886" s="1073"/>
      <c r="B886" s="533" t="s">
        <v>3094</v>
      </c>
      <c r="C886" s="822" t="s">
        <v>3095</v>
      </c>
      <c r="D886" s="266" t="s">
        <v>411</v>
      </c>
      <c r="E886" s="704">
        <v>4</v>
      </c>
      <c r="F886" s="256">
        <f>VLOOKUP(B886,'[1]BASE DE DATOS'!$A$5:$E$964,5,FALSE)</f>
        <v>1150</v>
      </c>
      <c r="G886" s="708">
        <v>0</v>
      </c>
      <c r="H886" s="252">
        <f t="shared" si="68"/>
        <v>4600</v>
      </c>
      <c r="I886" s="924"/>
    </row>
    <row r="887" spans="1:9" s="818" customFormat="1" ht="12.75" x14ac:dyDescent="0.2">
      <c r="A887" s="280" t="s">
        <v>2555</v>
      </c>
      <c r="B887" s="534" t="s">
        <v>2667</v>
      </c>
      <c r="C887" s="822" t="s">
        <v>2600</v>
      </c>
      <c r="D887" s="266" t="s">
        <v>585</v>
      </c>
      <c r="E887" s="704">
        <v>1</v>
      </c>
      <c r="F887" s="256">
        <f>VLOOKUP(B887,'[1]BASE DE DATOS'!$A$5:$E$964,5,FALSE)</f>
        <v>319246</v>
      </c>
      <c r="G887" s="708">
        <f>1/2.5</f>
        <v>0.4</v>
      </c>
      <c r="H887" s="252">
        <f t="shared" si="68"/>
        <v>127698.40000000001</v>
      </c>
      <c r="I887" s="924"/>
    </row>
    <row r="888" spans="1:9" s="818" customFormat="1" ht="13.5" thickBot="1" x14ac:dyDescent="0.25">
      <c r="A888" s="287" t="s">
        <v>293</v>
      </c>
      <c r="B888" s="535" t="s">
        <v>269</v>
      </c>
      <c r="C888" s="235" t="s">
        <v>284</v>
      </c>
      <c r="D888" s="177" t="s">
        <v>2199</v>
      </c>
      <c r="E888" s="704">
        <v>0.2</v>
      </c>
      <c r="F888" s="251">
        <f>H887</f>
        <v>127698.40000000001</v>
      </c>
      <c r="G888" s="708">
        <v>0</v>
      </c>
      <c r="H888" s="252">
        <f t="shared" si="68"/>
        <v>25539.680000000004</v>
      </c>
      <c r="I888" s="924"/>
    </row>
    <row r="889" spans="1:9" ht="30" x14ac:dyDescent="0.2">
      <c r="A889" s="292" t="s">
        <v>2362</v>
      </c>
      <c r="B889" s="868"/>
      <c r="C889" s="264" t="s">
        <v>2361</v>
      </c>
      <c r="D889" s="265" t="s">
        <v>411</v>
      </c>
      <c r="E889" s="707"/>
      <c r="F889" s="259">
        <f>ROUND(SUM(H889:H903),0)</f>
        <v>369582</v>
      </c>
      <c r="G889" s="711"/>
      <c r="H889" s="250"/>
    </row>
    <row r="890" spans="1:9" s="818" customFormat="1" ht="12.75" x14ac:dyDescent="0.2">
      <c r="A890" s="1072" t="s">
        <v>295</v>
      </c>
      <c r="B890" s="533" t="s">
        <v>1255</v>
      </c>
      <c r="C890" s="822" t="s">
        <v>2574</v>
      </c>
      <c r="D890" s="266" t="s">
        <v>411</v>
      </c>
      <c r="E890" s="704">
        <v>4</v>
      </c>
      <c r="F890" s="256">
        <f>VLOOKUP(B890,'[1]BASE DE DATOS'!$A$5:$E$964,5,FALSE)</f>
        <v>850</v>
      </c>
      <c r="G890" s="708">
        <v>0</v>
      </c>
      <c r="H890" s="252">
        <f t="shared" ref="H890:H903" si="69">IF(G890&gt;0,(G890*F890*E890),(F890*E890))</f>
        <v>3400</v>
      </c>
      <c r="I890" s="924"/>
    </row>
    <row r="891" spans="1:9" s="818" customFormat="1" ht="12.75" x14ac:dyDescent="0.2">
      <c r="A891" s="1073"/>
      <c r="B891" s="533" t="s">
        <v>1444</v>
      </c>
      <c r="C891" s="822" t="s">
        <v>2816</v>
      </c>
      <c r="D891" s="266" t="s">
        <v>405</v>
      </c>
      <c r="E891" s="704">
        <v>20</v>
      </c>
      <c r="F891" s="256">
        <f>VLOOKUP(B891,'[1]BASE DE DATOS'!$A$5:$E$964,5,FALSE)</f>
        <v>3446</v>
      </c>
      <c r="G891" s="708">
        <v>1.03</v>
      </c>
      <c r="H891" s="252">
        <f t="shared" si="69"/>
        <v>70987.600000000006</v>
      </c>
      <c r="I891" s="924"/>
    </row>
    <row r="892" spans="1:9" s="818" customFormat="1" ht="12.75" x14ac:dyDescent="0.2">
      <c r="A892" s="1073"/>
      <c r="B892" s="533" t="s">
        <v>2846</v>
      </c>
      <c r="C892" s="822" t="s">
        <v>2847</v>
      </c>
      <c r="D892" s="266" t="s">
        <v>411</v>
      </c>
      <c r="E892" s="704">
        <v>0.3</v>
      </c>
      <c r="F892" s="256">
        <f>VLOOKUP(B892,'[1]BASE DE DATOS'!$A$5:$E$964,5,FALSE)</f>
        <v>19300</v>
      </c>
      <c r="G892" s="708">
        <v>0</v>
      </c>
      <c r="H892" s="252">
        <f t="shared" si="69"/>
        <v>5790</v>
      </c>
      <c r="I892" s="924"/>
    </row>
    <row r="893" spans="1:9" s="818" customFormat="1" ht="12.75" x14ac:dyDescent="0.2">
      <c r="A893" s="1073"/>
      <c r="B893" s="533" t="s">
        <v>1572</v>
      </c>
      <c r="C893" s="822" t="s">
        <v>2848</v>
      </c>
      <c r="D893" s="266" t="s">
        <v>411</v>
      </c>
      <c r="E893" s="704">
        <v>0.7</v>
      </c>
      <c r="F893" s="256">
        <f>VLOOKUP(B893,'[1]BASE DE DATOS'!$A$5:$E$964,5,FALSE)</f>
        <v>19300</v>
      </c>
      <c r="G893" s="708">
        <v>0</v>
      </c>
      <c r="H893" s="252">
        <f t="shared" si="69"/>
        <v>13510</v>
      </c>
      <c r="I893" s="924"/>
    </row>
    <row r="894" spans="1:9" s="818" customFormat="1" ht="12.75" x14ac:dyDescent="0.2">
      <c r="A894" s="1073"/>
      <c r="B894" s="533" t="s">
        <v>1641</v>
      </c>
      <c r="C894" s="823" t="s">
        <v>3167</v>
      </c>
      <c r="D894" s="273" t="s">
        <v>405</v>
      </c>
      <c r="E894" s="704">
        <v>0.5</v>
      </c>
      <c r="F894" s="256">
        <f>VLOOKUP(B894,'[1]BASE DE DATOS'!$A$5:$E$964,5,FALSE)</f>
        <v>7900</v>
      </c>
      <c r="G894" s="708">
        <v>1.03</v>
      </c>
      <c r="H894" s="252">
        <f t="shared" si="69"/>
        <v>4068.5</v>
      </c>
      <c r="I894" s="924"/>
    </row>
    <row r="895" spans="1:9" s="818" customFormat="1" ht="12.75" x14ac:dyDescent="0.2">
      <c r="A895" s="1073"/>
      <c r="B895" s="533" t="s">
        <v>1700</v>
      </c>
      <c r="C895" s="822" t="s">
        <v>2866</v>
      </c>
      <c r="D895" s="266" t="s">
        <v>411</v>
      </c>
      <c r="E895" s="704">
        <v>1</v>
      </c>
      <c r="F895" s="256">
        <f>VLOOKUP(B895,'[1]BASE DE DATOS'!$A$5:$E$964,5,FALSE)</f>
        <v>9150</v>
      </c>
      <c r="G895" s="708">
        <v>0</v>
      </c>
      <c r="H895" s="252">
        <f t="shared" si="69"/>
        <v>9150</v>
      </c>
      <c r="I895" s="924"/>
    </row>
    <row r="896" spans="1:9" s="818" customFormat="1" ht="12.75" x14ac:dyDescent="0.2">
      <c r="A896" s="1073"/>
      <c r="B896" s="533" t="s">
        <v>2867</v>
      </c>
      <c r="C896" s="822" t="s">
        <v>2868</v>
      </c>
      <c r="D896" s="266" t="s">
        <v>411</v>
      </c>
      <c r="E896" s="704">
        <v>3</v>
      </c>
      <c r="F896" s="256">
        <f>VLOOKUP(B896,'[1]BASE DE DATOS'!$A$5:$E$964,5,FALSE)</f>
        <v>1200</v>
      </c>
      <c r="G896" s="708">
        <v>0</v>
      </c>
      <c r="H896" s="252">
        <f t="shared" si="69"/>
        <v>3600</v>
      </c>
      <c r="I896" s="924"/>
    </row>
    <row r="897" spans="1:9" s="818" customFormat="1" ht="12.75" x14ac:dyDescent="0.2">
      <c r="A897" s="1073"/>
      <c r="B897" s="533" t="s">
        <v>1803</v>
      </c>
      <c r="C897" s="822" t="s">
        <v>2135</v>
      </c>
      <c r="D897" s="266" t="s">
        <v>411</v>
      </c>
      <c r="E897" s="704">
        <v>1</v>
      </c>
      <c r="F897" s="256">
        <f>VLOOKUP(B897,'[1]BASE DE DATOS'!$A$5:$E$964,5,FALSE)</f>
        <v>2800</v>
      </c>
      <c r="G897" s="708">
        <v>0</v>
      </c>
      <c r="H897" s="252">
        <f t="shared" si="69"/>
        <v>2800</v>
      </c>
      <c r="I897" s="924"/>
    </row>
    <row r="898" spans="1:9" s="818" customFormat="1" ht="12.75" x14ac:dyDescent="0.2">
      <c r="A898" s="1073"/>
      <c r="B898" s="533" t="s">
        <v>3031</v>
      </c>
      <c r="C898" s="822" t="s">
        <v>3032</v>
      </c>
      <c r="D898" s="266" t="s">
        <v>411</v>
      </c>
      <c r="E898" s="704">
        <v>2</v>
      </c>
      <c r="F898" s="256">
        <f>VLOOKUP(B898,'[1]BASE DE DATOS'!$A$5:$E$964,5,FALSE)</f>
        <v>1150</v>
      </c>
      <c r="G898" s="708">
        <v>0</v>
      </c>
      <c r="H898" s="252">
        <f t="shared" si="69"/>
        <v>2300</v>
      </c>
      <c r="I898" s="924"/>
    </row>
    <row r="899" spans="1:9" s="818" customFormat="1" ht="12.75" x14ac:dyDescent="0.2">
      <c r="A899" s="1073"/>
      <c r="B899" s="533" t="s">
        <v>3034</v>
      </c>
      <c r="C899" s="279" t="s">
        <v>3035</v>
      </c>
      <c r="D899" s="266" t="s">
        <v>411</v>
      </c>
      <c r="E899" s="704">
        <v>1</v>
      </c>
      <c r="F899" s="256">
        <f>VLOOKUP(B899,'[1]BASE DE DATOS'!$A$5:$E$964,5,FALSE)</f>
        <v>39900</v>
      </c>
      <c r="G899" s="708">
        <v>0</v>
      </c>
      <c r="H899" s="252">
        <f t="shared" si="69"/>
        <v>39900</v>
      </c>
      <c r="I899" s="924"/>
    </row>
    <row r="900" spans="1:9" s="818" customFormat="1" ht="12.75" x14ac:dyDescent="0.2">
      <c r="A900" s="1073"/>
      <c r="B900" s="533" t="s">
        <v>1853</v>
      </c>
      <c r="C900" s="822" t="s">
        <v>3062</v>
      </c>
      <c r="D900" s="266" t="s">
        <v>405</v>
      </c>
      <c r="E900" s="704">
        <v>6</v>
      </c>
      <c r="F900" s="256">
        <f>VLOOKUP(B900,'[1]BASE DE DATOS'!$A$5:$E$964,5,FALSE)</f>
        <v>9100</v>
      </c>
      <c r="G900" s="708">
        <v>1.03</v>
      </c>
      <c r="H900" s="252">
        <f t="shared" si="69"/>
        <v>56238</v>
      </c>
      <c r="I900" s="924"/>
    </row>
    <row r="901" spans="1:9" s="818" customFormat="1" ht="12.75" x14ac:dyDescent="0.2">
      <c r="A901" s="1073"/>
      <c r="B901" s="533" t="s">
        <v>3094</v>
      </c>
      <c r="C901" s="822" t="s">
        <v>3095</v>
      </c>
      <c r="D901" s="266" t="s">
        <v>411</v>
      </c>
      <c r="E901" s="704">
        <v>4</v>
      </c>
      <c r="F901" s="256">
        <f>VLOOKUP(B901,'[1]BASE DE DATOS'!$A$5:$E$964,5,FALSE)</f>
        <v>1150</v>
      </c>
      <c r="G901" s="708">
        <v>0</v>
      </c>
      <c r="H901" s="252">
        <f t="shared" si="69"/>
        <v>4600</v>
      </c>
      <c r="I901" s="924"/>
    </row>
    <row r="902" spans="1:9" s="818" customFormat="1" ht="12.75" x14ac:dyDescent="0.2">
      <c r="A902" s="280" t="s">
        <v>2555</v>
      </c>
      <c r="B902" s="534" t="s">
        <v>2667</v>
      </c>
      <c r="C902" s="822" t="s">
        <v>2600</v>
      </c>
      <c r="D902" s="266" t="s">
        <v>585</v>
      </c>
      <c r="E902" s="704">
        <v>1</v>
      </c>
      <c r="F902" s="256">
        <f>VLOOKUP(B902,'[1]BASE DE DATOS'!$A$5:$E$964,5,FALSE)</f>
        <v>319246</v>
      </c>
      <c r="G902" s="708">
        <f>1/2.5</f>
        <v>0.4</v>
      </c>
      <c r="H902" s="252">
        <f t="shared" si="69"/>
        <v>127698.40000000001</v>
      </c>
      <c r="I902" s="924"/>
    </row>
    <row r="903" spans="1:9" s="818" customFormat="1" ht="13.5" thickBot="1" x14ac:dyDescent="0.25">
      <c r="A903" s="287" t="s">
        <v>293</v>
      </c>
      <c r="B903" s="535" t="s">
        <v>269</v>
      </c>
      <c r="C903" s="235" t="s">
        <v>284</v>
      </c>
      <c r="D903" s="177" t="s">
        <v>2199</v>
      </c>
      <c r="E903" s="704">
        <v>0.2</v>
      </c>
      <c r="F903" s="251">
        <f>H902</f>
        <v>127698.40000000001</v>
      </c>
      <c r="G903" s="708">
        <v>0</v>
      </c>
      <c r="H903" s="252">
        <f t="shared" si="69"/>
        <v>25539.680000000004</v>
      </c>
      <c r="I903" s="924"/>
    </row>
    <row r="904" spans="1:9" ht="30" x14ac:dyDescent="0.2">
      <c r="A904" s="270" t="s">
        <v>2363</v>
      </c>
      <c r="B904" s="870"/>
      <c r="C904" s="264" t="s">
        <v>2364</v>
      </c>
      <c r="D904" s="265" t="s">
        <v>411</v>
      </c>
      <c r="E904" s="707"/>
      <c r="F904" s="259">
        <f>ROUND(SUM(H904:H918),0)</f>
        <v>586120</v>
      </c>
      <c r="G904" s="711"/>
      <c r="H904" s="250"/>
    </row>
    <row r="905" spans="1:9" s="818" customFormat="1" ht="12.75" x14ac:dyDescent="0.2">
      <c r="A905" s="1072" t="s">
        <v>295</v>
      </c>
      <c r="B905" s="533" t="s">
        <v>1255</v>
      </c>
      <c r="C905" s="822" t="s">
        <v>2574</v>
      </c>
      <c r="D905" s="266" t="s">
        <v>411</v>
      </c>
      <c r="E905" s="704">
        <v>6</v>
      </c>
      <c r="F905" s="256">
        <f>VLOOKUP(B905,'[1]BASE DE DATOS'!$A$5:$E$964,5,FALSE)</f>
        <v>850</v>
      </c>
      <c r="G905" s="708">
        <v>0</v>
      </c>
      <c r="H905" s="252">
        <f t="shared" ref="H905:H918" si="70">IF(G905&gt;0,(G905*F905*E905),(F905*E905))</f>
        <v>5100</v>
      </c>
      <c r="I905" s="924"/>
    </row>
    <row r="906" spans="1:9" s="818" customFormat="1" ht="12.75" x14ac:dyDescent="0.2">
      <c r="A906" s="1073"/>
      <c r="B906" s="533" t="s">
        <v>1444</v>
      </c>
      <c r="C906" s="822" t="s">
        <v>2816</v>
      </c>
      <c r="D906" s="266" t="s">
        <v>405</v>
      </c>
      <c r="E906" s="704">
        <v>47</v>
      </c>
      <c r="F906" s="256">
        <f>VLOOKUP(B906,'[1]BASE DE DATOS'!$A$5:$E$964,5,FALSE)</f>
        <v>3446</v>
      </c>
      <c r="G906" s="708">
        <v>1.03</v>
      </c>
      <c r="H906" s="252">
        <f t="shared" si="70"/>
        <v>166820.86000000002</v>
      </c>
      <c r="I906" s="924"/>
    </row>
    <row r="907" spans="1:9" s="818" customFormat="1" ht="12.75" x14ac:dyDescent="0.2">
      <c r="A907" s="1073"/>
      <c r="B907" s="533" t="s">
        <v>2846</v>
      </c>
      <c r="C907" s="822" t="s">
        <v>2847</v>
      </c>
      <c r="D907" s="266" t="s">
        <v>411</v>
      </c>
      <c r="E907" s="704">
        <v>0.6</v>
      </c>
      <c r="F907" s="256">
        <f>VLOOKUP(B907,'[1]BASE DE DATOS'!$A$5:$E$964,5,FALSE)</f>
        <v>19300</v>
      </c>
      <c r="G907" s="708">
        <v>0</v>
      </c>
      <c r="H907" s="252">
        <f t="shared" si="70"/>
        <v>11580</v>
      </c>
      <c r="I907" s="924"/>
    </row>
    <row r="908" spans="1:9" s="818" customFormat="1" ht="12.75" x14ac:dyDescent="0.2">
      <c r="A908" s="1073"/>
      <c r="B908" s="533" t="s">
        <v>1572</v>
      </c>
      <c r="C908" s="822" t="s">
        <v>2848</v>
      </c>
      <c r="D908" s="266" t="s">
        <v>411</v>
      </c>
      <c r="E908" s="704">
        <v>0.7</v>
      </c>
      <c r="F908" s="256">
        <f>VLOOKUP(B908,'[1]BASE DE DATOS'!$A$5:$E$964,5,FALSE)</f>
        <v>19300</v>
      </c>
      <c r="G908" s="708">
        <v>0</v>
      </c>
      <c r="H908" s="252">
        <f t="shared" si="70"/>
        <v>13510</v>
      </c>
      <c r="I908" s="924"/>
    </row>
    <row r="909" spans="1:9" s="818" customFormat="1" ht="12.75" x14ac:dyDescent="0.2">
      <c r="A909" s="1073"/>
      <c r="B909" s="533" t="s">
        <v>1641</v>
      </c>
      <c r="C909" s="823" t="s">
        <v>3167</v>
      </c>
      <c r="D909" s="273" t="s">
        <v>405</v>
      </c>
      <c r="E909" s="704">
        <v>1</v>
      </c>
      <c r="F909" s="256">
        <f>VLOOKUP(B909,'[1]BASE DE DATOS'!$A$5:$E$964,5,FALSE)</f>
        <v>7900</v>
      </c>
      <c r="G909" s="708">
        <v>1.03</v>
      </c>
      <c r="H909" s="252">
        <f t="shared" si="70"/>
        <v>8137</v>
      </c>
      <c r="I909" s="924"/>
    </row>
    <row r="910" spans="1:9" s="818" customFormat="1" ht="12.75" x14ac:dyDescent="0.2">
      <c r="A910" s="1073"/>
      <c r="B910" s="533" t="s">
        <v>1700</v>
      </c>
      <c r="C910" s="822" t="s">
        <v>2866</v>
      </c>
      <c r="D910" s="266" t="s">
        <v>411</v>
      </c>
      <c r="E910" s="704">
        <v>1</v>
      </c>
      <c r="F910" s="256">
        <f>VLOOKUP(B910,'[1]BASE DE DATOS'!$A$5:$E$964,5,FALSE)</f>
        <v>9150</v>
      </c>
      <c r="G910" s="708">
        <v>0</v>
      </c>
      <c r="H910" s="252">
        <f t="shared" si="70"/>
        <v>9150</v>
      </c>
      <c r="I910" s="924"/>
    </row>
    <row r="911" spans="1:9" s="818" customFormat="1" ht="12.75" x14ac:dyDescent="0.2">
      <c r="A911" s="1073"/>
      <c r="B911" s="533" t="s">
        <v>2867</v>
      </c>
      <c r="C911" s="822" t="s">
        <v>2868</v>
      </c>
      <c r="D911" s="266" t="s">
        <v>411</v>
      </c>
      <c r="E911" s="704">
        <v>3</v>
      </c>
      <c r="F911" s="256">
        <f>VLOOKUP(B911,'[1]BASE DE DATOS'!$A$5:$E$964,5,FALSE)</f>
        <v>1200</v>
      </c>
      <c r="G911" s="708">
        <v>0</v>
      </c>
      <c r="H911" s="252">
        <f t="shared" si="70"/>
        <v>3600</v>
      </c>
      <c r="I911" s="924"/>
    </row>
    <row r="912" spans="1:9" s="818" customFormat="1" ht="12.75" x14ac:dyDescent="0.2">
      <c r="A912" s="1073"/>
      <c r="B912" s="533" t="s">
        <v>1803</v>
      </c>
      <c r="C912" s="822" t="s">
        <v>2135</v>
      </c>
      <c r="D912" s="266" t="s">
        <v>411</v>
      </c>
      <c r="E912" s="704">
        <v>4</v>
      </c>
      <c r="F912" s="256">
        <f>VLOOKUP(B912,'[1]BASE DE DATOS'!$A$5:$E$964,5,FALSE)</f>
        <v>2800</v>
      </c>
      <c r="G912" s="708">
        <v>0</v>
      </c>
      <c r="H912" s="252">
        <f t="shared" si="70"/>
        <v>11200</v>
      </c>
      <c r="I912" s="924"/>
    </row>
    <row r="913" spans="1:9" s="818" customFormat="1" ht="12.75" x14ac:dyDescent="0.2">
      <c r="A913" s="1073"/>
      <c r="B913" s="533" t="s">
        <v>3031</v>
      </c>
      <c r="C913" s="822" t="s">
        <v>3032</v>
      </c>
      <c r="D913" s="266" t="s">
        <v>411</v>
      </c>
      <c r="E913" s="704">
        <v>2</v>
      </c>
      <c r="F913" s="256">
        <f>VLOOKUP(B913,'[1]BASE DE DATOS'!$A$5:$E$964,5,FALSE)</f>
        <v>1150</v>
      </c>
      <c r="G913" s="708">
        <v>0</v>
      </c>
      <c r="H913" s="252">
        <f t="shared" si="70"/>
        <v>2300</v>
      </c>
      <c r="I913" s="924"/>
    </row>
    <row r="914" spans="1:9" s="818" customFormat="1" ht="12.75" x14ac:dyDescent="0.2">
      <c r="A914" s="1073"/>
      <c r="B914" s="533" t="s">
        <v>3037</v>
      </c>
      <c r="C914" s="822" t="s">
        <v>3038</v>
      </c>
      <c r="D914" s="266" t="s">
        <v>411</v>
      </c>
      <c r="E914" s="704">
        <v>1</v>
      </c>
      <c r="F914" s="256">
        <f>VLOOKUP(B914,'[1]BASE DE DATOS'!$A$5:$E$964,5,FALSE)</f>
        <v>13000</v>
      </c>
      <c r="G914" s="708">
        <v>0</v>
      </c>
      <c r="H914" s="252">
        <f t="shared" si="70"/>
        <v>13000</v>
      </c>
      <c r="I914" s="924"/>
    </row>
    <row r="915" spans="1:9" s="818" customFormat="1" ht="12.75" x14ac:dyDescent="0.2">
      <c r="A915" s="1073"/>
      <c r="B915" s="533" t="s">
        <v>1853</v>
      </c>
      <c r="C915" s="822" t="s">
        <v>3062</v>
      </c>
      <c r="D915" s="266" t="s">
        <v>405</v>
      </c>
      <c r="E915" s="704">
        <v>15</v>
      </c>
      <c r="F915" s="256">
        <f>VLOOKUP(B915,'[1]BASE DE DATOS'!$A$5:$E$964,5,FALSE)</f>
        <v>9100</v>
      </c>
      <c r="G915" s="708">
        <v>1.03</v>
      </c>
      <c r="H915" s="252">
        <f t="shared" si="70"/>
        <v>140595</v>
      </c>
      <c r="I915" s="924"/>
    </row>
    <row r="916" spans="1:9" s="818" customFormat="1" ht="12.75" x14ac:dyDescent="0.2">
      <c r="A916" s="1073"/>
      <c r="B916" s="533" t="s">
        <v>3094</v>
      </c>
      <c r="C916" s="822" t="s">
        <v>3095</v>
      </c>
      <c r="D916" s="266" t="s">
        <v>411</v>
      </c>
      <c r="E916" s="704">
        <v>8.33</v>
      </c>
      <c r="F916" s="256">
        <f>VLOOKUP(B916,'[1]BASE DE DATOS'!$A$5:$E$964,5,FALSE)</f>
        <v>1150</v>
      </c>
      <c r="G916" s="708">
        <v>0</v>
      </c>
      <c r="H916" s="252">
        <f t="shared" si="70"/>
        <v>9579.5</v>
      </c>
      <c r="I916" s="924"/>
    </row>
    <row r="917" spans="1:9" s="818" customFormat="1" ht="12.75" x14ac:dyDescent="0.2">
      <c r="A917" s="280" t="s">
        <v>2555</v>
      </c>
      <c r="B917" s="534" t="s">
        <v>2667</v>
      </c>
      <c r="C917" s="822" t="s">
        <v>2600</v>
      </c>
      <c r="D917" s="266" t="s">
        <v>585</v>
      </c>
      <c r="E917" s="704">
        <v>1</v>
      </c>
      <c r="F917" s="256">
        <f>VLOOKUP(B917,'[1]BASE DE DATOS'!$A$5:$E$964,5,FALSE)</f>
        <v>319246</v>
      </c>
      <c r="G917" s="708">
        <f>1/2</f>
        <v>0.5</v>
      </c>
      <c r="H917" s="252">
        <f t="shared" si="70"/>
        <v>159623</v>
      </c>
      <c r="I917" s="924"/>
    </row>
    <row r="918" spans="1:9" s="818" customFormat="1" ht="13.5" thickBot="1" x14ac:dyDescent="0.25">
      <c r="A918" s="287" t="s">
        <v>293</v>
      </c>
      <c r="B918" s="535" t="s">
        <v>269</v>
      </c>
      <c r="C918" s="235" t="s">
        <v>284</v>
      </c>
      <c r="D918" s="177" t="s">
        <v>2199</v>
      </c>
      <c r="E918" s="704">
        <v>0.2</v>
      </c>
      <c r="F918" s="251">
        <f>H917</f>
        <v>159623</v>
      </c>
      <c r="G918" s="708">
        <v>0</v>
      </c>
      <c r="H918" s="252">
        <f t="shared" si="70"/>
        <v>31924.600000000002</v>
      </c>
      <c r="I918" s="924"/>
    </row>
    <row r="919" spans="1:9" ht="30" x14ac:dyDescent="0.2">
      <c r="A919" s="292" t="s">
        <v>2366</v>
      </c>
      <c r="B919" s="871"/>
      <c r="C919" s="264" t="s">
        <v>2365</v>
      </c>
      <c r="D919" s="265" t="s">
        <v>411</v>
      </c>
      <c r="E919" s="707"/>
      <c r="F919" s="259">
        <f>ROUND(SUM(H919:H933),0)</f>
        <v>394021</v>
      </c>
      <c r="G919" s="711"/>
      <c r="H919" s="250"/>
    </row>
    <row r="920" spans="1:9" s="818" customFormat="1" ht="12.75" x14ac:dyDescent="0.2">
      <c r="A920" s="1072" t="s">
        <v>295</v>
      </c>
      <c r="B920" s="533" t="s">
        <v>1255</v>
      </c>
      <c r="C920" s="822" t="s">
        <v>2574</v>
      </c>
      <c r="D920" s="266" t="s">
        <v>411</v>
      </c>
      <c r="E920" s="704">
        <v>4</v>
      </c>
      <c r="F920" s="256">
        <f>VLOOKUP(B920,'[1]BASE DE DATOS'!$A$5:$E$964,5,FALSE)</f>
        <v>850</v>
      </c>
      <c r="G920" s="708">
        <v>0</v>
      </c>
      <c r="H920" s="252">
        <f t="shared" ref="H920:H933" si="71">IF(G920&gt;0,(G920*F920*E920),(F920*E920))</f>
        <v>3400</v>
      </c>
      <c r="I920" s="924"/>
    </row>
    <row r="921" spans="1:9" s="818" customFormat="1" ht="12.75" x14ac:dyDescent="0.2">
      <c r="A921" s="1073"/>
      <c r="B921" s="533" t="s">
        <v>1444</v>
      </c>
      <c r="C921" s="822" t="s">
        <v>2816</v>
      </c>
      <c r="D921" s="266" t="s">
        <v>405</v>
      </c>
      <c r="E921" s="704">
        <v>28</v>
      </c>
      <c r="F921" s="256">
        <f>VLOOKUP(B921,'[1]BASE DE DATOS'!$A$5:$E$964,5,FALSE)</f>
        <v>3446</v>
      </c>
      <c r="G921" s="708">
        <v>1.03</v>
      </c>
      <c r="H921" s="252">
        <f t="shared" si="71"/>
        <v>99382.64</v>
      </c>
      <c r="I921" s="924"/>
    </row>
    <row r="922" spans="1:9" s="818" customFormat="1" ht="12.75" x14ac:dyDescent="0.2">
      <c r="A922" s="1073"/>
      <c r="B922" s="533" t="s">
        <v>2846</v>
      </c>
      <c r="C922" s="822" t="s">
        <v>2847</v>
      </c>
      <c r="D922" s="266" t="s">
        <v>411</v>
      </c>
      <c r="E922" s="704">
        <v>0.3</v>
      </c>
      <c r="F922" s="256">
        <f>VLOOKUP(B922,'[1]BASE DE DATOS'!$A$5:$E$964,5,FALSE)</f>
        <v>19300</v>
      </c>
      <c r="G922" s="708">
        <v>0</v>
      </c>
      <c r="H922" s="252">
        <f t="shared" si="71"/>
        <v>5790</v>
      </c>
      <c r="I922" s="924"/>
    </row>
    <row r="923" spans="1:9" s="818" customFormat="1" ht="12.75" x14ac:dyDescent="0.2">
      <c r="A923" s="1073"/>
      <c r="B923" s="533" t="s">
        <v>1572</v>
      </c>
      <c r="C923" s="822" t="s">
        <v>2848</v>
      </c>
      <c r="D923" s="266" t="s">
        <v>411</v>
      </c>
      <c r="E923" s="704">
        <v>0.7</v>
      </c>
      <c r="F923" s="256">
        <f>VLOOKUP(B923,'[1]BASE DE DATOS'!$A$5:$E$964,5,FALSE)</f>
        <v>19300</v>
      </c>
      <c r="G923" s="708">
        <v>0</v>
      </c>
      <c r="H923" s="252">
        <f t="shared" si="71"/>
        <v>13510</v>
      </c>
      <c r="I923" s="924"/>
    </row>
    <row r="924" spans="1:9" s="818" customFormat="1" ht="12.75" x14ac:dyDescent="0.2">
      <c r="A924" s="1073"/>
      <c r="B924" s="533" t="s">
        <v>1641</v>
      </c>
      <c r="C924" s="823" t="s">
        <v>3167</v>
      </c>
      <c r="D924" s="273" t="s">
        <v>405</v>
      </c>
      <c r="E924" s="704">
        <v>0.5</v>
      </c>
      <c r="F924" s="256">
        <f>VLOOKUP(B924,'[1]BASE DE DATOS'!$A$5:$E$964,5,FALSE)</f>
        <v>7900</v>
      </c>
      <c r="G924" s="708">
        <v>1.03</v>
      </c>
      <c r="H924" s="252">
        <f t="shared" si="71"/>
        <v>4068.5</v>
      </c>
      <c r="I924" s="924"/>
    </row>
    <row r="925" spans="1:9" s="818" customFormat="1" ht="12.75" x14ac:dyDescent="0.2">
      <c r="A925" s="1073"/>
      <c r="B925" s="533" t="s">
        <v>1700</v>
      </c>
      <c r="C925" s="822" t="s">
        <v>2866</v>
      </c>
      <c r="D925" s="266" t="s">
        <v>411</v>
      </c>
      <c r="E925" s="704">
        <v>1</v>
      </c>
      <c r="F925" s="256">
        <f>VLOOKUP(B925,'[1]BASE DE DATOS'!$A$5:$E$964,5,FALSE)</f>
        <v>9150</v>
      </c>
      <c r="G925" s="708">
        <v>0</v>
      </c>
      <c r="H925" s="252">
        <f t="shared" si="71"/>
        <v>9150</v>
      </c>
      <c r="I925" s="924"/>
    </row>
    <row r="926" spans="1:9" s="818" customFormat="1" ht="12.75" x14ac:dyDescent="0.2">
      <c r="A926" s="1073"/>
      <c r="B926" s="533" t="s">
        <v>2867</v>
      </c>
      <c r="C926" s="822" t="s">
        <v>2868</v>
      </c>
      <c r="D926" s="266" t="s">
        <v>411</v>
      </c>
      <c r="E926" s="704">
        <v>3</v>
      </c>
      <c r="F926" s="256">
        <f>VLOOKUP(B926,'[1]BASE DE DATOS'!$A$5:$E$964,5,FALSE)</f>
        <v>1200</v>
      </c>
      <c r="G926" s="708">
        <v>0</v>
      </c>
      <c r="H926" s="252">
        <f t="shared" si="71"/>
        <v>3600</v>
      </c>
      <c r="I926" s="924"/>
    </row>
    <row r="927" spans="1:9" s="818" customFormat="1" ht="12.75" x14ac:dyDescent="0.2">
      <c r="A927" s="1073"/>
      <c r="B927" s="533" t="s">
        <v>1803</v>
      </c>
      <c r="C927" s="822" t="s">
        <v>2135</v>
      </c>
      <c r="D927" s="266" t="s">
        <v>411</v>
      </c>
      <c r="E927" s="704">
        <v>1</v>
      </c>
      <c r="F927" s="256">
        <f>VLOOKUP(B927,'[1]BASE DE DATOS'!$A$5:$E$964,5,FALSE)</f>
        <v>2800</v>
      </c>
      <c r="G927" s="708">
        <v>0</v>
      </c>
      <c r="H927" s="252">
        <f t="shared" si="71"/>
        <v>2800</v>
      </c>
      <c r="I927" s="924"/>
    </row>
    <row r="928" spans="1:9" s="818" customFormat="1" ht="12.75" x14ac:dyDescent="0.2">
      <c r="A928" s="1073"/>
      <c r="B928" s="533" t="s">
        <v>3031</v>
      </c>
      <c r="C928" s="822" t="s">
        <v>3032</v>
      </c>
      <c r="D928" s="266" t="s">
        <v>411</v>
      </c>
      <c r="E928" s="704">
        <v>2</v>
      </c>
      <c r="F928" s="256">
        <f>VLOOKUP(B928,'[1]BASE DE DATOS'!$A$5:$E$964,5,FALSE)</f>
        <v>1150</v>
      </c>
      <c r="G928" s="708">
        <v>0</v>
      </c>
      <c r="H928" s="252">
        <f t="shared" si="71"/>
        <v>2300</v>
      </c>
      <c r="I928" s="924"/>
    </row>
    <row r="929" spans="1:9" s="818" customFormat="1" ht="12.75" x14ac:dyDescent="0.2">
      <c r="A929" s="1073"/>
      <c r="B929" s="533" t="s">
        <v>3039</v>
      </c>
      <c r="C929" s="279" t="s">
        <v>3898</v>
      </c>
      <c r="D929" s="266" t="s">
        <v>411</v>
      </c>
      <c r="E929" s="704">
        <v>1</v>
      </c>
      <c r="F929" s="256">
        <f>VLOOKUP(B929,'[1]BASE DE DATOS'!$A$5:$E$964,5,FALSE)</f>
        <v>6100</v>
      </c>
      <c r="G929" s="708">
        <v>0</v>
      </c>
      <c r="H929" s="252">
        <f t="shared" si="71"/>
        <v>6100</v>
      </c>
      <c r="I929" s="924"/>
    </row>
    <row r="930" spans="1:9" s="818" customFormat="1" ht="12.75" x14ac:dyDescent="0.2">
      <c r="A930" s="1073"/>
      <c r="B930" s="533" t="s">
        <v>1853</v>
      </c>
      <c r="C930" s="822" t="s">
        <v>3062</v>
      </c>
      <c r="D930" s="266" t="s">
        <v>405</v>
      </c>
      <c r="E930" s="704">
        <v>9</v>
      </c>
      <c r="F930" s="256">
        <f>VLOOKUP(B930,'[1]BASE DE DATOS'!$A$5:$E$964,5,FALSE)</f>
        <v>9100</v>
      </c>
      <c r="G930" s="708">
        <v>1.03</v>
      </c>
      <c r="H930" s="252">
        <f t="shared" si="71"/>
        <v>84357</v>
      </c>
      <c r="I930" s="924"/>
    </row>
    <row r="931" spans="1:9" s="818" customFormat="1" ht="12.75" x14ac:dyDescent="0.2">
      <c r="A931" s="1073"/>
      <c r="B931" s="533" t="s">
        <v>3094</v>
      </c>
      <c r="C931" s="822" t="s">
        <v>3095</v>
      </c>
      <c r="D931" s="266" t="s">
        <v>411</v>
      </c>
      <c r="E931" s="704">
        <v>5.5</v>
      </c>
      <c r="F931" s="256">
        <f>VLOOKUP(B931,'[1]BASE DE DATOS'!$A$5:$E$964,5,FALSE)</f>
        <v>1150</v>
      </c>
      <c r="G931" s="708">
        <v>0</v>
      </c>
      <c r="H931" s="252">
        <f t="shared" si="71"/>
        <v>6325</v>
      </c>
      <c r="I931" s="924"/>
    </row>
    <row r="932" spans="1:9" s="818" customFormat="1" ht="12.75" x14ac:dyDescent="0.2">
      <c r="A932" s="280" t="s">
        <v>2555</v>
      </c>
      <c r="B932" s="534" t="s">
        <v>2667</v>
      </c>
      <c r="C932" s="822" t="s">
        <v>2600</v>
      </c>
      <c r="D932" s="266" t="s">
        <v>585</v>
      </c>
      <c r="E932" s="704">
        <v>1</v>
      </c>
      <c r="F932" s="256">
        <f>VLOOKUP(B932,'[1]BASE DE DATOS'!$A$5:$E$964,5,FALSE)</f>
        <v>319246</v>
      </c>
      <c r="G932" s="708">
        <f>1/2.5</f>
        <v>0.4</v>
      </c>
      <c r="H932" s="252">
        <f t="shared" si="71"/>
        <v>127698.40000000001</v>
      </c>
      <c r="I932" s="924"/>
    </row>
    <row r="933" spans="1:9" s="818" customFormat="1" ht="13.5" thickBot="1" x14ac:dyDescent="0.25">
      <c r="A933" s="287" t="s">
        <v>293</v>
      </c>
      <c r="B933" s="535" t="s">
        <v>269</v>
      </c>
      <c r="C933" s="235" t="s">
        <v>284</v>
      </c>
      <c r="D933" s="177" t="s">
        <v>2199</v>
      </c>
      <c r="E933" s="704">
        <v>0.2</v>
      </c>
      <c r="F933" s="251">
        <f>H932</f>
        <v>127698.40000000001</v>
      </c>
      <c r="G933" s="708">
        <v>0</v>
      </c>
      <c r="H933" s="252">
        <f t="shared" si="71"/>
        <v>25539.680000000004</v>
      </c>
      <c r="I933" s="924"/>
    </row>
    <row r="934" spans="1:9" ht="45" x14ac:dyDescent="0.2">
      <c r="A934" s="292" t="s">
        <v>2367</v>
      </c>
      <c r="B934" s="868"/>
      <c r="C934" s="264" t="s">
        <v>2454</v>
      </c>
      <c r="D934" s="265" t="s">
        <v>411</v>
      </c>
      <c r="E934" s="707"/>
      <c r="F934" s="259">
        <f>ROUND(SUM(H934:H948),0)</f>
        <v>303976</v>
      </c>
      <c r="G934" s="711"/>
      <c r="H934" s="250"/>
    </row>
    <row r="935" spans="1:9" s="818" customFormat="1" ht="12.75" x14ac:dyDescent="0.2">
      <c r="A935" s="1072" t="s">
        <v>295</v>
      </c>
      <c r="B935" s="533" t="s">
        <v>1255</v>
      </c>
      <c r="C935" s="822" t="s">
        <v>2574</v>
      </c>
      <c r="D935" s="266" t="s">
        <v>411</v>
      </c>
      <c r="E935" s="704">
        <v>4</v>
      </c>
      <c r="F935" s="256">
        <f>VLOOKUP(B935,'[1]BASE DE DATOS'!$A$5:$E$964,5,FALSE)</f>
        <v>850</v>
      </c>
      <c r="G935" s="708">
        <v>0</v>
      </c>
      <c r="H935" s="252">
        <f t="shared" ref="H935:H963" si="72">IF(G935&gt;0,(G935*F935*E935),(F935*E935))</f>
        <v>3400</v>
      </c>
      <c r="I935" s="924"/>
    </row>
    <row r="936" spans="1:9" s="818" customFormat="1" ht="12.75" x14ac:dyDescent="0.2">
      <c r="A936" s="1073"/>
      <c r="B936" s="533" t="s">
        <v>1444</v>
      </c>
      <c r="C936" s="822" t="s">
        <v>2816</v>
      </c>
      <c r="D936" s="266" t="s">
        <v>405</v>
      </c>
      <c r="E936" s="704">
        <v>15</v>
      </c>
      <c r="F936" s="256">
        <f>VLOOKUP(B936,'[1]BASE DE DATOS'!$A$5:$E$964,5,FALSE)</f>
        <v>3446</v>
      </c>
      <c r="G936" s="708">
        <v>1.03</v>
      </c>
      <c r="H936" s="252">
        <f t="shared" si="72"/>
        <v>53240.700000000004</v>
      </c>
      <c r="I936" s="924"/>
    </row>
    <row r="937" spans="1:9" s="818" customFormat="1" ht="12.75" x14ac:dyDescent="0.2">
      <c r="A937" s="1073"/>
      <c r="B937" s="533" t="s">
        <v>2846</v>
      </c>
      <c r="C937" s="822" t="s">
        <v>2847</v>
      </c>
      <c r="D937" s="266" t="s">
        <v>411</v>
      </c>
      <c r="E937" s="704">
        <v>0.3</v>
      </c>
      <c r="F937" s="256">
        <f>VLOOKUP(B937,'[1]BASE DE DATOS'!$A$5:$E$964,5,FALSE)</f>
        <v>19300</v>
      </c>
      <c r="G937" s="708">
        <v>0</v>
      </c>
      <c r="H937" s="252">
        <f t="shared" si="72"/>
        <v>5790</v>
      </c>
      <c r="I937" s="924"/>
    </row>
    <row r="938" spans="1:9" s="818" customFormat="1" ht="12.75" x14ac:dyDescent="0.2">
      <c r="A938" s="1073"/>
      <c r="B938" s="533" t="s">
        <v>1572</v>
      </c>
      <c r="C938" s="822" t="s">
        <v>2848</v>
      </c>
      <c r="D938" s="266" t="s">
        <v>411</v>
      </c>
      <c r="E938" s="704">
        <v>0.7</v>
      </c>
      <c r="F938" s="256">
        <f>VLOOKUP(B938,'[1]BASE DE DATOS'!$A$5:$E$964,5,FALSE)</f>
        <v>19300</v>
      </c>
      <c r="G938" s="708">
        <v>0</v>
      </c>
      <c r="H938" s="252">
        <f t="shared" si="72"/>
        <v>13510</v>
      </c>
      <c r="I938" s="924"/>
    </row>
    <row r="939" spans="1:9" s="818" customFormat="1" ht="12.75" x14ac:dyDescent="0.2">
      <c r="A939" s="1073"/>
      <c r="B939" s="533" t="s">
        <v>1641</v>
      </c>
      <c r="C939" s="823" t="s">
        <v>3167</v>
      </c>
      <c r="D939" s="273" t="s">
        <v>405</v>
      </c>
      <c r="E939" s="704">
        <v>0.5</v>
      </c>
      <c r="F939" s="256">
        <f>VLOOKUP(B939,'[1]BASE DE DATOS'!$A$5:$E$964,5,FALSE)</f>
        <v>7900</v>
      </c>
      <c r="G939" s="708">
        <v>1.03</v>
      </c>
      <c r="H939" s="252">
        <f t="shared" si="72"/>
        <v>4068.5</v>
      </c>
      <c r="I939" s="924"/>
    </row>
    <row r="940" spans="1:9" s="818" customFormat="1" ht="12.75" x14ac:dyDescent="0.2">
      <c r="A940" s="1073"/>
      <c r="B940" s="533" t="s">
        <v>1700</v>
      </c>
      <c r="C940" s="822" t="s">
        <v>2866</v>
      </c>
      <c r="D940" s="266" t="s">
        <v>411</v>
      </c>
      <c r="E940" s="704">
        <v>1</v>
      </c>
      <c r="F940" s="256">
        <f>VLOOKUP(B940,'[1]BASE DE DATOS'!$A$5:$E$964,5,FALSE)</f>
        <v>9150</v>
      </c>
      <c r="G940" s="708">
        <v>0</v>
      </c>
      <c r="H940" s="252">
        <f t="shared" si="72"/>
        <v>9150</v>
      </c>
      <c r="I940" s="924"/>
    </row>
    <row r="941" spans="1:9" s="818" customFormat="1" ht="12.75" x14ac:dyDescent="0.2">
      <c r="A941" s="1073"/>
      <c r="B941" s="533" t="s">
        <v>2867</v>
      </c>
      <c r="C941" s="822" t="s">
        <v>2868</v>
      </c>
      <c r="D941" s="266" t="s">
        <v>411</v>
      </c>
      <c r="E941" s="704">
        <v>3</v>
      </c>
      <c r="F941" s="256">
        <f>VLOOKUP(B941,'[1]BASE DE DATOS'!$A$5:$E$964,5,FALSE)</f>
        <v>1200</v>
      </c>
      <c r="G941" s="708">
        <v>0</v>
      </c>
      <c r="H941" s="252">
        <f t="shared" si="72"/>
        <v>3600</v>
      </c>
      <c r="I941" s="924"/>
    </row>
    <row r="942" spans="1:9" s="818" customFormat="1" ht="12.75" x14ac:dyDescent="0.2">
      <c r="A942" s="1073"/>
      <c r="B942" s="533" t="s">
        <v>1803</v>
      </c>
      <c r="C942" s="822" t="s">
        <v>2135</v>
      </c>
      <c r="D942" s="266" t="s">
        <v>411</v>
      </c>
      <c r="E942" s="704">
        <v>1</v>
      </c>
      <c r="F942" s="256">
        <f>VLOOKUP(B942,'[1]BASE DE DATOS'!$A$5:$E$964,5,FALSE)</f>
        <v>2800</v>
      </c>
      <c r="G942" s="708">
        <v>0</v>
      </c>
      <c r="H942" s="252">
        <f t="shared" si="72"/>
        <v>2800</v>
      </c>
      <c r="I942" s="924"/>
    </row>
    <row r="943" spans="1:9" s="818" customFormat="1" ht="12.75" x14ac:dyDescent="0.2">
      <c r="A943" s="1073"/>
      <c r="B943" s="533" t="s">
        <v>3031</v>
      </c>
      <c r="C943" s="822" t="s">
        <v>3032</v>
      </c>
      <c r="D943" s="266" t="s">
        <v>411</v>
      </c>
      <c r="E943" s="704">
        <v>2</v>
      </c>
      <c r="F943" s="256">
        <f>VLOOKUP(B943,'[1]BASE DE DATOS'!$A$5:$E$964,5,FALSE)</f>
        <v>1150</v>
      </c>
      <c r="G943" s="708">
        <v>0</v>
      </c>
      <c r="H943" s="252">
        <f t="shared" si="72"/>
        <v>2300</v>
      </c>
      <c r="I943" s="924"/>
    </row>
    <row r="944" spans="1:9" s="818" customFormat="1" ht="12.75" x14ac:dyDescent="0.2">
      <c r="A944" s="1073"/>
      <c r="B944" s="533" t="s">
        <v>3039</v>
      </c>
      <c r="C944" s="279" t="s">
        <v>3898</v>
      </c>
      <c r="D944" s="266" t="s">
        <v>411</v>
      </c>
      <c r="E944" s="704">
        <v>1</v>
      </c>
      <c r="F944" s="256">
        <f>VLOOKUP(B944,'[1]BASE DE DATOS'!$A$5:$E$964,5,FALSE)</f>
        <v>6100</v>
      </c>
      <c r="G944" s="708">
        <v>0</v>
      </c>
      <c r="H944" s="252">
        <f t="shared" si="72"/>
        <v>6100</v>
      </c>
      <c r="I944" s="924"/>
    </row>
    <row r="945" spans="1:9" s="818" customFormat="1" ht="12.75" x14ac:dyDescent="0.2">
      <c r="A945" s="1073"/>
      <c r="B945" s="533" t="s">
        <v>1853</v>
      </c>
      <c r="C945" s="822" t="s">
        <v>3062</v>
      </c>
      <c r="D945" s="266" t="s">
        <v>405</v>
      </c>
      <c r="E945" s="704">
        <v>4.5</v>
      </c>
      <c r="F945" s="256">
        <f>VLOOKUP(B945,'[1]BASE DE DATOS'!$A$5:$E$964,5,FALSE)</f>
        <v>9100</v>
      </c>
      <c r="G945" s="708">
        <v>1.03</v>
      </c>
      <c r="H945" s="252">
        <f t="shared" si="72"/>
        <v>42178.5</v>
      </c>
      <c r="I945" s="924"/>
    </row>
    <row r="946" spans="1:9" s="818" customFormat="1" ht="12.75" x14ac:dyDescent="0.2">
      <c r="A946" s="1073"/>
      <c r="B946" s="533" t="s">
        <v>3094</v>
      </c>
      <c r="C946" s="822" t="s">
        <v>3095</v>
      </c>
      <c r="D946" s="266" t="s">
        <v>411</v>
      </c>
      <c r="E946" s="704">
        <v>4</v>
      </c>
      <c r="F946" s="256">
        <f>VLOOKUP(B946,'[1]BASE DE DATOS'!$A$5:$E$964,5,FALSE)</f>
        <v>1150</v>
      </c>
      <c r="G946" s="708">
        <v>0</v>
      </c>
      <c r="H946" s="252">
        <f t="shared" si="72"/>
        <v>4600</v>
      </c>
      <c r="I946" s="924"/>
    </row>
    <row r="947" spans="1:9" s="818" customFormat="1" ht="12.75" x14ac:dyDescent="0.2">
      <c r="A947" s="280" t="s">
        <v>2555</v>
      </c>
      <c r="B947" s="534" t="s">
        <v>2667</v>
      </c>
      <c r="C947" s="822" t="s">
        <v>2600</v>
      </c>
      <c r="D947" s="266" t="s">
        <v>585</v>
      </c>
      <c r="E947" s="704">
        <v>1</v>
      </c>
      <c r="F947" s="256">
        <f>VLOOKUP(B947,'[1]BASE DE DATOS'!$A$5:$E$964,5,FALSE)</f>
        <v>319246</v>
      </c>
      <c r="G947" s="708">
        <f>1/2.5</f>
        <v>0.4</v>
      </c>
      <c r="H947" s="252">
        <f t="shared" si="72"/>
        <v>127698.40000000001</v>
      </c>
      <c r="I947" s="924"/>
    </row>
    <row r="948" spans="1:9" s="818" customFormat="1" ht="13.5" thickBot="1" x14ac:dyDescent="0.25">
      <c r="A948" s="287" t="s">
        <v>293</v>
      </c>
      <c r="B948" s="535" t="s">
        <v>269</v>
      </c>
      <c r="C948" s="235" t="s">
        <v>284</v>
      </c>
      <c r="D948" s="177" t="s">
        <v>2199</v>
      </c>
      <c r="E948" s="704">
        <v>0.2</v>
      </c>
      <c r="F948" s="251">
        <f>H947</f>
        <v>127698.40000000001</v>
      </c>
      <c r="G948" s="708">
        <v>0</v>
      </c>
      <c r="H948" s="252">
        <f t="shared" si="72"/>
        <v>25539.680000000004</v>
      </c>
      <c r="I948" s="924"/>
    </row>
    <row r="949" spans="1:9" ht="45" x14ac:dyDescent="0.2">
      <c r="A949" s="292" t="s">
        <v>2369</v>
      </c>
      <c r="B949" s="868"/>
      <c r="C949" s="264" t="s">
        <v>2368</v>
      </c>
      <c r="D949" s="265" t="s">
        <v>411</v>
      </c>
      <c r="E949" s="707"/>
      <c r="F949" s="259">
        <f>ROUND(SUM(H949:H959),0)</f>
        <v>627793</v>
      </c>
      <c r="G949" s="711"/>
      <c r="H949" s="250"/>
    </row>
    <row r="950" spans="1:9" s="818" customFormat="1" ht="12.75" x14ac:dyDescent="0.2">
      <c r="A950" s="1072" t="s">
        <v>295</v>
      </c>
      <c r="B950" s="533" t="s">
        <v>1542</v>
      </c>
      <c r="C950" s="822" t="s">
        <v>2827</v>
      </c>
      <c r="D950" s="266" t="s">
        <v>405</v>
      </c>
      <c r="E950" s="704">
        <v>2.5</v>
      </c>
      <c r="F950" s="256">
        <f>VLOOKUP(B950,'[1]BASE DE DATOS'!$A$5:$E$964,5,FALSE)</f>
        <v>6950</v>
      </c>
      <c r="G950" s="708">
        <v>1.03</v>
      </c>
      <c r="H950" s="252">
        <f t="shared" si="72"/>
        <v>17896.25</v>
      </c>
      <c r="I950" s="924"/>
    </row>
    <row r="951" spans="1:9" s="818" customFormat="1" ht="12.75" x14ac:dyDescent="0.2">
      <c r="A951" s="1073"/>
      <c r="B951" s="533" t="s">
        <v>1641</v>
      </c>
      <c r="C951" s="823" t="s">
        <v>3167</v>
      </c>
      <c r="D951" s="273" t="s">
        <v>405</v>
      </c>
      <c r="E951" s="704">
        <v>0.5</v>
      </c>
      <c r="F951" s="256">
        <f>VLOOKUP(B951,'[1]BASE DE DATOS'!$A$5:$E$964,5,FALSE)</f>
        <v>7900</v>
      </c>
      <c r="G951" s="708">
        <v>1.03</v>
      </c>
      <c r="H951" s="252">
        <f t="shared" si="72"/>
        <v>4068.5</v>
      </c>
      <c r="I951" s="924"/>
    </row>
    <row r="952" spans="1:9" s="818" customFormat="1" ht="12.75" x14ac:dyDescent="0.2">
      <c r="A952" s="1073"/>
      <c r="B952" s="533" t="s">
        <v>1657</v>
      </c>
      <c r="C952" s="822" t="s">
        <v>2865</v>
      </c>
      <c r="D952" s="266" t="s">
        <v>411</v>
      </c>
      <c r="E952" s="704">
        <v>1</v>
      </c>
      <c r="F952" s="256">
        <f>VLOOKUP(B952,'[1]BASE DE DATOS'!$A$5:$E$964,5,FALSE)</f>
        <v>17948</v>
      </c>
      <c r="G952" s="708">
        <v>0</v>
      </c>
      <c r="H952" s="252">
        <f t="shared" si="72"/>
        <v>17948</v>
      </c>
      <c r="I952" s="924"/>
    </row>
    <row r="953" spans="1:9" s="818" customFormat="1" ht="12.75" x14ac:dyDescent="0.2">
      <c r="A953" s="1073"/>
      <c r="B953" s="533" t="s">
        <v>1700</v>
      </c>
      <c r="C953" s="822" t="s">
        <v>2866</v>
      </c>
      <c r="D953" s="266" t="s">
        <v>411</v>
      </c>
      <c r="E953" s="704">
        <v>1</v>
      </c>
      <c r="F953" s="256">
        <f>VLOOKUP(B953,'[1]BASE DE DATOS'!$A$5:$E$964,5,FALSE)</f>
        <v>9150</v>
      </c>
      <c r="G953" s="708">
        <v>0</v>
      </c>
      <c r="H953" s="252">
        <f t="shared" si="72"/>
        <v>9150</v>
      </c>
      <c r="I953" s="924"/>
    </row>
    <row r="954" spans="1:9" s="818" customFormat="1" ht="12.75" x14ac:dyDescent="0.2">
      <c r="A954" s="1073"/>
      <c r="B954" s="533" t="s">
        <v>3029</v>
      </c>
      <c r="C954" s="822" t="s">
        <v>3030</v>
      </c>
      <c r="D954" s="266" t="s">
        <v>411</v>
      </c>
      <c r="E954" s="704">
        <v>2</v>
      </c>
      <c r="F954" s="256">
        <f>VLOOKUP(B954,'[1]BASE DE DATOS'!$A$5:$E$964,5,FALSE)</f>
        <v>1500</v>
      </c>
      <c r="G954" s="708">
        <v>0</v>
      </c>
      <c r="H954" s="252">
        <f t="shared" si="72"/>
        <v>3000</v>
      </c>
      <c r="I954" s="924"/>
    </row>
    <row r="955" spans="1:9" s="818" customFormat="1" ht="12.75" x14ac:dyDescent="0.2">
      <c r="A955" s="1073"/>
      <c r="B955" s="533" t="s">
        <v>3040</v>
      </c>
      <c r="C955" s="822" t="s">
        <v>3041</v>
      </c>
      <c r="D955" s="266" t="s">
        <v>411</v>
      </c>
      <c r="E955" s="704">
        <v>1</v>
      </c>
      <c r="F955" s="256">
        <f>VLOOKUP(B955,'[1]BASE DE DATOS'!$A$5:$E$964,5,FALSE)</f>
        <v>239900</v>
      </c>
      <c r="G955" s="708">
        <v>0</v>
      </c>
      <c r="H955" s="252">
        <f t="shared" si="72"/>
        <v>239900</v>
      </c>
      <c r="I955" s="924"/>
    </row>
    <row r="956" spans="1:9" s="818" customFormat="1" ht="12.75" x14ac:dyDescent="0.2">
      <c r="A956" s="1073"/>
      <c r="B956" s="533" t="s">
        <v>3056</v>
      </c>
      <c r="C956" s="822" t="s">
        <v>3057</v>
      </c>
      <c r="D956" s="266" t="s">
        <v>405</v>
      </c>
      <c r="E956" s="704">
        <v>2</v>
      </c>
      <c r="F956" s="256">
        <f>VLOOKUP(B956,'[1]BASE DE DATOS'!$A$5:$E$964,5,FALSE)</f>
        <v>13283.333333333334</v>
      </c>
      <c r="G956" s="708">
        <v>1.03</v>
      </c>
      <c r="H956" s="252">
        <f t="shared" si="72"/>
        <v>27363.666666666668</v>
      </c>
      <c r="I956" s="924"/>
    </row>
    <row r="957" spans="1:9" s="818" customFormat="1" ht="12.75" x14ac:dyDescent="0.2">
      <c r="A957" s="1073"/>
      <c r="B957" s="533" t="s">
        <v>3088</v>
      </c>
      <c r="C957" s="822" t="s">
        <v>3089</v>
      </c>
      <c r="D957" s="266" t="s">
        <v>411</v>
      </c>
      <c r="E957" s="704">
        <v>1</v>
      </c>
      <c r="F957" s="256">
        <f>VLOOKUP(B957,'[1]BASE DE DATOS'!$A$5:$E$964,5,FALSE)</f>
        <v>1990</v>
      </c>
      <c r="G957" s="708">
        <v>0</v>
      </c>
      <c r="H957" s="252">
        <f t="shared" si="72"/>
        <v>1990</v>
      </c>
      <c r="I957" s="924"/>
    </row>
    <row r="958" spans="1:9" s="818" customFormat="1" ht="12.75" x14ac:dyDescent="0.2">
      <c r="A958" s="280" t="s">
        <v>2555</v>
      </c>
      <c r="B958" s="534" t="s">
        <v>2667</v>
      </c>
      <c r="C958" s="822" t="s">
        <v>2600</v>
      </c>
      <c r="D958" s="266" t="s">
        <v>585</v>
      </c>
      <c r="E958" s="704">
        <v>1</v>
      </c>
      <c r="F958" s="256">
        <f>VLOOKUP(B958,'[1]BASE DE DATOS'!$A$5:$E$964,5,FALSE)</f>
        <v>319246</v>
      </c>
      <c r="G958" s="708">
        <f>1/1.25</f>
        <v>0.8</v>
      </c>
      <c r="H958" s="252">
        <f t="shared" si="72"/>
        <v>255396.80000000002</v>
      </c>
      <c r="I958" s="924"/>
    </row>
    <row r="959" spans="1:9" s="818" customFormat="1" ht="13.5" thickBot="1" x14ac:dyDescent="0.25">
      <c r="A959" s="287" t="s">
        <v>293</v>
      </c>
      <c r="B959" s="535" t="s">
        <v>269</v>
      </c>
      <c r="C959" s="235" t="s">
        <v>284</v>
      </c>
      <c r="D959" s="177" t="s">
        <v>2199</v>
      </c>
      <c r="E959" s="704">
        <v>0.2</v>
      </c>
      <c r="F959" s="251">
        <f>H958</f>
        <v>255396.80000000002</v>
      </c>
      <c r="G959" s="708">
        <v>0</v>
      </c>
      <c r="H959" s="252">
        <f t="shared" si="72"/>
        <v>51079.360000000008</v>
      </c>
      <c r="I959" s="924"/>
    </row>
    <row r="960" spans="1:9" ht="30" x14ac:dyDescent="0.2">
      <c r="A960" s="292" t="s">
        <v>2371</v>
      </c>
      <c r="B960" s="868"/>
      <c r="C960" s="264" t="s">
        <v>2370</v>
      </c>
      <c r="D960" s="265" t="s">
        <v>405</v>
      </c>
      <c r="E960" s="707"/>
      <c r="F960" s="259">
        <f>ROUND(SUM(H960:H963),0)</f>
        <v>271904</v>
      </c>
      <c r="G960" s="711"/>
      <c r="H960" s="250"/>
    </row>
    <row r="961" spans="1:9" s="818" customFormat="1" ht="12.75" x14ac:dyDescent="0.2">
      <c r="A961" s="801" t="s">
        <v>382</v>
      </c>
      <c r="B961" s="533" t="s">
        <v>1600</v>
      </c>
      <c r="C961" s="827" t="s">
        <v>2857</v>
      </c>
      <c r="D961" s="828" t="s">
        <v>411</v>
      </c>
      <c r="E961" s="829">
        <v>1</v>
      </c>
      <c r="F961" s="256">
        <f>VLOOKUP(B961,'[1]BASE DE DATOS'!$A$5:$E$964,5,FALSE)</f>
        <v>188900</v>
      </c>
      <c r="G961" s="708">
        <v>0</v>
      </c>
      <c r="H961" s="252">
        <f t="shared" si="72"/>
        <v>188900</v>
      </c>
      <c r="I961" s="924"/>
    </row>
    <row r="962" spans="1:9" s="818" customFormat="1" ht="12.75" x14ac:dyDescent="0.2">
      <c r="A962" s="280" t="s">
        <v>2555</v>
      </c>
      <c r="B962" s="534" t="s">
        <v>2667</v>
      </c>
      <c r="C962" s="827" t="s">
        <v>2600</v>
      </c>
      <c r="D962" s="828" t="s">
        <v>585</v>
      </c>
      <c r="E962" s="829">
        <v>1</v>
      </c>
      <c r="F962" s="256">
        <f>VLOOKUP(B962,'[1]BASE DE DATOS'!$A$5:$E$964,5,FALSE)</f>
        <v>319246</v>
      </c>
      <c r="G962" s="708">
        <f>1/5</f>
        <v>0.2</v>
      </c>
      <c r="H962" s="252">
        <f t="shared" si="72"/>
        <v>63849.200000000004</v>
      </c>
      <c r="I962" s="924"/>
    </row>
    <row r="963" spans="1:9" s="818" customFormat="1" ht="13.5" thickBot="1" x14ac:dyDescent="0.25">
      <c r="A963" s="611" t="s">
        <v>293</v>
      </c>
      <c r="B963" s="536" t="s">
        <v>269</v>
      </c>
      <c r="C963" s="612" t="s">
        <v>284</v>
      </c>
      <c r="D963" s="613" t="s">
        <v>2199</v>
      </c>
      <c r="E963" s="724">
        <v>0.3</v>
      </c>
      <c r="F963" s="614">
        <f>H962</f>
        <v>63849.200000000004</v>
      </c>
      <c r="G963" s="723">
        <v>0</v>
      </c>
      <c r="H963" s="479">
        <f t="shared" si="72"/>
        <v>19154.760000000002</v>
      </c>
      <c r="I963" s="924"/>
    </row>
    <row r="964" spans="1:9" s="818" customFormat="1" ht="30" x14ac:dyDescent="0.2">
      <c r="A964" s="294" t="s">
        <v>4201</v>
      </c>
      <c r="B964" s="875"/>
      <c r="C964" s="840" t="s">
        <v>1231</v>
      </c>
      <c r="D964" s="841" t="s">
        <v>411</v>
      </c>
      <c r="E964" s="842"/>
      <c r="F964" s="843">
        <f>ROUND(SUM(H964:H978),0)</f>
        <v>139965</v>
      </c>
      <c r="G964" s="844"/>
      <c r="H964" s="303"/>
      <c r="I964" s="924"/>
    </row>
    <row r="965" spans="1:9" s="818" customFormat="1" ht="14.25" customHeight="1" x14ac:dyDescent="0.2">
      <c r="A965" s="1083" t="s">
        <v>295</v>
      </c>
      <c r="B965" s="537" t="s">
        <v>1862</v>
      </c>
      <c r="C965" s="822" t="str">
        <f>VLOOKUP(B965,'[2]BASE DE DATOS'!$A$5:$E$961,2,FALSE)</f>
        <v>Adaptador terminal conduit PVC ½"</v>
      </c>
      <c r="D965" s="266" t="str">
        <f>VLOOKUP(B965,'[2]BASE DE DATOS'!$A$5:$E$961,3,FALSE)</f>
        <v>Un</v>
      </c>
      <c r="E965" s="160">
        <v>2</v>
      </c>
      <c r="F965" s="256">
        <f>VLOOKUP(B965,'[1]BASE DE DATOS'!$A$5:$E$964,5,FALSE)</f>
        <v>400</v>
      </c>
      <c r="G965" s="161">
        <v>1</v>
      </c>
      <c r="H965" s="252">
        <f>IF(G965&gt;0,(G965*F965*E965),(F965*E965))</f>
        <v>800</v>
      </c>
      <c r="I965" s="924"/>
    </row>
    <row r="966" spans="1:9" s="818" customFormat="1" ht="12.75" x14ac:dyDescent="0.2">
      <c r="A966" s="1083"/>
      <c r="B966" s="537" t="s">
        <v>1860</v>
      </c>
      <c r="C966" s="822" t="str">
        <f>VLOOKUP(B966,'[2]BASE DE DATOS'!$A$5:$E$961,2,FALSE)</f>
        <v>Cable Cu aislado # 12 AWG THHN/THWN</v>
      </c>
      <c r="D966" s="266" t="str">
        <f>VLOOKUP(B966,'[2]BASE DE DATOS'!$A$5:$E$961,3,FALSE)</f>
        <v>M</v>
      </c>
      <c r="E966" s="160">
        <v>18</v>
      </c>
      <c r="F966" s="256">
        <f>VLOOKUP(B966,'[1]BASE DE DATOS'!$A$5:$E$964,5,FALSE)</f>
        <v>2600</v>
      </c>
      <c r="G966" s="161">
        <v>1.05</v>
      </c>
      <c r="H966" s="252">
        <f>IF(G966&gt;0,(G966*F966*E966),(F966*E966))</f>
        <v>49140</v>
      </c>
      <c r="I966" s="924"/>
    </row>
    <row r="967" spans="1:9" s="818" customFormat="1" ht="12.75" x14ac:dyDescent="0.2">
      <c r="A967" s="1083"/>
      <c r="B967" s="537" t="s">
        <v>1861</v>
      </c>
      <c r="C967" s="822" t="str">
        <f>VLOOKUP(B967,'[2]BASE DE DATOS'!$A$5:$E$961,2,FALSE)</f>
        <v>Caja 2 x 4 metálica galvanizada</v>
      </c>
      <c r="D967" s="266" t="str">
        <f>VLOOKUP(B967,'[2]BASE DE DATOS'!$A$5:$E$961,3,FALSE)</f>
        <v>Un</v>
      </c>
      <c r="E967" s="160">
        <v>1</v>
      </c>
      <c r="F967" s="256">
        <f>VLOOKUP(B967,'[1]BASE DE DATOS'!$A$5:$E$964,5,FALSE)</f>
        <v>1890</v>
      </c>
      <c r="G967" s="161">
        <v>1</v>
      </c>
      <c r="H967" s="252">
        <f>IF(G967&gt;0,(G967*F967*E967),(F967*E967))</f>
        <v>1890</v>
      </c>
      <c r="I967" s="924"/>
    </row>
    <row r="968" spans="1:9" s="818" customFormat="1" ht="12.75" x14ac:dyDescent="0.2">
      <c r="A968" s="1083"/>
      <c r="B968" s="537" t="s">
        <v>1342</v>
      </c>
      <c r="C968" s="822" t="str">
        <f>VLOOKUP(B968,'[2]BASE DE DATOS'!$A$5:$E$961,2,FALSE)</f>
        <v xml:space="preserve">Cinta aislante electrica de PVC (19 mm x 20 m) tipo Scotch Super 33 o similar </v>
      </c>
      <c r="D968" s="266" t="str">
        <f>VLOOKUP(B968,'[2]BASE DE DATOS'!$A$5:$E$961,3,FALSE)</f>
        <v>M</v>
      </c>
      <c r="E968" s="160">
        <v>2.8000000000000001E-2</v>
      </c>
      <c r="F968" s="256">
        <f>VLOOKUP(B968,'[1]BASE DE DATOS'!$A$5:$E$964,5,FALSE)</f>
        <v>28050</v>
      </c>
      <c r="G968" s="161">
        <v>5.2999999999999999E-2</v>
      </c>
      <c r="H968" s="252">
        <f>IF(G968&gt;0,(G968*F968*E968),(F968*E968))</f>
        <v>41.626199999999997</v>
      </c>
      <c r="I968" s="924"/>
    </row>
    <row r="969" spans="1:9" s="818" customFormat="1" ht="12.75" x14ac:dyDescent="0.2">
      <c r="A969" s="1083"/>
      <c r="B969" s="537" t="s">
        <v>1859</v>
      </c>
      <c r="C969" s="822" t="str">
        <f>VLOOKUP(B969,'[2]BASE DE DATOS'!$A$5:$E$961,2,FALSE)</f>
        <v>Conector tipo resorte para cable Nº 14/12 (MAT,504)</v>
      </c>
      <c r="D969" s="266" t="str">
        <f>VLOOKUP(B969,'[2]BASE DE DATOS'!$A$5:$E$961,3,FALSE)</f>
        <v>Un</v>
      </c>
      <c r="E969" s="160">
        <v>3</v>
      </c>
      <c r="F969" s="256">
        <f>VLOOKUP(B969,'[1]BASE DE DATOS'!$A$5:$E$964,5,FALSE)</f>
        <v>2350</v>
      </c>
      <c r="G969" s="712">
        <v>1</v>
      </c>
      <c r="H969" s="252">
        <f>IF(G969&gt;0,(G969*F969*E969),(F969*E969))</f>
        <v>7050</v>
      </c>
      <c r="I969" s="924"/>
    </row>
    <row r="970" spans="1:9" s="818" customFormat="1" ht="12.75" x14ac:dyDescent="0.2">
      <c r="A970" s="1083"/>
      <c r="B970" s="537" t="s">
        <v>1805</v>
      </c>
      <c r="C970" s="822" t="str">
        <f>VLOOKUP(B970,'[2]BASE DE DATOS'!$A$5:$E$961,2,FALSE)</f>
        <v>Curva conduit PVC ½"</v>
      </c>
      <c r="D970" s="266" t="str">
        <f>VLOOKUP(B970,'[2]BASE DE DATOS'!$A$5:$E$961,3,FALSE)</f>
        <v>Un</v>
      </c>
      <c r="E970" s="160">
        <v>1</v>
      </c>
      <c r="F970" s="256">
        <f>VLOOKUP(B970,'[1]BASE DE DATOS'!$A$5:$E$964,5,FALSE)</f>
        <v>1100</v>
      </c>
      <c r="G970" s="161">
        <v>1</v>
      </c>
      <c r="H970" s="252">
        <f t="shared" ref="H970" si="73">IF(G970&gt;0,(G970*F970*E970),(F970*E970))</f>
        <v>1100</v>
      </c>
      <c r="I970" s="924"/>
    </row>
    <row r="971" spans="1:9" s="818" customFormat="1" ht="12.75" x14ac:dyDescent="0.2">
      <c r="A971" s="1083"/>
      <c r="B971" s="537" t="s">
        <v>2962</v>
      </c>
      <c r="C971" s="822" t="str">
        <f>VLOOKUP(B971,'[2]BASE DE DATOS'!$A$5:$E$961,2,FALSE)</f>
        <v>Marquilla acrílica 15 x 30 mm</v>
      </c>
      <c r="D971" s="266" t="str">
        <f>VLOOKUP(B971,'[2]BASE DE DATOS'!$A$5:$E$961,3,FALSE)</f>
        <v>Un</v>
      </c>
      <c r="E971" s="160">
        <v>1</v>
      </c>
      <c r="F971" s="256">
        <f>VLOOKUP(B971,'[1]BASE DE DATOS'!$A$5:$E$964,5,FALSE)</f>
        <v>3500</v>
      </c>
      <c r="G971" s="161">
        <v>1</v>
      </c>
      <c r="H971" s="252">
        <f>IF(G971&gt;0,(G971*F971*E971),(F971*E971))</f>
        <v>3500</v>
      </c>
      <c r="I971" s="924"/>
    </row>
    <row r="972" spans="1:9" s="818" customFormat="1" ht="12.75" x14ac:dyDescent="0.2">
      <c r="A972" s="1083"/>
      <c r="B972" s="537" t="s">
        <v>1462</v>
      </c>
      <c r="C972" s="822" t="str">
        <f>VLOOKUP(B972,'[2]BASE DE DATOS'!$A$5:$E$961,2,FALSE)</f>
        <v>Limpiador removedor PVC ¼</v>
      </c>
      <c r="D972" s="266" t="str">
        <f>VLOOKUP(B972,'[2]BASE DE DATOS'!$A$5:$E$961,3,FALSE)</f>
        <v>Un</v>
      </c>
      <c r="E972" s="160">
        <v>0.25</v>
      </c>
      <c r="F972" s="256">
        <f>VLOOKUP(B972,'[1]BASE DE DATOS'!$A$5:$E$964,5,FALSE)</f>
        <v>46900</v>
      </c>
      <c r="G972" s="161">
        <v>0.01</v>
      </c>
      <c r="H972" s="252">
        <f t="shared" ref="H972:H973" si="74">IF(G972&gt;0,(G972*F972*E972),(F972*E972))</f>
        <v>117.25</v>
      </c>
      <c r="I972" s="924"/>
    </row>
    <row r="973" spans="1:9" s="818" customFormat="1" ht="12.75" x14ac:dyDescent="0.2">
      <c r="A973" s="1083"/>
      <c r="B973" s="537" t="s">
        <v>1701</v>
      </c>
      <c r="C973" s="822" t="str">
        <f>VLOOKUP(B973,'[2]BASE DE DATOS'!$A$5:$E$961,2,FALSE)</f>
        <v>Soldadura PVC (¼ galón)</v>
      </c>
      <c r="D973" s="266" t="str">
        <f>VLOOKUP(B973,'[2]BASE DE DATOS'!$A$5:$E$961,3,FALSE)</f>
        <v>Un</v>
      </c>
      <c r="E973" s="160">
        <v>0.7</v>
      </c>
      <c r="F973" s="256">
        <f>VLOOKUP(B973,'[1]BASE DE DATOS'!$A$5:$E$964,5,FALSE)</f>
        <v>80900</v>
      </c>
      <c r="G973" s="161">
        <v>0.01</v>
      </c>
      <c r="H973" s="252">
        <f t="shared" si="74"/>
        <v>566.29999999999995</v>
      </c>
      <c r="I973" s="924"/>
    </row>
    <row r="974" spans="1:9" s="818" customFormat="1" ht="12.75" x14ac:dyDescent="0.2">
      <c r="A974" s="1083"/>
      <c r="B974" s="537" t="s">
        <v>1855</v>
      </c>
      <c r="C974" s="822" t="str">
        <f>VLOOKUP(B974,'[2]BASE DE DATOS'!$A$5:$E$961,2,FALSE)</f>
        <v>Toma corriente doble con polo a tierra, marca Luminex o similar</v>
      </c>
      <c r="D974" s="266" t="str">
        <f>VLOOKUP(B974,'[2]BASE DE DATOS'!$A$5:$E$961,3,FALSE)</f>
        <v>Un</v>
      </c>
      <c r="E974" s="160">
        <v>1</v>
      </c>
      <c r="F974" s="256">
        <f>VLOOKUP(B974,'[1]BASE DE DATOS'!$A$5:$E$964,5,FALSE)</f>
        <v>6150</v>
      </c>
      <c r="G974" s="161">
        <v>1</v>
      </c>
      <c r="H974" s="252">
        <f>IF(G974&gt;0,(G974*F974*E974),(F974*E974))</f>
        <v>6150</v>
      </c>
      <c r="I974" s="924"/>
    </row>
    <row r="975" spans="1:9" s="818" customFormat="1" ht="12.75" x14ac:dyDescent="0.2">
      <c r="A975" s="1083"/>
      <c r="B975" s="537" t="s">
        <v>1863</v>
      </c>
      <c r="C975" s="822" t="str">
        <f>VLOOKUP(B975,'[2]BASE DE DATOS'!$A$5:$E$961,2,FALSE)</f>
        <v>Tubería conduit PVC ½"</v>
      </c>
      <c r="D975" s="266" t="str">
        <f>VLOOKUP(B975,'[2]BASE DE DATOS'!$A$5:$E$961,3,FALSE)</f>
        <v>M</v>
      </c>
      <c r="E975" s="160">
        <v>6</v>
      </c>
      <c r="F975" s="256">
        <f>VLOOKUP(B975,'[1]BASE DE DATOS'!$A$5:$E$964,5,FALSE)</f>
        <v>1283.3333333333333</v>
      </c>
      <c r="G975" s="161">
        <v>1.03</v>
      </c>
      <c r="H975" s="252">
        <f>IF(G975&gt;0,(G975*F975*E975),(F975*E975))</f>
        <v>7931</v>
      </c>
      <c r="I975" s="924"/>
    </row>
    <row r="976" spans="1:9" s="818" customFormat="1" ht="12.75" x14ac:dyDescent="0.2">
      <c r="A976" s="797" t="s">
        <v>3252</v>
      </c>
      <c r="B976" s="537" t="s">
        <v>810</v>
      </c>
      <c r="C976" s="822" t="str">
        <f>VLOOKUP(B976,[2]CONSTRUCCION!$A$5:$H$923,3,FALSE)</f>
        <v xml:space="preserve">Mortero 1:3 (Producción) </v>
      </c>
      <c r="D976" s="266" t="str">
        <f>VLOOKUP(B976,[2]CONSTRUCCION!$A$5:$H$923,4,FALSE)</f>
        <v>M3</v>
      </c>
      <c r="E976" s="160">
        <v>4.0000000000000001E-3</v>
      </c>
      <c r="F976" s="256">
        <f>[1]CONSTRUCCION!F96</f>
        <v>471394</v>
      </c>
      <c r="G976" s="161">
        <v>1.05</v>
      </c>
      <c r="H976" s="252">
        <f t="shared" ref="H976:H978" si="75">IF(G976&gt;0,(G976*F976*E976),(F976*E976))</f>
        <v>1979.8548000000001</v>
      </c>
      <c r="I976" s="924"/>
    </row>
    <row r="977" spans="1:9" s="818" customFormat="1" ht="12.75" x14ac:dyDescent="0.2">
      <c r="A977" s="63" t="s">
        <v>294</v>
      </c>
      <c r="B977" s="537" t="s">
        <v>252</v>
      </c>
      <c r="C977" s="822" t="str">
        <f>VLOOKUP(B977,'[2]BASE DE DATOS'!$A$5:$E$961,2,FALSE)</f>
        <v>Cuadrilla J (1 Of eléctrico + 1 Ay eléctrico) (jornal + prestaciones)</v>
      </c>
      <c r="D977" s="266" t="str">
        <f>VLOOKUP(B977,'[2]BASE DE DATOS'!$A$5:$E$961,3,FALSE)</f>
        <v>Día</v>
      </c>
      <c r="E977" s="161">
        <v>1</v>
      </c>
      <c r="F977" s="256">
        <f>VLOOKUP(B977,'[1]BASE DE DATOS'!$A$5:$E$964,5,FALSE)</f>
        <v>319246</v>
      </c>
      <c r="G977" s="161">
        <f>1/5.8824</f>
        <v>0.16999864001087991</v>
      </c>
      <c r="H977" s="252">
        <f t="shared" si="75"/>
        <v>54271.385828913371</v>
      </c>
      <c r="I977" s="924"/>
    </row>
    <row r="978" spans="1:9" s="818" customFormat="1" ht="13.5" thickBot="1" x14ac:dyDescent="0.25">
      <c r="A978" s="128" t="s">
        <v>293</v>
      </c>
      <c r="B978" s="537" t="s">
        <v>269</v>
      </c>
      <c r="C978" s="822" t="str">
        <f>VLOOKUP(B978,'[2]BASE DE DATOS'!$A$5:$E$961,2,FALSE)</f>
        <v>Herramienta menor (%ManoObra)</v>
      </c>
      <c r="D978" s="266" t="str">
        <f>VLOOKUP(B978,'[2]BASE DE DATOS'!$A$5:$E$961,3,FALSE)</f>
        <v>%MO</v>
      </c>
      <c r="E978" s="160">
        <v>0.1</v>
      </c>
      <c r="F978" s="845">
        <f>+H977</f>
        <v>54271.385828913371</v>
      </c>
      <c r="G978" s="618">
        <v>1</v>
      </c>
      <c r="H978" s="479">
        <f t="shared" si="75"/>
        <v>5427.1385828913371</v>
      </c>
      <c r="I978" s="924"/>
    </row>
    <row r="979" spans="1:9" s="818" customFormat="1" ht="30" x14ac:dyDescent="0.2">
      <c r="A979" s="294" t="s">
        <v>4200</v>
      </c>
      <c r="B979" s="876"/>
      <c r="C979" s="300" t="s">
        <v>1232</v>
      </c>
      <c r="D979" s="301" t="s">
        <v>411</v>
      </c>
      <c r="E979" s="302"/>
      <c r="F979" s="259">
        <f>ROUND(SUM(H979:H991),0)</f>
        <v>232037</v>
      </c>
      <c r="G979" s="713"/>
      <c r="H979" s="303"/>
      <c r="I979" s="924"/>
    </row>
    <row r="980" spans="1:9" s="818" customFormat="1" ht="14.25" customHeight="1" x14ac:dyDescent="0.2">
      <c r="A980" s="1076" t="s">
        <v>295</v>
      </c>
      <c r="B980" s="537" t="s">
        <v>1852</v>
      </c>
      <c r="C980" s="822" t="str">
        <f>VLOOKUP(B980,'[2]BASE DE DATOS'!$A$5:$E$961,2,FALSE)</f>
        <v>Adaptador terminal EMT 3/4"</v>
      </c>
      <c r="D980" s="266" t="str">
        <f>VLOOKUP(B980,'[2]BASE DE DATOS'!$A$5:$E$961,3,FALSE)</f>
        <v>Un</v>
      </c>
      <c r="E980" s="160">
        <v>2</v>
      </c>
      <c r="F980" s="256">
        <f>VLOOKUP(B980,'[1]BASE DE DATOS'!$A$5:$E$964,5,FALSE)</f>
        <v>2200</v>
      </c>
      <c r="G980" s="161">
        <v>1</v>
      </c>
      <c r="H980" s="252">
        <f>IF(G980&gt;0,(G980*F980*E980),(F980*E980))</f>
        <v>4400</v>
      </c>
      <c r="I980" s="924"/>
    </row>
    <row r="981" spans="1:9" s="818" customFormat="1" ht="12.75" x14ac:dyDescent="0.2">
      <c r="A981" s="1076"/>
      <c r="B981" s="537" t="s">
        <v>1860</v>
      </c>
      <c r="C981" s="822" t="str">
        <f>VLOOKUP(B981,'[2]BASE DE DATOS'!$A$5:$E$961,2,FALSE)</f>
        <v>Cable Cu aislado # 12 AWG THHN/THWN</v>
      </c>
      <c r="D981" s="266" t="str">
        <f>VLOOKUP(B981,'[2]BASE DE DATOS'!$A$5:$E$961,3,FALSE)</f>
        <v>M</v>
      </c>
      <c r="E981" s="160">
        <v>18</v>
      </c>
      <c r="F981" s="256">
        <f>VLOOKUP(B981,'[1]BASE DE DATOS'!$A$5:$E$964,5,FALSE)</f>
        <v>2600</v>
      </c>
      <c r="G981" s="161">
        <v>1.05</v>
      </c>
      <c r="H981" s="252">
        <f>IF(G981&gt;0,(G981*F981*E981),(F981*E981))</f>
        <v>49140</v>
      </c>
      <c r="I981" s="924"/>
    </row>
    <row r="982" spans="1:9" s="818" customFormat="1" ht="12.75" x14ac:dyDescent="0.2">
      <c r="A982" s="1076"/>
      <c r="B982" s="537" t="s">
        <v>1851</v>
      </c>
      <c r="C982" s="822" t="str">
        <f>VLOOKUP(B982,'[2]BASE DE DATOS'!$A$5:$E$961,2,FALSE)</f>
        <v>Caja radwell 2 x 4" 4 salida 3/4"</v>
      </c>
      <c r="D982" s="266" t="str">
        <f>VLOOKUP(B982,'[2]BASE DE DATOS'!$A$5:$E$961,3,FALSE)</f>
        <v>Un</v>
      </c>
      <c r="E982" s="160">
        <v>1</v>
      </c>
      <c r="F982" s="256">
        <f>VLOOKUP(B982,'[1]BASE DE DATOS'!$A$5:$E$964,5,FALSE)</f>
        <v>11500</v>
      </c>
      <c r="G982" s="161">
        <v>1</v>
      </c>
      <c r="H982" s="252">
        <f>IF(G982&gt;0,(G982*F982*E982),(F982*E982))</f>
        <v>11500</v>
      </c>
      <c r="I982" s="924"/>
    </row>
    <row r="983" spans="1:9" s="818" customFormat="1" ht="12.75" x14ac:dyDescent="0.2">
      <c r="A983" s="1076"/>
      <c r="B983" s="537" t="s">
        <v>1342</v>
      </c>
      <c r="C983" s="822" t="str">
        <f>VLOOKUP(B983,'[2]BASE DE DATOS'!$A$5:$E$961,2,FALSE)</f>
        <v xml:space="preserve">Cinta aislante electrica de PVC (19 mm x 20 m) tipo Scotch Super 33 o similar </v>
      </c>
      <c r="D983" s="266" t="str">
        <f>VLOOKUP(B983,'[2]BASE DE DATOS'!$A$5:$E$961,3,FALSE)</f>
        <v>M</v>
      </c>
      <c r="E983" s="160">
        <v>1</v>
      </c>
      <c r="F983" s="256">
        <f>VLOOKUP(B983,'[1]BASE DE DATOS'!$A$5:$E$964,5,FALSE)</f>
        <v>28050</v>
      </c>
      <c r="G983" s="161">
        <v>5.2999999999999999E-2</v>
      </c>
      <c r="H983" s="252">
        <f>IF(G983&gt;0,(G983*F983*E983),(F983*E983))</f>
        <v>1486.6499999999999</v>
      </c>
      <c r="I983" s="924"/>
    </row>
    <row r="984" spans="1:9" s="818" customFormat="1" ht="12.75" x14ac:dyDescent="0.2">
      <c r="A984" s="1076"/>
      <c r="B984" s="537" t="s">
        <v>1859</v>
      </c>
      <c r="C984" s="822" t="str">
        <f>VLOOKUP(B984,'[2]BASE DE DATOS'!$A$5:$E$961,2,FALSE)</f>
        <v>Conector tipo resorte para cable Nº 14/12 (MAT,504)</v>
      </c>
      <c r="D984" s="266" t="str">
        <f>VLOOKUP(B984,'[2]BASE DE DATOS'!$A$5:$E$961,3,FALSE)</f>
        <v>Un</v>
      </c>
      <c r="E984" s="160">
        <v>3</v>
      </c>
      <c r="F984" s="256">
        <f>VLOOKUP(B984,'[1]BASE DE DATOS'!$A$5:$E$964,5,FALSE)</f>
        <v>2350</v>
      </c>
      <c r="G984" s="712">
        <v>1</v>
      </c>
      <c r="H984" s="252">
        <f>IF(G984&gt;0,(G984*F984*E984),(F984*E984))</f>
        <v>7050</v>
      </c>
      <c r="I984" s="924"/>
    </row>
    <row r="985" spans="1:9" s="818" customFormat="1" ht="12.75" x14ac:dyDescent="0.2">
      <c r="A985" s="1076"/>
      <c r="B985" s="537" t="s">
        <v>1803</v>
      </c>
      <c r="C985" s="822" t="str">
        <f>VLOOKUP(B985,'[2]BASE DE DATOS'!$A$5:$E$961,2,FALSE)</f>
        <v>Curva 90 Grados EMT 3/4"</v>
      </c>
      <c r="D985" s="266" t="str">
        <f>VLOOKUP(B985,'[2]BASE DE DATOS'!$A$5:$E$961,3,FALSE)</f>
        <v>Un</v>
      </c>
      <c r="E985" s="160">
        <v>1</v>
      </c>
      <c r="F985" s="256">
        <f>VLOOKUP(B985,'[1]BASE DE DATOS'!$A$5:$E$964,5,FALSE)</f>
        <v>2800</v>
      </c>
      <c r="G985" s="161">
        <v>1</v>
      </c>
      <c r="H985" s="252">
        <f t="shared" ref="H985:H986" si="76">IF(G985&gt;0,(G985*F985*E985),(F985*E985))</f>
        <v>2800</v>
      </c>
      <c r="I985" s="924"/>
    </row>
    <row r="986" spans="1:9" s="818" customFormat="1" ht="12.75" x14ac:dyDescent="0.2">
      <c r="A986" s="1076"/>
      <c r="B986" s="537" t="s">
        <v>2962</v>
      </c>
      <c r="C986" s="822" t="str">
        <f>VLOOKUP(B986,'[2]BASE DE DATOS'!$A$5:$E$961,2,FALSE)</f>
        <v>Marquilla acrílica 15 x 30 mm</v>
      </c>
      <c r="D986" s="266" t="str">
        <f>VLOOKUP(B986,'[2]BASE DE DATOS'!$A$5:$E$961,3,FALSE)</f>
        <v>Un</v>
      </c>
      <c r="E986" s="160">
        <v>1</v>
      </c>
      <c r="F986" s="256">
        <f>VLOOKUP(B986,'[1]BASE DE DATOS'!$A$5:$E$964,5,FALSE)</f>
        <v>3500</v>
      </c>
      <c r="G986" s="161">
        <v>1</v>
      </c>
      <c r="H986" s="252">
        <f t="shared" si="76"/>
        <v>3500</v>
      </c>
      <c r="I986" s="924"/>
    </row>
    <row r="987" spans="1:9" s="818" customFormat="1" ht="12.75" x14ac:dyDescent="0.2">
      <c r="A987" s="1076"/>
      <c r="B987" s="537" t="s">
        <v>1855</v>
      </c>
      <c r="C987" s="822" t="str">
        <f>VLOOKUP(B987,'[2]BASE DE DATOS'!$A$5:$E$961,2,FALSE)</f>
        <v>Toma corriente doble con polo a tierra, marca Luminex o similar</v>
      </c>
      <c r="D987" s="266" t="str">
        <f>VLOOKUP(B987,'[2]BASE DE DATOS'!$A$5:$E$961,3,FALSE)</f>
        <v>Un</v>
      </c>
      <c r="E987" s="160">
        <v>1</v>
      </c>
      <c r="F987" s="256">
        <f>VLOOKUP(B987,'[1]BASE DE DATOS'!$A$5:$E$964,5,FALSE)</f>
        <v>6150</v>
      </c>
      <c r="G987" s="161">
        <v>1</v>
      </c>
      <c r="H987" s="252">
        <f>IF(G987&gt;0,(G987*F987*E987),(F987*E987))</f>
        <v>6150</v>
      </c>
      <c r="I987" s="924"/>
    </row>
    <row r="988" spans="1:9" s="818" customFormat="1" ht="12.75" x14ac:dyDescent="0.2">
      <c r="A988" s="1076"/>
      <c r="B988" s="537" t="s">
        <v>1853</v>
      </c>
      <c r="C988" s="822" t="str">
        <f>VLOOKUP(B988,'[2]BASE DE DATOS'!$A$5:$E$961,2,FALSE)</f>
        <v>Tubo Conduit Emt 3/4" (ul 797)</v>
      </c>
      <c r="D988" s="266" t="str">
        <f>VLOOKUP(B988,'[2]BASE DE DATOS'!$A$5:$E$961,3,FALSE)</f>
        <v>M</v>
      </c>
      <c r="E988" s="160">
        <v>6</v>
      </c>
      <c r="F988" s="256">
        <f>VLOOKUP(B988,'[1]BASE DE DATOS'!$A$5:$E$964,5,FALSE)</f>
        <v>9100</v>
      </c>
      <c r="G988" s="161">
        <v>1.03</v>
      </c>
      <c r="H988" s="252">
        <f>IF(G988&gt;0,(G988*F988*E988),(F988*E988))</f>
        <v>56238</v>
      </c>
      <c r="I988" s="924"/>
    </row>
    <row r="989" spans="1:9" s="818" customFormat="1" ht="12.75" x14ac:dyDescent="0.2">
      <c r="A989" s="797" t="s">
        <v>3252</v>
      </c>
      <c r="B989" s="537" t="s">
        <v>810</v>
      </c>
      <c r="C989" s="822" t="str">
        <f>VLOOKUP(B989,[2]CONSTRUCCION!$A$5:$H$923,3,FALSE)</f>
        <v xml:space="preserve">Mortero 1:3 (Producción) </v>
      </c>
      <c r="D989" s="266" t="str">
        <f>VLOOKUP(B989,[2]CONSTRUCCION!$A$5:$H$923,4,FALSE)</f>
        <v>M3</v>
      </c>
      <c r="E989" s="160">
        <v>4.0000000000000001E-3</v>
      </c>
      <c r="F989" s="256">
        <f>[1]CONSTRUCCION!F96</f>
        <v>471394</v>
      </c>
      <c r="G989" s="161">
        <v>1.05</v>
      </c>
      <c r="H989" s="252">
        <f t="shared" ref="H989:H991" si="77">IF(G989&gt;0,(G989*F989*E989),(F989*E989))</f>
        <v>1979.8548000000001</v>
      </c>
      <c r="I989" s="924"/>
    </row>
    <row r="990" spans="1:9" s="818" customFormat="1" ht="12.75" x14ac:dyDescent="0.2">
      <c r="A990" s="63" t="s">
        <v>3673</v>
      </c>
      <c r="B990" s="537" t="s">
        <v>252</v>
      </c>
      <c r="C990" s="822" t="str">
        <f>VLOOKUP(B990,'[2]BASE DE DATOS'!$A$5:$E$961,2,FALSE)</f>
        <v>Cuadrilla J (1 Of eléctrico + 1 Ay eléctrico) (jornal + prestaciones)</v>
      </c>
      <c r="D990" s="266" t="str">
        <f>VLOOKUP(B990,'[2]BASE DE DATOS'!$A$5:$E$961,3,FALSE)</f>
        <v>Día</v>
      </c>
      <c r="E990" s="161">
        <v>1</v>
      </c>
      <c r="F990" s="256">
        <f>VLOOKUP(B990,'[1]BASE DE DATOS'!$A$5:$E$964,5,FALSE)</f>
        <v>319246</v>
      </c>
      <c r="G990" s="161">
        <f>1/4</f>
        <v>0.25</v>
      </c>
      <c r="H990" s="252">
        <f t="shared" si="77"/>
        <v>79811.5</v>
      </c>
      <c r="I990" s="924"/>
    </row>
    <row r="991" spans="1:9" s="818" customFormat="1" ht="13.5" thickBot="1" x14ac:dyDescent="0.25">
      <c r="A991" s="128" t="s">
        <v>293</v>
      </c>
      <c r="B991" s="537" t="s">
        <v>269</v>
      </c>
      <c r="C991" s="822" t="str">
        <f>VLOOKUP(B991,'[2]BASE DE DATOS'!$A$5:$E$961,2,FALSE)</f>
        <v>Herramienta menor (%ManoObra)</v>
      </c>
      <c r="D991" s="266" t="str">
        <f>VLOOKUP(B991,'[2]BASE DE DATOS'!$A$5:$E$961,3,FALSE)</f>
        <v>%MO</v>
      </c>
      <c r="E991" s="160">
        <v>0.1</v>
      </c>
      <c r="F991" s="845">
        <f>+H990</f>
        <v>79811.5</v>
      </c>
      <c r="G991" s="618">
        <v>1</v>
      </c>
      <c r="H991" s="479">
        <f t="shared" si="77"/>
        <v>7981.1500000000005</v>
      </c>
      <c r="I991" s="924"/>
    </row>
    <row r="992" spans="1:9" s="818" customFormat="1" ht="30" x14ac:dyDescent="0.2">
      <c r="A992" s="294" t="s">
        <v>4202</v>
      </c>
      <c r="B992" s="876"/>
      <c r="C992" s="300" t="s">
        <v>1233</v>
      </c>
      <c r="D992" s="301" t="s">
        <v>411</v>
      </c>
      <c r="E992" s="302"/>
      <c r="F992" s="259">
        <f>ROUND(SUM(H992:H1006),0)</f>
        <v>196698</v>
      </c>
      <c r="G992" s="713"/>
      <c r="H992" s="303"/>
      <c r="I992" s="924"/>
    </row>
    <row r="993" spans="1:9" s="818" customFormat="1" ht="14.25" customHeight="1" x14ac:dyDescent="0.2">
      <c r="A993" s="1076" t="s">
        <v>295</v>
      </c>
      <c r="B993" s="537" t="s">
        <v>1862</v>
      </c>
      <c r="C993" s="822" t="str">
        <f>VLOOKUP(B993,'[2]BASE DE DATOS'!$A$5:$E$961,2,FALSE)</f>
        <v>Adaptador terminal conduit PVC ½"</v>
      </c>
      <c r="D993" s="266" t="str">
        <f>VLOOKUP(B993,'[2]BASE DE DATOS'!$A$5:$E$961,3,FALSE)</f>
        <v>Un</v>
      </c>
      <c r="E993" s="160">
        <v>2</v>
      </c>
      <c r="F993" s="256">
        <f>VLOOKUP(B993,'[1]BASE DE DATOS'!$A$5:$E$964,5,FALSE)</f>
        <v>400</v>
      </c>
      <c r="G993" s="161">
        <v>1</v>
      </c>
      <c r="H993" s="252">
        <f>IF(G993&gt;0,(G993*F993*E993),(F993*E993))</f>
        <v>800</v>
      </c>
      <c r="I993" s="924"/>
    </row>
    <row r="994" spans="1:9" s="818" customFormat="1" ht="12.75" x14ac:dyDescent="0.2">
      <c r="A994" s="1076"/>
      <c r="B994" s="537" t="s">
        <v>1860</v>
      </c>
      <c r="C994" s="822" t="str">
        <f>VLOOKUP(B994,'[2]BASE DE DATOS'!$A$5:$E$961,2,FALSE)</f>
        <v>Cable Cu aislado # 12 AWG THHN/THWN</v>
      </c>
      <c r="D994" s="266" t="str">
        <f>VLOOKUP(B994,'[2]BASE DE DATOS'!$A$5:$E$961,3,FALSE)</f>
        <v>M</v>
      </c>
      <c r="E994" s="160">
        <v>18</v>
      </c>
      <c r="F994" s="256">
        <f>VLOOKUP(B994,'[1]BASE DE DATOS'!$A$5:$E$964,5,FALSE)</f>
        <v>2600</v>
      </c>
      <c r="G994" s="161">
        <v>1.05</v>
      </c>
      <c r="H994" s="252">
        <f>IF(G994&gt;0,(G994*F994*E994),(F994*E994))</f>
        <v>49140</v>
      </c>
      <c r="I994" s="924"/>
    </row>
    <row r="995" spans="1:9" s="818" customFormat="1" ht="12.75" x14ac:dyDescent="0.2">
      <c r="A995" s="1076"/>
      <c r="B995" s="537" t="s">
        <v>1861</v>
      </c>
      <c r="C995" s="822" t="str">
        <f>VLOOKUP(B995,'[2]BASE DE DATOS'!$A$5:$E$961,2,FALSE)</f>
        <v>Caja 2 x 4 metálica galvanizada</v>
      </c>
      <c r="D995" s="266" t="str">
        <f>VLOOKUP(B995,'[2]BASE DE DATOS'!$A$5:$E$961,3,FALSE)</f>
        <v>Un</v>
      </c>
      <c r="E995" s="160">
        <v>1</v>
      </c>
      <c r="F995" s="256">
        <f>VLOOKUP(B995,'[1]BASE DE DATOS'!$A$5:$E$964,5,FALSE)</f>
        <v>1890</v>
      </c>
      <c r="G995" s="161">
        <v>1</v>
      </c>
      <c r="H995" s="252">
        <f>IF(G995&gt;0,(G995*F995*E995),(F995*E995))</f>
        <v>1890</v>
      </c>
      <c r="I995" s="924"/>
    </row>
    <row r="996" spans="1:9" s="818" customFormat="1" ht="12.75" x14ac:dyDescent="0.2">
      <c r="A996" s="1076"/>
      <c r="B996" s="537" t="s">
        <v>1342</v>
      </c>
      <c r="C996" s="822" t="str">
        <f>VLOOKUP(B996,'[2]BASE DE DATOS'!$A$5:$E$961,2,FALSE)</f>
        <v xml:space="preserve">Cinta aislante electrica de PVC (19 mm x 20 m) tipo Scotch Super 33 o similar </v>
      </c>
      <c r="D996" s="266" t="str">
        <f>VLOOKUP(B996,'[2]BASE DE DATOS'!$A$5:$E$961,3,FALSE)</f>
        <v>M</v>
      </c>
      <c r="E996" s="160">
        <v>1</v>
      </c>
      <c r="F996" s="256">
        <f>VLOOKUP(B996,'[1]BASE DE DATOS'!$A$5:$E$964,5,FALSE)</f>
        <v>28050</v>
      </c>
      <c r="G996" s="161">
        <v>5.2999999999999999E-2</v>
      </c>
      <c r="H996" s="252">
        <f>IF(G996&gt;0,(G996*F996*E996),(F996*E996))</f>
        <v>1486.6499999999999</v>
      </c>
      <c r="I996" s="924"/>
    </row>
    <row r="997" spans="1:9" s="818" customFormat="1" ht="12.75" x14ac:dyDescent="0.2">
      <c r="A997" s="1076"/>
      <c r="B997" s="537" t="s">
        <v>1859</v>
      </c>
      <c r="C997" s="822" t="str">
        <f>VLOOKUP(B997,'[2]BASE DE DATOS'!$A$5:$E$961,2,FALSE)</f>
        <v>Conector tipo resorte para cable Nº 14/12 (MAT,504)</v>
      </c>
      <c r="D997" s="266" t="str">
        <f>VLOOKUP(B997,'[2]BASE DE DATOS'!$A$5:$E$961,3,FALSE)</f>
        <v>Un</v>
      </c>
      <c r="E997" s="160">
        <v>3</v>
      </c>
      <c r="F997" s="256">
        <f>VLOOKUP(B997,'[1]BASE DE DATOS'!$A$5:$E$964,5,FALSE)</f>
        <v>2350</v>
      </c>
      <c r="G997" s="712">
        <v>1</v>
      </c>
      <c r="H997" s="252">
        <f>IF(G997&gt;0,(G997*F997*E997),(F997*E997))</f>
        <v>7050</v>
      </c>
      <c r="I997" s="924"/>
    </row>
    <row r="998" spans="1:9" s="818" customFormat="1" ht="12.75" x14ac:dyDescent="0.2">
      <c r="A998" s="1076"/>
      <c r="B998" s="537" t="s">
        <v>1805</v>
      </c>
      <c r="C998" s="822" t="str">
        <f>VLOOKUP(B998,'[2]BASE DE DATOS'!$A$5:$E$961,2,FALSE)</f>
        <v>Curva conduit PVC ½"</v>
      </c>
      <c r="D998" s="266" t="str">
        <f>VLOOKUP(B998,'[2]BASE DE DATOS'!$A$5:$E$961,3,FALSE)</f>
        <v>Un</v>
      </c>
      <c r="E998" s="160">
        <v>1</v>
      </c>
      <c r="F998" s="256">
        <f>VLOOKUP(B998,'[1]BASE DE DATOS'!$A$5:$E$964,5,FALSE)</f>
        <v>1100</v>
      </c>
      <c r="G998" s="161">
        <v>1</v>
      </c>
      <c r="H998" s="252">
        <f t="shared" ref="H998:H999" si="78">IF(G998&gt;0,(G998*F998*E998),(F998*E998))</f>
        <v>1100</v>
      </c>
      <c r="I998" s="924"/>
    </row>
    <row r="999" spans="1:9" s="818" customFormat="1" ht="12.75" x14ac:dyDescent="0.2">
      <c r="A999" s="1076"/>
      <c r="B999" s="537" t="s">
        <v>1462</v>
      </c>
      <c r="C999" s="822" t="str">
        <f>VLOOKUP(B999,'[2]BASE DE DATOS'!$A$5:$E$961,2,FALSE)</f>
        <v>Limpiador removedor PVC ¼</v>
      </c>
      <c r="D999" s="266" t="str">
        <f>VLOOKUP(B999,'[2]BASE DE DATOS'!$A$5:$E$961,3,FALSE)</f>
        <v>Un</v>
      </c>
      <c r="E999" s="160">
        <v>0.25</v>
      </c>
      <c r="F999" s="256">
        <f>VLOOKUP(B999,'[1]BASE DE DATOS'!$A$5:$E$964,5,FALSE)</f>
        <v>46900</v>
      </c>
      <c r="G999" s="161">
        <v>0.01</v>
      </c>
      <c r="H999" s="252">
        <f t="shared" si="78"/>
        <v>117.25</v>
      </c>
      <c r="I999" s="924"/>
    </row>
    <row r="1000" spans="1:9" s="818" customFormat="1" ht="12.75" x14ac:dyDescent="0.2">
      <c r="A1000" s="1076"/>
      <c r="B1000" s="537" t="s">
        <v>2962</v>
      </c>
      <c r="C1000" s="822" t="str">
        <f>VLOOKUP(B1000,'[2]BASE DE DATOS'!$A$5:$E$961,2,FALSE)</f>
        <v>Marquilla acrílica 15 x 30 mm</v>
      </c>
      <c r="D1000" s="266" t="str">
        <f>VLOOKUP(B1000,'[2]BASE DE DATOS'!$A$5:$E$961,3,FALSE)</f>
        <v>Un</v>
      </c>
      <c r="E1000" s="160">
        <v>1</v>
      </c>
      <c r="F1000" s="256">
        <f>VLOOKUP(B1000,'[1]BASE DE DATOS'!$A$5:$E$964,5,FALSE)</f>
        <v>3500</v>
      </c>
      <c r="G1000" s="161">
        <v>0</v>
      </c>
      <c r="H1000" s="252">
        <f>IF(G1000&gt;0,(G1000*F1000*E1000),(F1000*E1000))</f>
        <v>3500</v>
      </c>
      <c r="I1000" s="924"/>
    </row>
    <row r="1001" spans="1:9" s="818" customFormat="1" ht="12.75" x14ac:dyDescent="0.2">
      <c r="A1001" s="1076"/>
      <c r="B1001" s="537" t="s">
        <v>1701</v>
      </c>
      <c r="C1001" s="822" t="str">
        <f>VLOOKUP(B1001,'[2]BASE DE DATOS'!$A$5:$E$961,2,FALSE)</f>
        <v>Soldadura PVC (¼ galón)</v>
      </c>
      <c r="D1001" s="266" t="str">
        <f>VLOOKUP(B1001,'[2]BASE DE DATOS'!$A$5:$E$961,3,FALSE)</f>
        <v>Un</v>
      </c>
      <c r="E1001" s="160">
        <v>0.7</v>
      </c>
      <c r="F1001" s="256">
        <f>VLOOKUP(B1001,'[1]BASE DE DATOS'!$A$5:$E$964,5,FALSE)</f>
        <v>80900</v>
      </c>
      <c r="G1001" s="161">
        <v>0.01</v>
      </c>
      <c r="H1001" s="252">
        <f t="shared" ref="H1001:H1002" si="79">IF(G1001&gt;0,(G1001*F1001*E1001),(F1001*E1001))</f>
        <v>566.29999999999995</v>
      </c>
      <c r="I1001" s="924"/>
    </row>
    <row r="1002" spans="1:9" s="818" customFormat="1" ht="12.75" x14ac:dyDescent="0.2">
      <c r="A1002" s="1076"/>
      <c r="B1002" s="537" t="s">
        <v>1850</v>
      </c>
      <c r="C1002" s="822" t="str">
        <f>VLOOKUP(B1002,'[2]BASE DE DATOS'!$A$5:$E$961,2,FALSE)</f>
        <v>Toma corriente doble tipo GFCI, marca Luminex o similar</v>
      </c>
      <c r="D1002" s="266" t="str">
        <f>VLOOKUP(B1002,'[2]BASE DE DATOS'!$A$5:$E$961,3,FALSE)</f>
        <v>Un</v>
      </c>
      <c r="E1002" s="160">
        <v>1</v>
      </c>
      <c r="F1002" s="256">
        <f>VLOOKUP(B1002,'[1]BASE DE DATOS'!$A$5:$E$964,5,FALSE)</f>
        <v>33150</v>
      </c>
      <c r="G1002" s="161">
        <v>1</v>
      </c>
      <c r="H1002" s="252">
        <f t="shared" si="79"/>
        <v>33150</v>
      </c>
      <c r="I1002" s="924"/>
    </row>
    <row r="1003" spans="1:9" s="818" customFormat="1" ht="12.75" x14ac:dyDescent="0.2">
      <c r="A1003" s="1076"/>
      <c r="B1003" s="537" t="s">
        <v>1863</v>
      </c>
      <c r="C1003" s="822" t="str">
        <f>VLOOKUP(B1003,'[2]BASE DE DATOS'!$A$5:$E$961,2,FALSE)</f>
        <v>Tubería conduit PVC ½"</v>
      </c>
      <c r="D1003" s="266" t="str">
        <f>VLOOKUP(B1003,'[2]BASE DE DATOS'!$A$5:$E$961,3,FALSE)</f>
        <v>M</v>
      </c>
      <c r="E1003" s="160">
        <v>6</v>
      </c>
      <c r="F1003" s="256">
        <f>VLOOKUP(B1003,'[1]BASE DE DATOS'!$A$5:$E$964,5,FALSE)</f>
        <v>1283.3333333333333</v>
      </c>
      <c r="G1003" s="161">
        <v>1.03</v>
      </c>
      <c r="H1003" s="252">
        <f>IF(G1003&gt;0,(G1003*F1003*E1003),(F1003*E1003))</f>
        <v>7931</v>
      </c>
      <c r="I1003" s="924"/>
    </row>
    <row r="1004" spans="1:9" s="818" customFormat="1" ht="12.75" x14ac:dyDescent="0.2">
      <c r="A1004" s="797" t="s">
        <v>3252</v>
      </c>
      <c r="B1004" s="537" t="s">
        <v>810</v>
      </c>
      <c r="C1004" s="822" t="str">
        <f>VLOOKUP(B1004,[2]CONSTRUCCION!$A$5:$H$923,3,FALSE)</f>
        <v xml:space="preserve">Mortero 1:3 (Producción) </v>
      </c>
      <c r="D1004" s="266" t="str">
        <f>VLOOKUP(B1004,[2]CONSTRUCCION!$A$5:$H$923,4,FALSE)</f>
        <v>M3</v>
      </c>
      <c r="E1004" s="160">
        <v>4.0000000000000001E-3</v>
      </c>
      <c r="F1004" s="23">
        <f>+[2]CONSTRUCCION!$F$90</f>
        <v>517717</v>
      </c>
      <c r="G1004" s="161">
        <v>1.05</v>
      </c>
      <c r="H1004" s="252">
        <f t="shared" ref="H1004:H1006" si="80">IF(G1004&gt;0,(G1004*F1004*E1004),(F1004*E1004))</f>
        <v>2174.4114</v>
      </c>
      <c r="I1004" s="924"/>
    </row>
    <row r="1005" spans="1:9" s="818" customFormat="1" ht="12.75" x14ac:dyDescent="0.2">
      <c r="A1005" s="63" t="s">
        <v>3673</v>
      </c>
      <c r="B1005" s="537" t="s">
        <v>252</v>
      </c>
      <c r="C1005" s="822" t="str">
        <f>VLOOKUP(B1005,'[2]BASE DE DATOS'!$A$5:$E$961,2,FALSE)</f>
        <v>Cuadrilla J (1 Of eléctrico + 1 Ay eléctrico) (jornal + prestaciones)</v>
      </c>
      <c r="D1005" s="266" t="str">
        <f>VLOOKUP(B1005,'[2]BASE DE DATOS'!$A$5:$E$961,3,FALSE)</f>
        <v>Día</v>
      </c>
      <c r="E1005" s="161">
        <v>1</v>
      </c>
      <c r="F1005" s="256">
        <f>VLOOKUP(B1005,'[1]BASE DE DATOS'!$A$5:$E$964,5,FALSE)</f>
        <v>319246</v>
      </c>
      <c r="G1005" s="161">
        <f>1/4</f>
        <v>0.25</v>
      </c>
      <c r="H1005" s="252">
        <f t="shared" si="80"/>
        <v>79811.5</v>
      </c>
      <c r="I1005" s="924"/>
    </row>
    <row r="1006" spans="1:9" s="818" customFormat="1" ht="13.5" thickBot="1" x14ac:dyDescent="0.25">
      <c r="A1006" s="128" t="s">
        <v>293</v>
      </c>
      <c r="B1006" s="537" t="s">
        <v>269</v>
      </c>
      <c r="C1006" s="822" t="str">
        <f>VLOOKUP(B1006,'[2]BASE DE DATOS'!$A$5:$E$961,2,FALSE)</f>
        <v>Herramienta menor (%ManoObra)</v>
      </c>
      <c r="D1006" s="266" t="str">
        <f>VLOOKUP(B1006,'[2]BASE DE DATOS'!$A$5:$E$961,3,FALSE)</f>
        <v>%MO</v>
      </c>
      <c r="E1006" s="160">
        <v>0.1</v>
      </c>
      <c r="F1006" s="845">
        <f>H1005</f>
        <v>79811.5</v>
      </c>
      <c r="G1006" s="618">
        <v>1</v>
      </c>
      <c r="H1006" s="479">
        <f t="shared" si="80"/>
        <v>7981.1500000000005</v>
      </c>
      <c r="I1006" s="924"/>
    </row>
    <row r="1007" spans="1:9" s="818" customFormat="1" ht="30" x14ac:dyDescent="0.2">
      <c r="A1007" s="294" t="s">
        <v>4203</v>
      </c>
      <c r="B1007" s="876"/>
      <c r="C1007" s="300" t="s">
        <v>1235</v>
      </c>
      <c r="D1007" s="301" t="s">
        <v>411</v>
      </c>
      <c r="E1007" s="302"/>
      <c r="F1007" s="259">
        <f>ROUND(SUM(H1007:H1020),0)</f>
        <v>221031</v>
      </c>
      <c r="G1007" s="713"/>
      <c r="H1007" s="303"/>
      <c r="I1007" s="924"/>
    </row>
    <row r="1008" spans="1:9" s="818" customFormat="1" ht="14.25" customHeight="1" x14ac:dyDescent="0.2">
      <c r="A1008" s="1077" t="s">
        <v>295</v>
      </c>
      <c r="B1008" s="537" t="s">
        <v>1335</v>
      </c>
      <c r="C1008" s="822" t="str">
        <f>VLOOKUP(B1008,'[2]BASE DE DATOS'!$A$5:$E$961,2,FALSE)</f>
        <v>Adaptador terminal conduit PVC 3/4"</v>
      </c>
      <c r="D1008" s="266" t="str">
        <f>VLOOKUP(B1008,'[2]BASE DE DATOS'!$A$5:$E$961,3,FALSE)</f>
        <v>Un</v>
      </c>
      <c r="E1008" s="160">
        <v>2</v>
      </c>
      <c r="F1008" s="256">
        <f>VLOOKUP(B1008,'[1]BASE DE DATOS'!$A$5:$E$964,5,FALSE)</f>
        <v>469</v>
      </c>
      <c r="G1008" s="161">
        <v>1</v>
      </c>
      <c r="H1008" s="252">
        <f>IF(G1008&gt;0,(G1008*F1008*E1008),(F1008*E1008))</f>
        <v>938</v>
      </c>
      <c r="I1008" s="924"/>
    </row>
    <row r="1009" spans="1:9" s="818" customFormat="1" ht="12.75" x14ac:dyDescent="0.2">
      <c r="A1009" s="1077"/>
      <c r="B1009" s="537" t="s">
        <v>1860</v>
      </c>
      <c r="C1009" s="822" t="str">
        <f>VLOOKUP(B1009,'[2]BASE DE DATOS'!$A$5:$E$961,2,FALSE)</f>
        <v>Cable Cu aislado # 12 AWG THHN/THWN</v>
      </c>
      <c r="D1009" s="266" t="str">
        <f>VLOOKUP(B1009,'[2]BASE DE DATOS'!$A$5:$E$961,3,FALSE)</f>
        <v>M</v>
      </c>
      <c r="E1009" s="160">
        <v>24</v>
      </c>
      <c r="F1009" s="256">
        <f>VLOOKUP(B1009,'[1]BASE DE DATOS'!$A$5:$E$964,5,FALSE)</f>
        <v>2600</v>
      </c>
      <c r="G1009" s="161">
        <v>1.05</v>
      </c>
      <c r="H1009" s="252">
        <f>IF(G1009&gt;0,(G1009*F1009*E1009),(F1009*E1009))</f>
        <v>65520</v>
      </c>
      <c r="I1009" s="924"/>
    </row>
    <row r="1010" spans="1:9" s="818" customFormat="1" ht="12.75" x14ac:dyDescent="0.2">
      <c r="A1010" s="1077"/>
      <c r="B1010" s="537" t="s">
        <v>1861</v>
      </c>
      <c r="C1010" s="822" t="str">
        <f>VLOOKUP(B1010,'[2]BASE DE DATOS'!$A$5:$E$961,2,FALSE)</f>
        <v>Caja 2 x 4 metálica galvanizada</v>
      </c>
      <c r="D1010" s="266" t="str">
        <f>VLOOKUP(B1010,'[2]BASE DE DATOS'!$A$5:$E$961,3,FALSE)</f>
        <v>Un</v>
      </c>
      <c r="E1010" s="160">
        <v>1</v>
      </c>
      <c r="F1010" s="256">
        <f>VLOOKUP(B1010,'[1]BASE DE DATOS'!$A$5:$E$964,5,FALSE)</f>
        <v>1890</v>
      </c>
      <c r="G1010" s="161">
        <v>1</v>
      </c>
      <c r="H1010" s="252">
        <f>IF(G1010&gt;0,(G1010*F1010*E1010),(F1010*E1010))</f>
        <v>1890</v>
      </c>
      <c r="I1010" s="924"/>
    </row>
    <row r="1011" spans="1:9" s="818" customFormat="1" ht="12.75" x14ac:dyDescent="0.2">
      <c r="A1011" s="1077"/>
      <c r="B1011" s="537" t="s">
        <v>1342</v>
      </c>
      <c r="C1011" s="822" t="str">
        <f>VLOOKUP(B1011,'[2]BASE DE DATOS'!$A$5:$E$961,2,FALSE)</f>
        <v xml:space="preserve">Cinta aislante electrica de PVC (19 mm x 20 m) tipo Scotch Super 33 o similar </v>
      </c>
      <c r="D1011" s="266" t="str">
        <f>VLOOKUP(B1011,'[2]BASE DE DATOS'!$A$5:$E$961,3,FALSE)</f>
        <v>M</v>
      </c>
      <c r="E1011" s="160">
        <v>1</v>
      </c>
      <c r="F1011" s="256">
        <f>VLOOKUP(B1011,'[1]BASE DE DATOS'!$A$5:$E$964,5,FALSE)</f>
        <v>28050</v>
      </c>
      <c r="G1011" s="161">
        <v>5.2999999999999999E-2</v>
      </c>
      <c r="H1011" s="252">
        <f>IF(G1011&gt;0,(G1011*F1011*E1011),(F1011*E1011))</f>
        <v>1486.6499999999999</v>
      </c>
      <c r="I1011" s="924"/>
    </row>
    <row r="1012" spans="1:9" s="818" customFormat="1" ht="12.75" x14ac:dyDescent="0.2">
      <c r="A1012" s="1077"/>
      <c r="B1012" s="537" t="s">
        <v>1827</v>
      </c>
      <c r="C1012" s="822" t="str">
        <f>VLOOKUP(B1012,'[2]BASE DE DATOS'!$A$5:$E$961,2,FALSE)</f>
        <v>Curva conduit PVC 3/4"</v>
      </c>
      <c r="D1012" s="266" t="str">
        <f>VLOOKUP(B1012,'[2]BASE DE DATOS'!$A$5:$E$961,3,FALSE)</f>
        <v>Un</v>
      </c>
      <c r="E1012" s="160">
        <v>1</v>
      </c>
      <c r="F1012" s="256">
        <f>VLOOKUP(B1012,'[1]BASE DE DATOS'!$A$5:$E$964,5,FALSE)</f>
        <v>1700</v>
      </c>
      <c r="G1012" s="161">
        <v>1</v>
      </c>
      <c r="H1012" s="252">
        <f t="shared" ref="H1012:H1013" si="81">IF(G1012&gt;0,(G1012*F1012*E1012),(F1012*E1012))</f>
        <v>1700</v>
      </c>
      <c r="I1012" s="924"/>
    </row>
    <row r="1013" spans="1:9" s="818" customFormat="1" ht="12.75" x14ac:dyDescent="0.2">
      <c r="A1013" s="1077"/>
      <c r="B1013" s="537" t="s">
        <v>1462</v>
      </c>
      <c r="C1013" s="822" t="str">
        <f>VLOOKUP(B1013,'[2]BASE DE DATOS'!$A$5:$E$961,2,FALSE)</f>
        <v>Limpiador removedor PVC ¼</v>
      </c>
      <c r="D1013" s="266" t="str">
        <f>VLOOKUP(B1013,'[2]BASE DE DATOS'!$A$5:$E$961,3,FALSE)</f>
        <v>Un</v>
      </c>
      <c r="E1013" s="160">
        <v>0.25</v>
      </c>
      <c r="F1013" s="256">
        <f>VLOOKUP(B1013,'[1]BASE DE DATOS'!$A$5:$E$964,5,FALSE)</f>
        <v>46900</v>
      </c>
      <c r="G1013" s="161">
        <v>0.01</v>
      </c>
      <c r="H1013" s="252">
        <f t="shared" si="81"/>
        <v>117.25</v>
      </c>
      <c r="I1013" s="924"/>
    </row>
    <row r="1014" spans="1:9" s="818" customFormat="1" ht="12.75" x14ac:dyDescent="0.2">
      <c r="A1014" s="1077"/>
      <c r="B1014" s="537" t="s">
        <v>2962</v>
      </c>
      <c r="C1014" s="822" t="str">
        <f>VLOOKUP(B1014,'[2]BASE DE DATOS'!$A$5:$E$961,2,FALSE)</f>
        <v>Marquilla acrílica 15 x 30 mm</v>
      </c>
      <c r="D1014" s="266" t="str">
        <f>VLOOKUP(B1014,'[2]BASE DE DATOS'!$A$5:$E$961,3,FALSE)</f>
        <v>Un</v>
      </c>
      <c r="E1014" s="160">
        <v>1</v>
      </c>
      <c r="F1014" s="256">
        <f>VLOOKUP(B1014,'[1]BASE DE DATOS'!$A$5:$E$964,5,FALSE)</f>
        <v>3500</v>
      </c>
      <c r="G1014" s="161">
        <v>0</v>
      </c>
      <c r="H1014" s="252">
        <f>IF(G1014&gt;0,(G1014*F1014*E1014),(F1014*E1014))</f>
        <v>3500</v>
      </c>
      <c r="I1014" s="924"/>
    </row>
    <row r="1015" spans="1:9" s="818" customFormat="1" ht="12.75" x14ac:dyDescent="0.2">
      <c r="A1015" s="1077"/>
      <c r="B1015" s="537" t="s">
        <v>1701</v>
      </c>
      <c r="C1015" s="822" t="str">
        <f>VLOOKUP(B1015,'[2]BASE DE DATOS'!$A$5:$E$961,2,FALSE)</f>
        <v>Soldadura PVC (¼ galón)</v>
      </c>
      <c r="D1015" s="266" t="str">
        <f>VLOOKUP(B1015,'[2]BASE DE DATOS'!$A$5:$E$961,3,FALSE)</f>
        <v>Un</v>
      </c>
      <c r="E1015" s="160">
        <v>0.7</v>
      </c>
      <c r="F1015" s="256">
        <f>VLOOKUP(B1015,'[1]BASE DE DATOS'!$A$5:$E$964,5,FALSE)</f>
        <v>80900</v>
      </c>
      <c r="G1015" s="161">
        <v>0.01</v>
      </c>
      <c r="H1015" s="252">
        <f t="shared" ref="H1015:H1016" si="82">IF(G1015&gt;0,(G1015*F1015*E1015),(F1015*E1015))</f>
        <v>566.29999999999995</v>
      </c>
      <c r="I1015" s="924"/>
    </row>
    <row r="1016" spans="1:9" s="818" customFormat="1" ht="12.75" x14ac:dyDescent="0.2">
      <c r="A1016" s="1077"/>
      <c r="B1016" s="537" t="s">
        <v>1849</v>
      </c>
      <c r="C1016" s="822" t="str">
        <f>VLOOKUP(B1016,'[2]BASE DE DATOS'!$A$5:$E$961,2,FALSE)</f>
        <v>Toma sencilla de incrustar 20 A 250 V 2F Turnlock</v>
      </c>
      <c r="D1016" s="266" t="str">
        <f>VLOOKUP(B1016,'[2]BASE DE DATOS'!$A$5:$E$961,3,FALSE)</f>
        <v>Un</v>
      </c>
      <c r="E1016" s="160">
        <v>1</v>
      </c>
      <c r="F1016" s="256">
        <f>VLOOKUP(B1016,'[1]BASE DE DATOS'!$A$5:$E$964,5,FALSE)</f>
        <v>49990</v>
      </c>
      <c r="G1016" s="161">
        <v>1</v>
      </c>
      <c r="H1016" s="252">
        <f t="shared" si="82"/>
        <v>49990</v>
      </c>
      <c r="I1016" s="924"/>
    </row>
    <row r="1017" spans="1:9" s="818" customFormat="1" ht="12.75" x14ac:dyDescent="0.2">
      <c r="A1017" s="1077"/>
      <c r="B1017" s="537" t="s">
        <v>2551</v>
      </c>
      <c r="C1017" s="822" t="str">
        <f>VLOOKUP(B1017,'[2]BASE DE DATOS'!$A$5:$E$961,2,FALSE)</f>
        <v>Tubería conduit PVC 3/4"</v>
      </c>
      <c r="D1017" s="266" t="str">
        <f>VLOOKUP(B1017,'[2]BASE DE DATOS'!$A$5:$E$961,3,FALSE)</f>
        <v>M</v>
      </c>
      <c r="E1017" s="160">
        <v>3</v>
      </c>
      <c r="F1017" s="256">
        <f>VLOOKUP(B1017,'[1]BASE DE DATOS'!$A$5:$E$964,5,FALSE)</f>
        <v>1733.3333333333333</v>
      </c>
      <c r="G1017" s="161">
        <v>1.03</v>
      </c>
      <c r="H1017" s="252">
        <f>IF(G1017&gt;0,(G1017*F1017*E1017),(F1017*E1017))</f>
        <v>5356</v>
      </c>
      <c r="I1017" s="924"/>
    </row>
    <row r="1018" spans="1:9" s="818" customFormat="1" ht="12.75" x14ac:dyDescent="0.2">
      <c r="A1018" s="797" t="s">
        <v>3252</v>
      </c>
      <c r="B1018" s="537" t="s">
        <v>810</v>
      </c>
      <c r="C1018" s="822" t="str">
        <f>VLOOKUP(B1018,[2]CONSTRUCCION!$A$5:$H$923,3,FALSE)</f>
        <v xml:space="preserve">Mortero 1:3 (Producción) </v>
      </c>
      <c r="D1018" s="266" t="str">
        <f>VLOOKUP(B1018,[2]CONSTRUCCION!$A$5:$H$923,4,FALSE)</f>
        <v>M3</v>
      </c>
      <c r="E1018" s="160">
        <v>4.0000000000000001E-3</v>
      </c>
      <c r="F1018" s="23">
        <f>+[2]CONSTRUCCION!$F$90</f>
        <v>517717</v>
      </c>
      <c r="G1018" s="161">
        <v>1.05</v>
      </c>
      <c r="H1018" s="252">
        <f t="shared" ref="H1018:H1020" si="83">IF(G1018&gt;0,(G1018*F1018*E1018),(F1018*E1018))</f>
        <v>2174.4114</v>
      </c>
      <c r="I1018" s="924"/>
    </row>
    <row r="1019" spans="1:9" s="818" customFormat="1" ht="12.75" x14ac:dyDescent="0.2">
      <c r="A1019" s="63" t="s">
        <v>3673</v>
      </c>
      <c r="B1019" s="537" t="s">
        <v>252</v>
      </c>
      <c r="C1019" s="822" t="str">
        <f>VLOOKUP(B1019,'[2]BASE DE DATOS'!$A$5:$E$961,2,FALSE)</f>
        <v>Cuadrilla J (1 Of eléctrico + 1 Ay eléctrico) (jornal + prestaciones)</v>
      </c>
      <c r="D1019" s="266" t="str">
        <f>VLOOKUP(B1019,'[2]BASE DE DATOS'!$A$5:$E$961,3,FALSE)</f>
        <v>Día</v>
      </c>
      <c r="E1019" s="161">
        <v>1</v>
      </c>
      <c r="F1019" s="256">
        <f>VLOOKUP(B1019,'[1]BASE DE DATOS'!$A$5:$E$964,5,FALSE)</f>
        <v>319246</v>
      </c>
      <c r="G1019" s="161">
        <f>1/4</f>
        <v>0.25</v>
      </c>
      <c r="H1019" s="252">
        <f t="shared" si="83"/>
        <v>79811.5</v>
      </c>
      <c r="I1019" s="924"/>
    </row>
    <row r="1020" spans="1:9" s="818" customFormat="1" ht="13.5" thickBot="1" x14ac:dyDescent="0.25">
      <c r="A1020" s="128" t="s">
        <v>293</v>
      </c>
      <c r="B1020" s="537" t="s">
        <v>269</v>
      </c>
      <c r="C1020" s="822" t="str">
        <f>VLOOKUP(B1020,'[2]BASE DE DATOS'!$A$5:$E$961,2,FALSE)</f>
        <v>Herramienta menor (%ManoObra)</v>
      </c>
      <c r="D1020" s="266" t="str">
        <f>VLOOKUP(B1020,'[2]BASE DE DATOS'!$A$5:$E$961,3,FALSE)</f>
        <v>%MO</v>
      </c>
      <c r="E1020" s="160">
        <v>0.1</v>
      </c>
      <c r="F1020" s="845">
        <f>+H1019</f>
        <v>79811.5</v>
      </c>
      <c r="G1020" s="618">
        <v>1</v>
      </c>
      <c r="H1020" s="479">
        <f t="shared" si="83"/>
        <v>7981.1500000000005</v>
      </c>
      <c r="I1020" s="924"/>
    </row>
    <row r="1021" spans="1:9" s="818" customFormat="1" ht="30" x14ac:dyDescent="0.2">
      <c r="A1021" s="294" t="s">
        <v>4204</v>
      </c>
      <c r="B1021" s="876"/>
      <c r="C1021" s="300" t="s">
        <v>1245</v>
      </c>
      <c r="D1021" s="301" t="s">
        <v>411</v>
      </c>
      <c r="E1021" s="302"/>
      <c r="F1021" s="259">
        <f>ROUND(SUM(H1021:H1035),0)</f>
        <v>147278</v>
      </c>
      <c r="G1021" s="713"/>
      <c r="H1021" s="303"/>
      <c r="I1021" s="924"/>
    </row>
    <row r="1022" spans="1:9" s="818" customFormat="1" ht="14.25" customHeight="1" x14ac:dyDescent="0.2">
      <c r="A1022" s="1078" t="s">
        <v>295</v>
      </c>
      <c r="B1022" s="537" t="s">
        <v>1862</v>
      </c>
      <c r="C1022" s="822" t="str">
        <f>VLOOKUP(B1022,'[2]BASE DE DATOS'!$A$5:$E$961,2,FALSE)</f>
        <v>Adaptador terminal conduit PVC ½"</v>
      </c>
      <c r="D1022" s="266" t="str">
        <f>VLOOKUP(B1022,'[2]BASE DE DATOS'!$A$5:$E$961,3,FALSE)</f>
        <v>Un</v>
      </c>
      <c r="E1022" s="160">
        <v>2</v>
      </c>
      <c r="F1022" s="256">
        <f>VLOOKUP(B1022,'[1]BASE DE DATOS'!$A$5:$E$964,5,FALSE)</f>
        <v>400</v>
      </c>
      <c r="G1022" s="161">
        <v>1</v>
      </c>
      <c r="H1022" s="252">
        <f t="shared" ref="H1022:H1035" si="84">IF(G1022&gt;0,(G1022*F1022*E1022),(F1022*E1022))</f>
        <v>800</v>
      </c>
      <c r="I1022" s="924"/>
    </row>
    <row r="1023" spans="1:9" s="818" customFormat="1" ht="12.75" x14ac:dyDescent="0.2">
      <c r="A1023" s="1078"/>
      <c r="B1023" s="537" t="s">
        <v>2553</v>
      </c>
      <c r="C1023" s="822" t="str">
        <f>VLOOKUP(B1023,'[2]BASE DE DATOS'!$A$5:$E$961,2,FALSE)</f>
        <v>Cable Cu aislado # 12 HFFR LS</v>
      </c>
      <c r="D1023" s="266" t="str">
        <f>VLOOKUP(B1023,'[2]BASE DE DATOS'!$A$5:$E$961,3,FALSE)</f>
        <v>M</v>
      </c>
      <c r="E1023" s="160">
        <v>18</v>
      </c>
      <c r="F1023" s="256">
        <f>VLOOKUP(B1023,'[1]BASE DE DATOS'!$A$5:$E$964,5,FALSE)</f>
        <v>2900</v>
      </c>
      <c r="G1023" s="161">
        <v>1.05</v>
      </c>
      <c r="H1023" s="252">
        <f t="shared" si="84"/>
        <v>54810</v>
      </c>
      <c r="I1023" s="924"/>
    </row>
    <row r="1024" spans="1:9" s="818" customFormat="1" ht="12.75" x14ac:dyDescent="0.2">
      <c r="A1024" s="1078"/>
      <c r="B1024" s="537" t="s">
        <v>1861</v>
      </c>
      <c r="C1024" s="822" t="str">
        <f>VLOOKUP(B1024,'[2]BASE DE DATOS'!$A$5:$E$961,2,FALSE)</f>
        <v>Caja 2 x 4 metálica galvanizada</v>
      </c>
      <c r="D1024" s="266" t="str">
        <f>VLOOKUP(B1024,'[2]BASE DE DATOS'!$A$5:$E$961,3,FALSE)</f>
        <v>Un</v>
      </c>
      <c r="E1024" s="160">
        <v>1</v>
      </c>
      <c r="F1024" s="256">
        <f>VLOOKUP(B1024,'[1]BASE DE DATOS'!$A$5:$E$964,5,FALSE)</f>
        <v>1890</v>
      </c>
      <c r="G1024" s="161">
        <v>1</v>
      </c>
      <c r="H1024" s="252">
        <f t="shared" si="84"/>
        <v>1890</v>
      </c>
      <c r="I1024" s="924"/>
    </row>
    <row r="1025" spans="1:9" s="818" customFormat="1" ht="12.75" x14ac:dyDescent="0.2">
      <c r="A1025" s="1078"/>
      <c r="B1025" s="537" t="s">
        <v>1342</v>
      </c>
      <c r="C1025" s="822" t="str">
        <f>VLOOKUP(B1025,'[2]BASE DE DATOS'!$A$5:$E$961,2,FALSE)</f>
        <v xml:space="preserve">Cinta aislante electrica de PVC (19 mm x 20 m) tipo Scotch Super 33 o similar </v>
      </c>
      <c r="D1025" s="266" t="str">
        <f>VLOOKUP(B1025,'[2]BASE DE DATOS'!$A$5:$E$961,3,FALSE)</f>
        <v>M</v>
      </c>
      <c r="E1025" s="160">
        <v>1</v>
      </c>
      <c r="F1025" s="256">
        <f>VLOOKUP(B1025,'[1]BASE DE DATOS'!$A$5:$E$964,5,FALSE)</f>
        <v>28050</v>
      </c>
      <c r="G1025" s="161">
        <v>5.2999999999999999E-2</v>
      </c>
      <c r="H1025" s="252">
        <f t="shared" si="84"/>
        <v>1486.6499999999999</v>
      </c>
      <c r="I1025" s="924"/>
    </row>
    <row r="1026" spans="1:9" s="818" customFormat="1" ht="12.75" x14ac:dyDescent="0.2">
      <c r="A1026" s="1078"/>
      <c r="B1026" s="537" t="s">
        <v>1859</v>
      </c>
      <c r="C1026" s="822" t="str">
        <f>VLOOKUP(B1026,'[2]BASE DE DATOS'!$A$5:$E$961,2,FALSE)</f>
        <v>Conector tipo resorte para cable Nº 14/12 (MAT,504)</v>
      </c>
      <c r="D1026" s="266" t="str">
        <f>VLOOKUP(B1026,'[2]BASE DE DATOS'!$A$5:$E$961,3,FALSE)</f>
        <v>Un</v>
      </c>
      <c r="E1026" s="160">
        <v>3</v>
      </c>
      <c r="F1026" s="256">
        <f>VLOOKUP(B1026,'[1]BASE DE DATOS'!$A$5:$E$964,5,FALSE)</f>
        <v>2350</v>
      </c>
      <c r="G1026" s="712">
        <v>1</v>
      </c>
      <c r="H1026" s="252">
        <f t="shared" si="84"/>
        <v>7050</v>
      </c>
      <c r="I1026" s="924"/>
    </row>
    <row r="1027" spans="1:9" s="818" customFormat="1" ht="12.75" x14ac:dyDescent="0.2">
      <c r="A1027" s="1078"/>
      <c r="B1027" s="537" t="s">
        <v>1805</v>
      </c>
      <c r="C1027" s="822" t="str">
        <f>VLOOKUP(B1027,'[2]BASE DE DATOS'!$A$5:$E$961,2,FALSE)</f>
        <v>Curva conduit PVC ½"</v>
      </c>
      <c r="D1027" s="266" t="str">
        <f>VLOOKUP(B1027,'[2]BASE DE DATOS'!$A$5:$E$961,3,FALSE)</f>
        <v>Un</v>
      </c>
      <c r="E1027" s="160">
        <v>1</v>
      </c>
      <c r="F1027" s="256">
        <f>VLOOKUP(B1027,'[1]BASE DE DATOS'!$A$5:$E$964,5,FALSE)</f>
        <v>1100</v>
      </c>
      <c r="G1027" s="161">
        <v>1</v>
      </c>
      <c r="H1027" s="252">
        <f t="shared" si="84"/>
        <v>1100</v>
      </c>
      <c r="I1027" s="924"/>
    </row>
    <row r="1028" spans="1:9" s="818" customFormat="1" ht="12.75" x14ac:dyDescent="0.2">
      <c r="A1028" s="1078"/>
      <c r="B1028" s="537" t="s">
        <v>1462</v>
      </c>
      <c r="C1028" s="822" t="str">
        <f>VLOOKUP(B1028,'[2]BASE DE DATOS'!$A$5:$E$961,2,FALSE)</f>
        <v>Limpiador removedor PVC ¼</v>
      </c>
      <c r="D1028" s="266" t="str">
        <f>VLOOKUP(B1028,'[2]BASE DE DATOS'!$A$5:$E$961,3,FALSE)</f>
        <v>Un</v>
      </c>
      <c r="E1028" s="160">
        <v>0.25</v>
      </c>
      <c r="F1028" s="256">
        <f>VLOOKUP(B1028,'[1]BASE DE DATOS'!$A$5:$E$964,5,FALSE)</f>
        <v>46900</v>
      </c>
      <c r="G1028" s="161">
        <v>0.01</v>
      </c>
      <c r="H1028" s="252">
        <f t="shared" si="84"/>
        <v>117.25</v>
      </c>
      <c r="I1028" s="924"/>
    </row>
    <row r="1029" spans="1:9" s="818" customFormat="1" ht="12.75" x14ac:dyDescent="0.2">
      <c r="A1029" s="1078"/>
      <c r="B1029" s="537" t="s">
        <v>2962</v>
      </c>
      <c r="C1029" s="822" t="str">
        <f>VLOOKUP(B1029,'[2]BASE DE DATOS'!$A$5:$E$961,2,FALSE)</f>
        <v>Marquilla acrílica 15 x 30 mm</v>
      </c>
      <c r="D1029" s="266" t="str">
        <f>VLOOKUP(B1029,'[2]BASE DE DATOS'!$A$5:$E$961,3,FALSE)</f>
        <v>Un</v>
      </c>
      <c r="E1029" s="160">
        <v>1</v>
      </c>
      <c r="F1029" s="256">
        <f>VLOOKUP(B1029,'[1]BASE DE DATOS'!$A$5:$E$964,5,FALSE)</f>
        <v>3500</v>
      </c>
      <c r="G1029" s="161">
        <v>1</v>
      </c>
      <c r="H1029" s="252">
        <f t="shared" si="84"/>
        <v>3500</v>
      </c>
      <c r="I1029" s="924"/>
    </row>
    <row r="1030" spans="1:9" s="818" customFormat="1" ht="12.75" x14ac:dyDescent="0.2">
      <c r="A1030" s="1078"/>
      <c r="B1030" s="537" t="s">
        <v>1701</v>
      </c>
      <c r="C1030" s="822" t="str">
        <f>VLOOKUP(B1030,'[2]BASE DE DATOS'!$A$5:$E$961,2,FALSE)</f>
        <v>Soldadura PVC (¼ galón)</v>
      </c>
      <c r="D1030" s="266" t="str">
        <f>VLOOKUP(B1030,'[2]BASE DE DATOS'!$A$5:$E$961,3,FALSE)</f>
        <v>Un</v>
      </c>
      <c r="E1030" s="160">
        <v>0.7</v>
      </c>
      <c r="F1030" s="256">
        <f>VLOOKUP(B1030,'[1]BASE DE DATOS'!$A$5:$E$964,5,FALSE)</f>
        <v>80900</v>
      </c>
      <c r="G1030" s="161">
        <v>0.01</v>
      </c>
      <c r="H1030" s="252">
        <f t="shared" si="84"/>
        <v>566.29999999999995</v>
      </c>
      <c r="I1030" s="924"/>
    </row>
    <row r="1031" spans="1:9" s="818" customFormat="1" ht="12.75" x14ac:dyDescent="0.2">
      <c r="A1031" s="1078"/>
      <c r="B1031" s="537" t="s">
        <v>1855</v>
      </c>
      <c r="C1031" s="822" t="str">
        <f>VLOOKUP(B1031,'[2]BASE DE DATOS'!$A$5:$E$961,2,FALSE)</f>
        <v>Toma corriente doble con polo a tierra, marca Luminex o similar</v>
      </c>
      <c r="D1031" s="266" t="str">
        <f>VLOOKUP(B1031,'[2]BASE DE DATOS'!$A$5:$E$961,3,FALSE)</f>
        <v>Un</v>
      </c>
      <c r="E1031" s="160">
        <v>1</v>
      </c>
      <c r="F1031" s="256">
        <f>VLOOKUP(B1031,'[1]BASE DE DATOS'!$A$5:$E$964,5,FALSE)</f>
        <v>6150</v>
      </c>
      <c r="G1031" s="161">
        <v>1</v>
      </c>
      <c r="H1031" s="252">
        <f t="shared" si="84"/>
        <v>6150</v>
      </c>
      <c r="I1031" s="924"/>
    </row>
    <row r="1032" spans="1:9" s="818" customFormat="1" ht="12.75" x14ac:dyDescent="0.2">
      <c r="A1032" s="1078"/>
      <c r="B1032" s="537" t="s">
        <v>1863</v>
      </c>
      <c r="C1032" s="822" t="str">
        <f>VLOOKUP(B1032,'[2]BASE DE DATOS'!$A$5:$E$961,2,FALSE)</f>
        <v>Tubería conduit PVC ½"</v>
      </c>
      <c r="D1032" s="266" t="str">
        <f>VLOOKUP(B1032,'[2]BASE DE DATOS'!$A$5:$E$961,3,FALSE)</f>
        <v>M</v>
      </c>
      <c r="E1032" s="160">
        <v>6</v>
      </c>
      <c r="F1032" s="256">
        <f>VLOOKUP(B1032,'[1]BASE DE DATOS'!$A$5:$E$964,5,FALSE)</f>
        <v>1283.3333333333333</v>
      </c>
      <c r="G1032" s="161">
        <v>1.03</v>
      </c>
      <c r="H1032" s="252">
        <f t="shared" si="84"/>
        <v>7931</v>
      </c>
      <c r="I1032" s="924"/>
    </row>
    <row r="1033" spans="1:9" s="818" customFormat="1" ht="12.75" x14ac:dyDescent="0.2">
      <c r="A1033" s="797" t="s">
        <v>3252</v>
      </c>
      <c r="B1033" s="537" t="s">
        <v>810</v>
      </c>
      <c r="C1033" s="822" t="str">
        <f>VLOOKUP(B1033,[2]CONSTRUCCION!$A$5:$H$923,3,FALSE)</f>
        <v xml:space="preserve">Mortero 1:3 (Producción) </v>
      </c>
      <c r="D1033" s="266" t="str">
        <f>VLOOKUP(B1033,[2]CONSTRUCCION!$A$5:$H$923,4,FALSE)</f>
        <v>M3</v>
      </c>
      <c r="E1033" s="160">
        <v>4.0000000000000001E-3</v>
      </c>
      <c r="F1033" s="23">
        <f>+[2]CONSTRUCCION!$F$90</f>
        <v>517717</v>
      </c>
      <c r="G1033" s="161">
        <v>1.05</v>
      </c>
      <c r="H1033" s="252">
        <f t="shared" si="84"/>
        <v>2174.4114</v>
      </c>
      <c r="I1033" s="924"/>
    </row>
    <row r="1034" spans="1:9" s="818" customFormat="1" ht="12.75" x14ac:dyDescent="0.2">
      <c r="A1034" s="63" t="s">
        <v>3673</v>
      </c>
      <c r="B1034" s="537" t="s">
        <v>252</v>
      </c>
      <c r="C1034" s="822" t="str">
        <f>VLOOKUP(B1034,'[2]BASE DE DATOS'!$A$5:$E$961,2,FALSE)</f>
        <v>Cuadrilla J (1 Of eléctrico + 1 Ay eléctrico) (jornal + prestaciones)</v>
      </c>
      <c r="D1034" s="266" t="str">
        <f>VLOOKUP(B1034,'[2]BASE DE DATOS'!$A$5:$E$961,3,FALSE)</f>
        <v>Día</v>
      </c>
      <c r="E1034" s="161">
        <v>1</v>
      </c>
      <c r="F1034" s="256">
        <f>VLOOKUP(B1034,'[1]BASE DE DATOS'!$A$5:$E$964,5,FALSE)</f>
        <v>319246</v>
      </c>
      <c r="G1034" s="161">
        <f>1/5.882</f>
        <v>0.17001020061203673</v>
      </c>
      <c r="H1034" s="252">
        <f t="shared" si="84"/>
        <v>54275.076504590274</v>
      </c>
      <c r="I1034" s="924"/>
    </row>
    <row r="1035" spans="1:9" s="818" customFormat="1" ht="13.5" thickBot="1" x14ac:dyDescent="0.25">
      <c r="A1035" s="128" t="s">
        <v>293</v>
      </c>
      <c r="B1035" s="537" t="s">
        <v>269</v>
      </c>
      <c r="C1035" s="822" t="str">
        <f>VLOOKUP(B1035,'[2]BASE DE DATOS'!$A$5:$E$961,2,FALSE)</f>
        <v>Herramienta menor (%ManoObra)</v>
      </c>
      <c r="D1035" s="266" t="str">
        <f>VLOOKUP(B1035,'[2]BASE DE DATOS'!$A$5:$E$961,3,FALSE)</f>
        <v>%MO</v>
      </c>
      <c r="E1035" s="160">
        <v>0.1</v>
      </c>
      <c r="F1035" s="845">
        <f>+H1034</f>
        <v>54275.076504590274</v>
      </c>
      <c r="G1035" s="618">
        <v>1</v>
      </c>
      <c r="H1035" s="479">
        <f t="shared" si="84"/>
        <v>5427.5076504590279</v>
      </c>
      <c r="I1035" s="924"/>
    </row>
    <row r="1036" spans="1:9" s="818" customFormat="1" ht="30" x14ac:dyDescent="0.2">
      <c r="A1036" s="294" t="s">
        <v>4205</v>
      </c>
      <c r="B1036" s="876"/>
      <c r="C1036" s="300" t="s">
        <v>1246</v>
      </c>
      <c r="D1036" s="301" t="s">
        <v>411</v>
      </c>
      <c r="E1036" s="302"/>
      <c r="F1036" s="259">
        <f>ROUND(SUM(H1036:H1050),0)</f>
        <v>181300</v>
      </c>
      <c r="G1036" s="713"/>
      <c r="H1036" s="303"/>
      <c r="I1036" s="924"/>
    </row>
    <row r="1037" spans="1:9" s="818" customFormat="1" ht="14.25" customHeight="1" x14ac:dyDescent="0.2">
      <c r="A1037" s="1078" t="s">
        <v>295</v>
      </c>
      <c r="B1037" s="537" t="s">
        <v>1862</v>
      </c>
      <c r="C1037" s="822" t="str">
        <f>VLOOKUP(B1037,'[2]BASE DE DATOS'!$A$5:$E$961,2,FALSE)</f>
        <v>Adaptador terminal conduit PVC ½"</v>
      </c>
      <c r="D1037" s="266" t="str">
        <f>VLOOKUP(B1037,'[2]BASE DE DATOS'!$A$5:$E$961,3,FALSE)</f>
        <v>Un</v>
      </c>
      <c r="E1037" s="160">
        <v>2</v>
      </c>
      <c r="F1037" s="256">
        <f>VLOOKUP(B1037,'[1]BASE DE DATOS'!$A$5:$E$964,5,FALSE)</f>
        <v>400</v>
      </c>
      <c r="G1037" s="161">
        <v>1</v>
      </c>
      <c r="H1037" s="252">
        <f t="shared" ref="H1037:H1050" si="85">IF(G1037&gt;0,(G1037*F1037*E1037),(F1037*E1037))</f>
        <v>800</v>
      </c>
      <c r="I1037" s="924"/>
    </row>
    <row r="1038" spans="1:9" s="818" customFormat="1" ht="12.75" x14ac:dyDescent="0.2">
      <c r="A1038" s="1078"/>
      <c r="B1038" s="537" t="s">
        <v>2553</v>
      </c>
      <c r="C1038" s="822" t="str">
        <f>VLOOKUP(B1038,'[2]BASE DE DATOS'!$A$5:$E$961,2,FALSE)</f>
        <v>Cable Cu aislado # 12 HFFR LS</v>
      </c>
      <c r="D1038" s="266" t="str">
        <f>VLOOKUP(B1038,'[2]BASE DE DATOS'!$A$5:$E$961,3,FALSE)</f>
        <v>M</v>
      </c>
      <c r="E1038" s="160">
        <v>18</v>
      </c>
      <c r="F1038" s="256">
        <f>VLOOKUP(B1038,'[1]BASE DE DATOS'!$A$5:$E$964,5,FALSE)</f>
        <v>2900</v>
      </c>
      <c r="G1038" s="161">
        <v>1.05</v>
      </c>
      <c r="H1038" s="252">
        <f t="shared" si="85"/>
        <v>54810</v>
      </c>
      <c r="I1038" s="924"/>
    </row>
    <row r="1039" spans="1:9" s="818" customFormat="1" ht="12.75" x14ac:dyDescent="0.2">
      <c r="A1039" s="1078"/>
      <c r="B1039" s="537" t="s">
        <v>1861</v>
      </c>
      <c r="C1039" s="822" t="str">
        <f>VLOOKUP(B1039,'[2]BASE DE DATOS'!$A$5:$E$961,2,FALSE)</f>
        <v>Caja 2 x 4 metálica galvanizada</v>
      </c>
      <c r="D1039" s="266" t="str">
        <f>VLOOKUP(B1039,'[2]BASE DE DATOS'!$A$5:$E$961,3,FALSE)</f>
        <v>Un</v>
      </c>
      <c r="E1039" s="160">
        <v>1</v>
      </c>
      <c r="F1039" s="256">
        <f>VLOOKUP(B1039,'[1]BASE DE DATOS'!$A$5:$E$964,5,FALSE)</f>
        <v>1890</v>
      </c>
      <c r="G1039" s="161">
        <v>1</v>
      </c>
      <c r="H1039" s="252">
        <f t="shared" si="85"/>
        <v>1890</v>
      </c>
      <c r="I1039" s="924"/>
    </row>
    <row r="1040" spans="1:9" s="818" customFormat="1" ht="25.5" x14ac:dyDescent="0.2">
      <c r="A1040" s="1078"/>
      <c r="B1040" s="537" t="s">
        <v>1342</v>
      </c>
      <c r="C1040" s="279" t="str">
        <f>VLOOKUP(B1040,'[2]BASE DE DATOS'!$A$5:$E$961,2,FALSE)</f>
        <v xml:space="preserve">Cinta aislante electrica de PVC (19 mm x 20 m) tipo Scotch Super 33 o similar </v>
      </c>
      <c r="D1040" s="266" t="str">
        <f>VLOOKUP(B1040,'[2]BASE DE DATOS'!$A$5:$E$961,3,FALSE)</f>
        <v>M</v>
      </c>
      <c r="E1040" s="160">
        <v>1</v>
      </c>
      <c r="F1040" s="256">
        <f>VLOOKUP(B1040,'[1]BASE DE DATOS'!$A$5:$E$964,5,FALSE)</f>
        <v>28050</v>
      </c>
      <c r="G1040" s="161">
        <v>5.2999999999999999E-2</v>
      </c>
      <c r="H1040" s="252">
        <f t="shared" si="85"/>
        <v>1486.6499999999999</v>
      </c>
      <c r="I1040" s="924"/>
    </row>
    <row r="1041" spans="1:9" s="818" customFormat="1" ht="12.75" x14ac:dyDescent="0.2">
      <c r="A1041" s="1078"/>
      <c r="B1041" s="537" t="s">
        <v>1859</v>
      </c>
      <c r="C1041" s="822" t="str">
        <f>VLOOKUP(B1041,'[2]BASE DE DATOS'!$A$5:$E$961,2,FALSE)</f>
        <v>Conector tipo resorte para cable Nº 14/12 (MAT,504)</v>
      </c>
      <c r="D1041" s="266" t="str">
        <f>VLOOKUP(B1041,'[2]BASE DE DATOS'!$A$5:$E$961,3,FALSE)</f>
        <v>Un</v>
      </c>
      <c r="E1041" s="160">
        <v>3</v>
      </c>
      <c r="F1041" s="256">
        <f>VLOOKUP(B1041,'[1]BASE DE DATOS'!$A$5:$E$964,5,FALSE)</f>
        <v>2350</v>
      </c>
      <c r="G1041" s="712">
        <v>1</v>
      </c>
      <c r="H1041" s="252">
        <f t="shared" si="85"/>
        <v>7050</v>
      </c>
      <c r="I1041" s="924"/>
    </row>
    <row r="1042" spans="1:9" s="818" customFormat="1" ht="12.75" x14ac:dyDescent="0.2">
      <c r="A1042" s="1078"/>
      <c r="B1042" s="537" t="s">
        <v>1805</v>
      </c>
      <c r="C1042" s="822" t="str">
        <f>VLOOKUP(B1042,'[2]BASE DE DATOS'!$A$5:$E$961,2,FALSE)</f>
        <v>Curva conduit PVC ½"</v>
      </c>
      <c r="D1042" s="266" t="str">
        <f>VLOOKUP(B1042,'[2]BASE DE DATOS'!$A$5:$E$961,3,FALSE)</f>
        <v>Un</v>
      </c>
      <c r="E1042" s="160">
        <v>1</v>
      </c>
      <c r="F1042" s="256">
        <f>VLOOKUP(B1042,'[1]BASE DE DATOS'!$A$5:$E$964,5,FALSE)</f>
        <v>1100</v>
      </c>
      <c r="G1042" s="161">
        <v>1</v>
      </c>
      <c r="H1042" s="252">
        <f t="shared" si="85"/>
        <v>1100</v>
      </c>
      <c r="I1042" s="924"/>
    </row>
    <row r="1043" spans="1:9" s="818" customFormat="1" ht="12.75" x14ac:dyDescent="0.2">
      <c r="A1043" s="1078"/>
      <c r="B1043" s="537" t="s">
        <v>1462</v>
      </c>
      <c r="C1043" s="822" t="str">
        <f>VLOOKUP(B1043,'[2]BASE DE DATOS'!$A$5:$E$961,2,FALSE)</f>
        <v>Limpiador removedor PVC ¼</v>
      </c>
      <c r="D1043" s="266" t="str">
        <f>VLOOKUP(B1043,'[2]BASE DE DATOS'!$A$5:$E$961,3,FALSE)</f>
        <v>Un</v>
      </c>
      <c r="E1043" s="160">
        <v>0.25</v>
      </c>
      <c r="F1043" s="256">
        <f>VLOOKUP(B1043,'[1]BASE DE DATOS'!$A$5:$E$964,5,FALSE)</f>
        <v>46900</v>
      </c>
      <c r="G1043" s="161">
        <v>0.01</v>
      </c>
      <c r="H1043" s="252">
        <f t="shared" si="85"/>
        <v>117.25</v>
      </c>
      <c r="I1043" s="924"/>
    </row>
    <row r="1044" spans="1:9" s="818" customFormat="1" ht="12.75" x14ac:dyDescent="0.2">
      <c r="A1044" s="1078"/>
      <c r="B1044" s="537" t="s">
        <v>2962</v>
      </c>
      <c r="C1044" s="822" t="str">
        <f>VLOOKUP(B1044,'[2]BASE DE DATOS'!$A$5:$E$961,2,FALSE)</f>
        <v>Marquilla acrílica 15 x 30 mm</v>
      </c>
      <c r="D1044" s="266" t="str">
        <f>VLOOKUP(B1044,'[2]BASE DE DATOS'!$A$5:$E$961,3,FALSE)</f>
        <v>Un</v>
      </c>
      <c r="E1044" s="160">
        <v>1</v>
      </c>
      <c r="F1044" s="256">
        <f>VLOOKUP(B1044,'[1]BASE DE DATOS'!$A$5:$E$964,5,FALSE)</f>
        <v>3500</v>
      </c>
      <c r="G1044" s="161">
        <v>0</v>
      </c>
      <c r="H1044" s="252">
        <f t="shared" si="85"/>
        <v>3500</v>
      </c>
      <c r="I1044" s="924"/>
    </row>
    <row r="1045" spans="1:9" s="818" customFormat="1" ht="12.75" x14ac:dyDescent="0.2">
      <c r="A1045" s="1078"/>
      <c r="B1045" s="537" t="s">
        <v>1701</v>
      </c>
      <c r="C1045" s="822" t="str">
        <f>VLOOKUP(B1045,'[2]BASE DE DATOS'!$A$5:$E$961,2,FALSE)</f>
        <v>Soldadura PVC (¼ galón)</v>
      </c>
      <c r="D1045" s="266" t="str">
        <f>VLOOKUP(B1045,'[2]BASE DE DATOS'!$A$5:$E$961,3,FALSE)</f>
        <v>Un</v>
      </c>
      <c r="E1045" s="160">
        <v>0.7</v>
      </c>
      <c r="F1045" s="256">
        <f>VLOOKUP(B1045,'[1]BASE DE DATOS'!$A$5:$E$964,5,FALSE)</f>
        <v>80900</v>
      </c>
      <c r="G1045" s="161">
        <v>0.01</v>
      </c>
      <c r="H1045" s="252">
        <f t="shared" si="85"/>
        <v>566.29999999999995</v>
      </c>
      <c r="I1045" s="924"/>
    </row>
    <row r="1046" spans="1:9" s="818" customFormat="1" ht="12.75" x14ac:dyDescent="0.2">
      <c r="A1046" s="1078"/>
      <c r="B1046" s="537" t="s">
        <v>1850</v>
      </c>
      <c r="C1046" s="822" t="str">
        <f>VLOOKUP(B1046,'[2]BASE DE DATOS'!$A$5:$E$961,2,FALSE)</f>
        <v>Toma corriente doble tipo GFCI, marca Luminex o similar</v>
      </c>
      <c r="D1046" s="266" t="str">
        <f>VLOOKUP(B1046,'[2]BASE DE DATOS'!$A$5:$E$961,3,FALSE)</f>
        <v>Un</v>
      </c>
      <c r="E1046" s="160">
        <v>1</v>
      </c>
      <c r="F1046" s="256">
        <f>VLOOKUP(B1046,'[1]BASE DE DATOS'!$A$5:$E$964,5,FALSE)</f>
        <v>33150</v>
      </c>
      <c r="G1046" s="161">
        <v>1</v>
      </c>
      <c r="H1046" s="252">
        <f t="shared" si="85"/>
        <v>33150</v>
      </c>
      <c r="I1046" s="924"/>
    </row>
    <row r="1047" spans="1:9" s="818" customFormat="1" ht="12.75" x14ac:dyDescent="0.2">
      <c r="A1047" s="1078"/>
      <c r="B1047" s="537" t="s">
        <v>1863</v>
      </c>
      <c r="C1047" s="822" t="str">
        <f>VLOOKUP(B1047,'[2]BASE DE DATOS'!$A$5:$E$961,2,FALSE)</f>
        <v>Tubería conduit PVC ½"</v>
      </c>
      <c r="D1047" s="266" t="str">
        <f>VLOOKUP(B1047,'[2]BASE DE DATOS'!$A$5:$E$961,3,FALSE)</f>
        <v>M</v>
      </c>
      <c r="E1047" s="160">
        <v>6</v>
      </c>
      <c r="F1047" s="256">
        <f>VLOOKUP(B1047,'[1]BASE DE DATOS'!$A$5:$E$964,5,FALSE)</f>
        <v>1283.3333333333333</v>
      </c>
      <c r="G1047" s="161">
        <v>1.03</v>
      </c>
      <c r="H1047" s="252">
        <f t="shared" si="85"/>
        <v>7931</v>
      </c>
      <c r="I1047" s="924"/>
    </row>
    <row r="1048" spans="1:9" s="818" customFormat="1" ht="12.75" x14ac:dyDescent="0.2">
      <c r="A1048" s="797" t="s">
        <v>3252</v>
      </c>
      <c r="B1048" s="537" t="s">
        <v>810</v>
      </c>
      <c r="C1048" s="822" t="str">
        <f>VLOOKUP(B1048,[2]CONSTRUCCION!$A$5:$H$923,3,FALSE)</f>
        <v xml:space="preserve">Mortero 1:3 (Producción) </v>
      </c>
      <c r="D1048" s="266" t="str">
        <f>VLOOKUP(B1048,[2]CONSTRUCCION!$A$5:$H$923,4,FALSE)</f>
        <v>M3</v>
      </c>
      <c r="E1048" s="160">
        <v>4.0000000000000001E-3</v>
      </c>
      <c r="F1048" s="23">
        <f>+[2]CONSTRUCCION!$F$90</f>
        <v>517717</v>
      </c>
      <c r="G1048" s="161">
        <v>1.05</v>
      </c>
      <c r="H1048" s="252">
        <f t="shared" si="85"/>
        <v>2174.4114</v>
      </c>
      <c r="I1048" s="924"/>
    </row>
    <row r="1049" spans="1:9" s="818" customFormat="1" ht="12.75" x14ac:dyDescent="0.2">
      <c r="A1049" s="63" t="s">
        <v>3673</v>
      </c>
      <c r="B1049" s="537" t="s">
        <v>252</v>
      </c>
      <c r="C1049" s="822" t="str">
        <f>VLOOKUP(B1049,'[2]BASE DE DATOS'!$A$5:$E$961,2,FALSE)</f>
        <v>Cuadrilla J (1 Of eléctrico + 1 Ay eléctrico) (jornal + prestaciones)</v>
      </c>
      <c r="D1049" s="266" t="str">
        <f>VLOOKUP(B1049,'[2]BASE DE DATOS'!$A$5:$E$961,3,FALSE)</f>
        <v>Día</v>
      </c>
      <c r="E1049" s="161">
        <v>1</v>
      </c>
      <c r="F1049" s="256">
        <f>VLOOKUP(B1049,'[1]BASE DE DATOS'!$A$5:$E$964,5,FALSE)</f>
        <v>319246</v>
      </c>
      <c r="G1049" s="161">
        <f>1/5.263</f>
        <v>0.19000570017100513</v>
      </c>
      <c r="H1049" s="252">
        <f t="shared" si="85"/>
        <v>60658.559756792703</v>
      </c>
      <c r="I1049" s="924"/>
    </row>
    <row r="1050" spans="1:9" s="818" customFormat="1" ht="13.5" thickBot="1" x14ac:dyDescent="0.25">
      <c r="A1050" s="128" t="s">
        <v>293</v>
      </c>
      <c r="B1050" s="537" t="s">
        <v>269</v>
      </c>
      <c r="C1050" s="822" t="str">
        <f>VLOOKUP(B1050,'[2]BASE DE DATOS'!$A$5:$E$961,2,FALSE)</f>
        <v>Herramienta menor (%ManoObra)</v>
      </c>
      <c r="D1050" s="266" t="str">
        <f>VLOOKUP(B1050,'[2]BASE DE DATOS'!$A$5:$E$961,3,FALSE)</f>
        <v>%MO</v>
      </c>
      <c r="E1050" s="160">
        <v>0.1</v>
      </c>
      <c r="F1050" s="845">
        <f>+H1049</f>
        <v>60658.559756792703</v>
      </c>
      <c r="G1050" s="618">
        <v>1</v>
      </c>
      <c r="H1050" s="479">
        <f t="shared" si="85"/>
        <v>6065.8559756792711</v>
      </c>
      <c r="I1050" s="924"/>
    </row>
    <row r="1051" spans="1:9" s="818" customFormat="1" ht="30" x14ac:dyDescent="0.2">
      <c r="A1051" s="294" t="s">
        <v>4206</v>
      </c>
      <c r="B1051" s="876"/>
      <c r="C1051" s="300" t="s">
        <v>3637</v>
      </c>
      <c r="D1051" s="301" t="s">
        <v>411</v>
      </c>
      <c r="E1051" s="302"/>
      <c r="F1051" s="259">
        <f>ROUND(SUM(H1051:H1062),0)</f>
        <v>194931</v>
      </c>
      <c r="G1051" s="713"/>
      <c r="H1051" s="303"/>
      <c r="I1051" s="924">
        <v>17</v>
      </c>
    </row>
    <row r="1052" spans="1:9" s="818" customFormat="1" ht="14.25" customHeight="1" x14ac:dyDescent="0.2">
      <c r="A1052" s="1076" t="s">
        <v>295</v>
      </c>
      <c r="B1052" s="537" t="s">
        <v>1852</v>
      </c>
      <c r="C1052" s="822" t="str">
        <f>VLOOKUP(B1052,'[2]BASE DE DATOS'!$A$5:$E$961,2,FALSE)</f>
        <v>Adaptador terminal EMT 3/4"</v>
      </c>
      <c r="D1052" s="266" t="str">
        <f>VLOOKUP(B1052,'[2]BASE DE DATOS'!$A$5:$E$961,3,FALSE)</f>
        <v>Un</v>
      </c>
      <c r="E1052" s="160">
        <v>2</v>
      </c>
      <c r="F1052" s="256">
        <f>VLOOKUP(B1052,'[1]BASE DE DATOS'!$A$5:$E$964,5,FALSE)</f>
        <v>2200</v>
      </c>
      <c r="G1052" s="161">
        <v>1</v>
      </c>
      <c r="H1052" s="252">
        <f>IF(G1052&gt;0,(G1052*F1052*E1052),(F1052*E1052))</f>
        <v>4400</v>
      </c>
      <c r="I1052" s="924"/>
    </row>
    <row r="1053" spans="1:9" s="818" customFormat="1" ht="12.75" x14ac:dyDescent="0.2">
      <c r="A1053" s="1076"/>
      <c r="B1053" s="537" t="s">
        <v>1860</v>
      </c>
      <c r="C1053" s="822" t="str">
        <f>VLOOKUP(B1053,'[2]BASE DE DATOS'!$A$5:$E$961,2,FALSE)</f>
        <v>Cable Cu aislado # 12 AWG THHN/THWN</v>
      </c>
      <c r="D1053" s="266" t="str">
        <f>VLOOKUP(B1053,'[2]BASE DE DATOS'!$A$5:$E$961,3,FALSE)</f>
        <v>M</v>
      </c>
      <c r="E1053" s="160">
        <v>12</v>
      </c>
      <c r="F1053" s="256">
        <f>VLOOKUP(B1053,'[1]BASE DE DATOS'!$A$5:$E$964,5,FALSE)</f>
        <v>2600</v>
      </c>
      <c r="G1053" s="161">
        <v>1.05</v>
      </c>
      <c r="H1053" s="252">
        <f>IF(G1053&gt;0,(G1053*F1053*E1053),(F1053*E1053))</f>
        <v>32760</v>
      </c>
      <c r="I1053" s="924"/>
    </row>
    <row r="1054" spans="1:9" s="818" customFormat="1" ht="12.75" x14ac:dyDescent="0.2">
      <c r="A1054" s="1076"/>
      <c r="B1054" s="537" t="s">
        <v>1851</v>
      </c>
      <c r="C1054" s="822" t="str">
        <f>VLOOKUP(B1054,'[2]BASE DE DATOS'!$A$5:$E$961,2,FALSE)</f>
        <v>Caja radwell 2 x 4" 4 salida 3/4"</v>
      </c>
      <c r="D1054" s="266" t="str">
        <f>VLOOKUP(B1054,'[2]BASE DE DATOS'!$A$5:$E$961,3,FALSE)</f>
        <v>Un</v>
      </c>
      <c r="E1054" s="160">
        <v>1</v>
      </c>
      <c r="F1054" s="256">
        <f>VLOOKUP(B1054,'[1]BASE DE DATOS'!$A$5:$E$964,5,FALSE)</f>
        <v>11500</v>
      </c>
      <c r="G1054" s="161">
        <v>1</v>
      </c>
      <c r="H1054" s="252">
        <f>IF(G1054&gt;0,(G1054*F1054*E1054),(F1054*E1054))</f>
        <v>11500</v>
      </c>
      <c r="I1054" s="924"/>
    </row>
    <row r="1055" spans="1:9" s="818" customFormat="1" ht="25.5" x14ac:dyDescent="0.2">
      <c r="A1055" s="1076"/>
      <c r="B1055" s="537" t="s">
        <v>1342</v>
      </c>
      <c r="C1055" s="279" t="str">
        <f>VLOOKUP(B1055,'[2]BASE DE DATOS'!$A$5:$E$961,2,FALSE)</f>
        <v xml:space="preserve">Cinta aislante electrica de PVC (19 mm x 20 m) tipo Scotch Super 33 o similar </v>
      </c>
      <c r="D1055" s="266" t="str">
        <f>VLOOKUP(B1055,'[2]BASE DE DATOS'!$A$5:$E$961,3,FALSE)</f>
        <v>M</v>
      </c>
      <c r="E1055" s="160">
        <v>1</v>
      </c>
      <c r="F1055" s="256">
        <f>VLOOKUP(B1055,'[1]BASE DE DATOS'!$A$5:$E$964,5,FALSE)</f>
        <v>28050</v>
      </c>
      <c r="G1055" s="161">
        <v>5.2999999999999999E-2</v>
      </c>
      <c r="H1055" s="252">
        <f>IF(G1055&gt;0,(G1055*F1055*E1055),(F1055*E1055))</f>
        <v>1486.6499999999999</v>
      </c>
      <c r="I1055" s="924"/>
    </row>
    <row r="1056" spans="1:9" s="818" customFormat="1" ht="12.75" x14ac:dyDescent="0.2">
      <c r="A1056" s="1076"/>
      <c r="B1056" s="537" t="s">
        <v>1859</v>
      </c>
      <c r="C1056" s="822" t="str">
        <f>VLOOKUP(B1056,'[2]BASE DE DATOS'!$A$5:$E$961,2,FALSE)</f>
        <v>Conector tipo resorte para cable Nº 14/12 (MAT,504)</v>
      </c>
      <c r="D1056" s="266" t="str">
        <f>VLOOKUP(B1056,'[2]BASE DE DATOS'!$A$5:$E$961,3,FALSE)</f>
        <v>Un</v>
      </c>
      <c r="E1056" s="160">
        <v>3</v>
      </c>
      <c r="F1056" s="256">
        <f>VLOOKUP(B1056,'[1]BASE DE DATOS'!$A$5:$E$964,5,FALSE)</f>
        <v>2350</v>
      </c>
      <c r="G1056" s="712">
        <v>1</v>
      </c>
      <c r="H1056" s="252">
        <f>IF(G1056&gt;0,(G1056*F1056*E1056),(F1056*E1056))</f>
        <v>7050</v>
      </c>
      <c r="I1056" s="924"/>
    </row>
    <row r="1057" spans="1:9" s="818" customFormat="1" ht="12.75" x14ac:dyDescent="0.2">
      <c r="A1057" s="1076"/>
      <c r="B1057" s="537" t="s">
        <v>1803</v>
      </c>
      <c r="C1057" s="822" t="str">
        <f>VLOOKUP(B1057,'[2]BASE DE DATOS'!$A$5:$E$961,2,FALSE)</f>
        <v>Curva 90 Grados EMT 3/4"</v>
      </c>
      <c r="D1057" s="266" t="str">
        <f>VLOOKUP(B1057,'[2]BASE DE DATOS'!$A$5:$E$961,3,FALSE)</f>
        <v>Un</v>
      </c>
      <c r="E1057" s="160">
        <v>1</v>
      </c>
      <c r="F1057" s="256">
        <f>VLOOKUP(B1057,'[1]BASE DE DATOS'!$A$5:$E$964,5,FALSE)</f>
        <v>2800</v>
      </c>
      <c r="G1057" s="161">
        <v>1</v>
      </c>
      <c r="H1057" s="252">
        <f t="shared" ref="H1057:H1058" si="86">IF(G1057&gt;0,(G1057*F1057*E1057),(F1057*E1057))</f>
        <v>2800</v>
      </c>
      <c r="I1057" s="924"/>
    </row>
    <row r="1058" spans="1:9" s="818" customFormat="1" ht="12.75" x14ac:dyDescent="0.2">
      <c r="A1058" s="1076"/>
      <c r="B1058" s="537" t="s">
        <v>2962</v>
      </c>
      <c r="C1058" s="822" t="str">
        <f>VLOOKUP(B1058,'[2]BASE DE DATOS'!$A$5:$E$961,2,FALSE)</f>
        <v>Marquilla acrílica 15 x 30 mm</v>
      </c>
      <c r="D1058" s="266" t="str">
        <f>VLOOKUP(B1058,'[2]BASE DE DATOS'!$A$5:$E$961,3,FALSE)</f>
        <v>Un</v>
      </c>
      <c r="E1058" s="160">
        <v>1</v>
      </c>
      <c r="F1058" s="256">
        <f>VLOOKUP(B1058,'[1]BASE DE DATOS'!$A$5:$E$964,5,FALSE)</f>
        <v>3500</v>
      </c>
      <c r="G1058" s="161">
        <v>1</v>
      </c>
      <c r="H1058" s="252">
        <f t="shared" si="86"/>
        <v>3500</v>
      </c>
      <c r="I1058" s="924"/>
    </row>
    <row r="1059" spans="1:9" s="818" customFormat="1" ht="12.75" x14ac:dyDescent="0.2">
      <c r="A1059" s="1076"/>
      <c r="B1059" s="537" t="s">
        <v>1855</v>
      </c>
      <c r="C1059" s="822" t="str">
        <f>VLOOKUP(B1059,'[2]BASE DE DATOS'!$A$5:$E$961,2,FALSE)</f>
        <v>Toma corriente doble con polo a tierra, marca Luminex o similar</v>
      </c>
      <c r="D1059" s="266" t="str">
        <f>VLOOKUP(B1059,'[2]BASE DE DATOS'!$A$5:$E$961,3,FALSE)</f>
        <v>Un</v>
      </c>
      <c r="E1059" s="160">
        <v>1</v>
      </c>
      <c r="F1059" s="256">
        <f>VLOOKUP(B1059,'[1]BASE DE DATOS'!$A$5:$E$964,5,FALSE)</f>
        <v>6150</v>
      </c>
      <c r="G1059" s="161">
        <v>1</v>
      </c>
      <c r="H1059" s="252">
        <f>IF(G1059&gt;0,(G1059*F1059*E1059),(F1059*E1059))</f>
        <v>6150</v>
      </c>
      <c r="I1059" s="924"/>
    </row>
    <row r="1060" spans="1:9" s="818" customFormat="1" ht="12.75" x14ac:dyDescent="0.2">
      <c r="A1060" s="1076"/>
      <c r="B1060" s="537" t="s">
        <v>1853</v>
      </c>
      <c r="C1060" s="822" t="str">
        <f>VLOOKUP(B1060,'[2]BASE DE DATOS'!$A$5:$E$961,2,FALSE)</f>
        <v>Tubo Conduit Emt 3/4" (ul 797)</v>
      </c>
      <c r="D1060" s="266" t="str">
        <f>VLOOKUP(B1060,'[2]BASE DE DATOS'!$A$5:$E$961,3,FALSE)</f>
        <v>M</v>
      </c>
      <c r="E1060" s="160">
        <v>4</v>
      </c>
      <c r="F1060" s="256">
        <f>VLOOKUP(B1060,'[1]BASE DE DATOS'!$A$5:$E$964,5,FALSE)</f>
        <v>9100</v>
      </c>
      <c r="G1060" s="161">
        <v>1.03</v>
      </c>
      <c r="H1060" s="252">
        <f>IF(G1060&gt;0,(G1060*F1060*E1060),(F1060*E1060))</f>
        <v>37492</v>
      </c>
      <c r="I1060" s="924"/>
    </row>
    <row r="1061" spans="1:9" s="818" customFormat="1" ht="12.75" x14ac:dyDescent="0.2">
      <c r="A1061" s="63" t="s">
        <v>3673</v>
      </c>
      <c r="B1061" s="537" t="s">
        <v>252</v>
      </c>
      <c r="C1061" s="822" t="str">
        <f>VLOOKUP(B1061,'[2]BASE DE DATOS'!$A$5:$E$961,2,FALSE)</f>
        <v>Cuadrilla J (1 Of eléctrico + 1 Ay eléctrico) (jornal + prestaciones)</v>
      </c>
      <c r="D1061" s="266" t="str">
        <f>VLOOKUP(B1061,'[2]BASE DE DATOS'!$A$5:$E$961,3,FALSE)</f>
        <v>Día</v>
      </c>
      <c r="E1061" s="161">
        <v>1</v>
      </c>
      <c r="F1061" s="256">
        <f>VLOOKUP(B1061,'[1]BASE DE DATOS'!$A$5:$E$964,5,FALSE)</f>
        <v>319246</v>
      </c>
      <c r="G1061" s="161">
        <f>1/4</f>
        <v>0.25</v>
      </c>
      <c r="H1061" s="252">
        <f t="shared" ref="H1061:H1062" si="87">IF(G1061&gt;0,(G1061*F1061*E1061),(F1061*E1061))</f>
        <v>79811.5</v>
      </c>
      <c r="I1061" s="924"/>
    </row>
    <row r="1062" spans="1:9" s="818" customFormat="1" ht="13.5" thickBot="1" x14ac:dyDescent="0.25">
      <c r="A1062" s="128" t="s">
        <v>293</v>
      </c>
      <c r="B1062" s="615" t="s">
        <v>269</v>
      </c>
      <c r="C1062" s="822" t="str">
        <f>VLOOKUP(B1062,'[2]BASE DE DATOS'!$A$5:$E$961,2,FALSE)</f>
        <v>Herramienta menor (%ManoObra)</v>
      </c>
      <c r="D1062" s="266" t="str">
        <f>VLOOKUP(B1062,'[2]BASE DE DATOS'!$A$5:$E$961,3,FALSE)</f>
        <v>%MO</v>
      </c>
      <c r="E1062" s="618">
        <v>0.1</v>
      </c>
      <c r="F1062" s="845">
        <f>+H1061</f>
        <v>79811.5</v>
      </c>
      <c r="G1062" s="618">
        <v>1</v>
      </c>
      <c r="H1062" s="479">
        <f t="shared" si="87"/>
        <v>7981.1500000000005</v>
      </c>
      <c r="I1062" s="924"/>
    </row>
    <row r="1063" spans="1:9" s="41" customFormat="1" ht="15.75" thickBot="1" x14ac:dyDescent="0.25">
      <c r="A1063" s="1084" t="s">
        <v>2372</v>
      </c>
      <c r="B1063" s="1085"/>
      <c r="C1063" s="1085"/>
      <c r="D1063" s="1085"/>
      <c r="E1063" s="1085"/>
      <c r="F1063" s="1085"/>
      <c r="G1063" s="1085"/>
      <c r="H1063" s="1086"/>
      <c r="I1063" s="914"/>
    </row>
    <row r="1064" spans="1:9" s="41" customFormat="1" ht="45.75" thickBot="1" x14ac:dyDescent="0.25">
      <c r="A1064" s="798" t="s">
        <v>2044</v>
      </c>
      <c r="B1064" s="866" t="s">
        <v>265</v>
      </c>
      <c r="C1064" s="798" t="s">
        <v>402</v>
      </c>
      <c r="D1064" s="798" t="s">
        <v>346</v>
      </c>
      <c r="E1064" s="192" t="s">
        <v>1913</v>
      </c>
      <c r="F1064" s="73" t="s">
        <v>3165</v>
      </c>
      <c r="G1064" s="290" t="s">
        <v>281</v>
      </c>
      <c r="H1064" s="74" t="s">
        <v>3164</v>
      </c>
      <c r="I1064" s="914"/>
    </row>
    <row r="1065" spans="1:9" s="817" customFormat="1" ht="30" x14ac:dyDescent="0.2">
      <c r="A1065" s="292" t="s">
        <v>2374</v>
      </c>
      <c r="B1065" s="871"/>
      <c r="C1065" s="264" t="s">
        <v>2373</v>
      </c>
      <c r="D1065" s="265" t="s">
        <v>411</v>
      </c>
      <c r="E1065" s="707"/>
      <c r="F1065" s="259">
        <f>ROUND(SUM(H1065:H1078),0)</f>
        <v>409573</v>
      </c>
      <c r="G1065" s="711"/>
      <c r="H1065" s="250"/>
      <c r="I1065" s="924">
        <v>1</v>
      </c>
    </row>
    <row r="1066" spans="1:9" s="818" customFormat="1" ht="12.75" x14ac:dyDescent="0.2">
      <c r="A1066" s="1072" t="s">
        <v>295</v>
      </c>
      <c r="B1066" s="533" t="s">
        <v>1255</v>
      </c>
      <c r="C1066" s="822" t="s">
        <v>2574</v>
      </c>
      <c r="D1066" s="266" t="s">
        <v>411</v>
      </c>
      <c r="E1066" s="704">
        <v>6</v>
      </c>
      <c r="F1066" s="256">
        <f>VLOOKUP(B1066,'[1]BASE DE DATOS'!$A$5:$E$964,5,FALSE)</f>
        <v>850</v>
      </c>
      <c r="G1066" s="708">
        <v>0</v>
      </c>
      <c r="H1066" s="252">
        <f t="shared" ref="H1066:H1078" si="88">IF(G1066&gt;0,(G1066*F1066*E1066),(F1066*E1066))</f>
        <v>5100</v>
      </c>
      <c r="I1066" s="924"/>
    </row>
    <row r="1067" spans="1:9" s="818" customFormat="1" ht="12.75" x14ac:dyDescent="0.2">
      <c r="A1067" s="1073"/>
      <c r="B1067" s="533" t="s">
        <v>1431</v>
      </c>
      <c r="C1067" s="822" t="s">
        <v>2814</v>
      </c>
      <c r="D1067" s="266" t="s">
        <v>405</v>
      </c>
      <c r="E1067" s="704">
        <v>18</v>
      </c>
      <c r="F1067" s="256">
        <f>VLOOKUP(B1067,'[1]BASE DE DATOS'!$A$5:$E$964,5,FALSE)</f>
        <v>900</v>
      </c>
      <c r="G1067" s="708">
        <v>1.03</v>
      </c>
      <c r="H1067" s="252">
        <f t="shared" si="88"/>
        <v>16686</v>
      </c>
      <c r="I1067" s="924"/>
    </row>
    <row r="1068" spans="1:9" s="818" customFormat="1" ht="12.75" x14ac:dyDescent="0.2">
      <c r="A1068" s="1073"/>
      <c r="B1068" s="533" t="s">
        <v>2846</v>
      </c>
      <c r="C1068" s="822" t="s">
        <v>2847</v>
      </c>
      <c r="D1068" s="266" t="s">
        <v>411</v>
      </c>
      <c r="E1068" s="704">
        <v>0.6</v>
      </c>
      <c r="F1068" s="256">
        <f>VLOOKUP(B1068,'[1]BASE DE DATOS'!$A$5:$E$964,5,FALSE)</f>
        <v>19300</v>
      </c>
      <c r="G1068" s="708">
        <v>0</v>
      </c>
      <c r="H1068" s="252">
        <f t="shared" si="88"/>
        <v>11580</v>
      </c>
      <c r="I1068" s="924"/>
    </row>
    <row r="1069" spans="1:9" s="818" customFormat="1" ht="12.75" x14ac:dyDescent="0.2">
      <c r="A1069" s="1073"/>
      <c r="B1069" s="533" t="s">
        <v>1572</v>
      </c>
      <c r="C1069" s="822" t="s">
        <v>2848</v>
      </c>
      <c r="D1069" s="266" t="s">
        <v>411</v>
      </c>
      <c r="E1069" s="704">
        <v>0.7</v>
      </c>
      <c r="F1069" s="256">
        <f>VLOOKUP(B1069,'[1]BASE DE DATOS'!$A$5:$E$964,5,FALSE)</f>
        <v>19300</v>
      </c>
      <c r="G1069" s="708">
        <v>0</v>
      </c>
      <c r="H1069" s="252">
        <f t="shared" si="88"/>
        <v>13510</v>
      </c>
      <c r="I1069" s="924"/>
    </row>
    <row r="1070" spans="1:9" s="818" customFormat="1" ht="12.75" x14ac:dyDescent="0.2">
      <c r="A1070" s="1073"/>
      <c r="B1070" s="533" t="s">
        <v>1641</v>
      </c>
      <c r="C1070" s="823" t="s">
        <v>3167</v>
      </c>
      <c r="D1070" s="273" t="s">
        <v>405</v>
      </c>
      <c r="E1070" s="704">
        <v>1</v>
      </c>
      <c r="F1070" s="256">
        <f>VLOOKUP(B1070,'[1]BASE DE DATOS'!$A$5:$E$964,5,FALSE)</f>
        <v>7900</v>
      </c>
      <c r="G1070" s="708">
        <v>1.03</v>
      </c>
      <c r="H1070" s="252">
        <f t="shared" si="88"/>
        <v>8137</v>
      </c>
      <c r="I1070" s="924"/>
    </row>
    <row r="1071" spans="1:9" s="818" customFormat="1" ht="12.75" x14ac:dyDescent="0.2">
      <c r="A1071" s="1073"/>
      <c r="B1071" s="533" t="s">
        <v>1700</v>
      </c>
      <c r="C1071" s="822" t="s">
        <v>2866</v>
      </c>
      <c r="D1071" s="266" t="s">
        <v>411</v>
      </c>
      <c r="E1071" s="704">
        <v>1</v>
      </c>
      <c r="F1071" s="256">
        <f>VLOOKUP(B1071,'[1]BASE DE DATOS'!$A$5:$E$964,5,FALSE)</f>
        <v>9150</v>
      </c>
      <c r="G1071" s="708">
        <v>0</v>
      </c>
      <c r="H1071" s="252">
        <f t="shared" si="88"/>
        <v>9150</v>
      </c>
      <c r="I1071" s="924"/>
    </row>
    <row r="1072" spans="1:9" s="818" customFormat="1" ht="12.75" x14ac:dyDescent="0.2">
      <c r="A1072" s="1073"/>
      <c r="B1072" s="533" t="s">
        <v>1803</v>
      </c>
      <c r="C1072" s="822" t="s">
        <v>2135</v>
      </c>
      <c r="D1072" s="266" t="s">
        <v>411</v>
      </c>
      <c r="E1072" s="704">
        <v>4</v>
      </c>
      <c r="F1072" s="256">
        <f>VLOOKUP(B1072,'[1]BASE DE DATOS'!$A$5:$E$964,5,FALSE)</f>
        <v>2800</v>
      </c>
      <c r="G1072" s="708">
        <v>0</v>
      </c>
      <c r="H1072" s="252">
        <f t="shared" si="88"/>
        <v>11200</v>
      </c>
      <c r="I1072" s="924"/>
    </row>
    <row r="1073" spans="1:9" s="818" customFormat="1" ht="12.75" x14ac:dyDescent="0.2">
      <c r="A1073" s="1073"/>
      <c r="B1073" s="533" t="s">
        <v>3031</v>
      </c>
      <c r="C1073" s="822" t="s">
        <v>3032</v>
      </c>
      <c r="D1073" s="266" t="s">
        <v>411</v>
      </c>
      <c r="E1073" s="704">
        <v>2</v>
      </c>
      <c r="F1073" s="256">
        <f>VLOOKUP(B1073,'[1]BASE DE DATOS'!$A$5:$E$964,5,FALSE)</f>
        <v>1150</v>
      </c>
      <c r="G1073" s="708">
        <v>0</v>
      </c>
      <c r="H1073" s="252">
        <f t="shared" si="88"/>
        <v>2300</v>
      </c>
      <c r="I1073" s="924"/>
    </row>
    <row r="1074" spans="1:9" s="818" customFormat="1" ht="12.75" x14ac:dyDescent="0.2">
      <c r="A1074" s="1073"/>
      <c r="B1074" s="533" t="s">
        <v>3033</v>
      </c>
      <c r="C1074" s="822" t="s">
        <v>3873</v>
      </c>
      <c r="D1074" s="266" t="s">
        <v>411</v>
      </c>
      <c r="E1074" s="704">
        <v>1</v>
      </c>
      <c r="F1074" s="256">
        <f>VLOOKUP(B1074,'[1]BASE DE DATOS'!$A$5:$E$964,5,FALSE)</f>
        <v>6150</v>
      </c>
      <c r="G1074" s="708">
        <v>0</v>
      </c>
      <c r="H1074" s="252">
        <f t="shared" si="88"/>
        <v>6150</v>
      </c>
      <c r="I1074" s="924"/>
    </row>
    <row r="1075" spans="1:9" s="818" customFormat="1" ht="12.75" x14ac:dyDescent="0.2">
      <c r="A1075" s="1073"/>
      <c r="B1075" s="533" t="s">
        <v>1853</v>
      </c>
      <c r="C1075" s="822" t="s">
        <v>3062</v>
      </c>
      <c r="D1075" s="266" t="s">
        <v>405</v>
      </c>
      <c r="E1075" s="704">
        <v>15</v>
      </c>
      <c r="F1075" s="256">
        <f>VLOOKUP(B1075,'[1]BASE DE DATOS'!$A$5:$E$964,5,FALSE)</f>
        <v>9100</v>
      </c>
      <c r="G1075" s="708">
        <v>1.03</v>
      </c>
      <c r="H1075" s="252">
        <f t="shared" si="88"/>
        <v>140595</v>
      </c>
      <c r="I1075" s="924"/>
    </row>
    <row r="1076" spans="1:9" s="818" customFormat="1" ht="12.75" x14ac:dyDescent="0.2">
      <c r="A1076" s="1073"/>
      <c r="B1076" s="533" t="s">
        <v>3094</v>
      </c>
      <c r="C1076" s="822" t="s">
        <v>3095</v>
      </c>
      <c r="D1076" s="266" t="s">
        <v>411</v>
      </c>
      <c r="E1076" s="704">
        <v>8.33</v>
      </c>
      <c r="F1076" s="256">
        <f>VLOOKUP(B1076,'[1]BASE DE DATOS'!$A$5:$E$964,5,FALSE)</f>
        <v>1150</v>
      </c>
      <c r="G1076" s="708">
        <v>0</v>
      </c>
      <c r="H1076" s="252">
        <f t="shared" si="88"/>
        <v>9579.5</v>
      </c>
      <c r="I1076" s="924"/>
    </row>
    <row r="1077" spans="1:9" s="818" customFormat="1" ht="12.75" x14ac:dyDescent="0.2">
      <c r="A1077" s="280" t="s">
        <v>2555</v>
      </c>
      <c r="B1077" s="534" t="s">
        <v>2667</v>
      </c>
      <c r="C1077" s="822" t="s">
        <v>2600</v>
      </c>
      <c r="D1077" s="266" t="s">
        <v>585</v>
      </c>
      <c r="E1077" s="704">
        <v>1</v>
      </c>
      <c r="F1077" s="256">
        <f>VLOOKUP(B1077,'[1]BASE DE DATOS'!$A$5:$E$964,5,FALSE)</f>
        <v>319246</v>
      </c>
      <c r="G1077" s="708">
        <f>1/2</f>
        <v>0.5</v>
      </c>
      <c r="H1077" s="252">
        <f t="shared" si="88"/>
        <v>159623</v>
      </c>
      <c r="I1077" s="924"/>
    </row>
    <row r="1078" spans="1:9" s="818" customFormat="1" ht="13.5" thickBot="1" x14ac:dyDescent="0.25">
      <c r="A1078" s="287" t="s">
        <v>293</v>
      </c>
      <c r="B1078" s="535" t="s">
        <v>269</v>
      </c>
      <c r="C1078" s="235" t="s">
        <v>284</v>
      </c>
      <c r="D1078" s="177" t="s">
        <v>2199</v>
      </c>
      <c r="E1078" s="263">
        <v>0.1</v>
      </c>
      <c r="F1078" s="251">
        <f>H1077</f>
        <v>159623</v>
      </c>
      <c r="G1078" s="708">
        <v>0</v>
      </c>
      <c r="H1078" s="252">
        <f t="shared" si="88"/>
        <v>15962.300000000001</v>
      </c>
      <c r="I1078" s="924"/>
    </row>
    <row r="1079" spans="1:9" s="41" customFormat="1" ht="15.75" thickBot="1" x14ac:dyDescent="0.25">
      <c r="A1079" s="1084" t="s">
        <v>3229</v>
      </c>
      <c r="B1079" s="1085"/>
      <c r="C1079" s="1085"/>
      <c r="D1079" s="1085"/>
      <c r="E1079" s="1085"/>
      <c r="F1079" s="1085"/>
      <c r="G1079" s="1085"/>
      <c r="H1079" s="1086"/>
      <c r="I1079" s="914"/>
    </row>
    <row r="1080" spans="1:9" s="41" customFormat="1" ht="45.75" thickBot="1" x14ac:dyDescent="0.25">
      <c r="A1080" s="798" t="s">
        <v>2044</v>
      </c>
      <c r="B1080" s="866" t="s">
        <v>265</v>
      </c>
      <c r="C1080" s="798" t="s">
        <v>402</v>
      </c>
      <c r="D1080" s="798" t="s">
        <v>346</v>
      </c>
      <c r="E1080" s="192" t="s">
        <v>1913</v>
      </c>
      <c r="F1080" s="73" t="s">
        <v>3165</v>
      </c>
      <c r="G1080" s="290" t="s">
        <v>281</v>
      </c>
      <c r="H1080" s="74" t="s">
        <v>3164</v>
      </c>
      <c r="I1080" s="914"/>
    </row>
    <row r="1081" spans="1:9" ht="30" x14ac:dyDescent="0.2">
      <c r="A1081" s="292" t="s">
        <v>2375</v>
      </c>
      <c r="B1081" s="877"/>
      <c r="C1081" s="286" t="s">
        <v>2376</v>
      </c>
      <c r="D1081" s="265" t="s">
        <v>411</v>
      </c>
      <c r="E1081" s="707"/>
      <c r="F1081" s="259">
        <f>ROUND(SUM(H1081:H1090),0)</f>
        <v>271427</v>
      </c>
      <c r="G1081" s="711"/>
      <c r="H1081" s="250"/>
    </row>
    <row r="1082" spans="1:9" s="818" customFormat="1" ht="12.75" x14ac:dyDescent="0.2">
      <c r="A1082" s="1072" t="s">
        <v>295</v>
      </c>
      <c r="B1082" s="533" t="s">
        <v>1699</v>
      </c>
      <c r="C1082" s="822" t="s">
        <v>3168</v>
      </c>
      <c r="D1082" s="266" t="s">
        <v>411</v>
      </c>
      <c r="E1082" s="704">
        <v>2</v>
      </c>
      <c r="F1082" s="256">
        <f>VLOOKUP(B1082,'[1]BASE DE DATOS'!$A$5:$E$964,5,FALSE)</f>
        <v>149</v>
      </c>
      <c r="G1082" s="708">
        <v>0</v>
      </c>
      <c r="H1082" s="252">
        <f t="shared" ref="H1082:H1117" si="89">IF(G1082&gt;0,(G1082*F1082*E1082),(F1082*E1082))</f>
        <v>298</v>
      </c>
      <c r="I1082" s="924"/>
    </row>
    <row r="1083" spans="1:9" s="818" customFormat="1" ht="12.75" x14ac:dyDescent="0.2">
      <c r="A1083" s="1073"/>
      <c r="B1083" s="533" t="s">
        <v>1572</v>
      </c>
      <c r="C1083" s="822" t="s">
        <v>2848</v>
      </c>
      <c r="D1083" s="266" t="s">
        <v>411</v>
      </c>
      <c r="E1083" s="704">
        <v>1</v>
      </c>
      <c r="F1083" s="256">
        <f>VLOOKUP(B1083,'[1]BASE DE DATOS'!$A$5:$E$964,5,FALSE)</f>
        <v>19300</v>
      </c>
      <c r="G1083" s="708">
        <v>0</v>
      </c>
      <c r="H1083" s="252">
        <f t="shared" si="89"/>
        <v>19300</v>
      </c>
      <c r="I1083" s="924"/>
    </row>
    <row r="1084" spans="1:9" s="818" customFormat="1" ht="12.75" x14ac:dyDescent="0.2">
      <c r="A1084" s="1073"/>
      <c r="B1084" s="533" t="s">
        <v>1803</v>
      </c>
      <c r="C1084" s="822" t="s">
        <v>2135</v>
      </c>
      <c r="D1084" s="266" t="s">
        <v>411</v>
      </c>
      <c r="E1084" s="704">
        <v>1</v>
      </c>
      <c r="F1084" s="256">
        <f>VLOOKUP(B1084,'[1]BASE DE DATOS'!$A$5:$E$964,5,FALSE)</f>
        <v>2800</v>
      </c>
      <c r="G1084" s="708">
        <v>0</v>
      </c>
      <c r="H1084" s="252">
        <f t="shared" si="89"/>
        <v>2800</v>
      </c>
      <c r="I1084" s="924"/>
    </row>
    <row r="1085" spans="1:9" s="818" customFormat="1" ht="12.75" x14ac:dyDescent="0.2">
      <c r="A1085" s="1073"/>
      <c r="B1085" s="533" t="s">
        <v>2919</v>
      </c>
      <c r="C1085" s="279" t="s">
        <v>2920</v>
      </c>
      <c r="D1085" s="266" t="s">
        <v>411</v>
      </c>
      <c r="E1085" s="704">
        <v>1</v>
      </c>
      <c r="F1085" s="256">
        <f>VLOOKUP(B1085,'[1]BASE DE DATOS'!$A$5:$E$964,5,FALSE)</f>
        <v>32500</v>
      </c>
      <c r="G1085" s="708">
        <v>0</v>
      </c>
      <c r="H1085" s="252">
        <f t="shared" si="89"/>
        <v>32500</v>
      </c>
      <c r="I1085" s="924"/>
    </row>
    <row r="1086" spans="1:9" s="818" customFormat="1" ht="12.75" x14ac:dyDescent="0.2">
      <c r="A1086" s="1073"/>
      <c r="B1086" s="533" t="s">
        <v>2962</v>
      </c>
      <c r="C1086" s="822" t="s">
        <v>2678</v>
      </c>
      <c r="D1086" s="266" t="s">
        <v>411</v>
      </c>
      <c r="E1086" s="704">
        <v>2</v>
      </c>
      <c r="F1086" s="256">
        <f>VLOOKUP(B1086,'[1]BASE DE DATOS'!$A$5:$E$964,5,FALSE)</f>
        <v>3500</v>
      </c>
      <c r="G1086" s="708">
        <v>0</v>
      </c>
      <c r="H1086" s="252">
        <f t="shared" si="89"/>
        <v>7000</v>
      </c>
      <c r="I1086" s="924"/>
    </row>
    <row r="1087" spans="1:9" s="818" customFormat="1" ht="12.75" x14ac:dyDescent="0.2">
      <c r="A1087" s="1073"/>
      <c r="B1087" s="533" t="s">
        <v>1853</v>
      </c>
      <c r="C1087" s="822" t="s">
        <v>3062</v>
      </c>
      <c r="D1087" s="266" t="s">
        <v>405</v>
      </c>
      <c r="E1087" s="704">
        <v>4</v>
      </c>
      <c r="F1087" s="256">
        <f>VLOOKUP(B1087,'[1]BASE DE DATOS'!$A$5:$E$964,5,FALSE)</f>
        <v>9100</v>
      </c>
      <c r="G1087" s="708">
        <v>1.03</v>
      </c>
      <c r="H1087" s="252">
        <f t="shared" si="89"/>
        <v>37492</v>
      </c>
      <c r="I1087" s="924"/>
    </row>
    <row r="1088" spans="1:9" s="818" customFormat="1" ht="12.75" x14ac:dyDescent="0.2">
      <c r="A1088" s="1073"/>
      <c r="B1088" s="533" t="s">
        <v>3094</v>
      </c>
      <c r="C1088" s="822" t="s">
        <v>3095</v>
      </c>
      <c r="D1088" s="266" t="s">
        <v>411</v>
      </c>
      <c r="E1088" s="704">
        <v>4</v>
      </c>
      <c r="F1088" s="256">
        <f>VLOOKUP(B1088,'[1]BASE DE DATOS'!$A$5:$E$964,5,FALSE)</f>
        <v>1150</v>
      </c>
      <c r="G1088" s="708">
        <v>0</v>
      </c>
      <c r="H1088" s="252">
        <f t="shared" si="89"/>
        <v>4600</v>
      </c>
      <c r="I1088" s="924"/>
    </row>
    <row r="1089" spans="1:9" s="818" customFormat="1" ht="12.75" x14ac:dyDescent="0.2">
      <c r="A1089" s="280" t="s">
        <v>2555</v>
      </c>
      <c r="B1089" s="534" t="s">
        <v>2667</v>
      </c>
      <c r="C1089" s="822" t="s">
        <v>2600</v>
      </c>
      <c r="D1089" s="266" t="s">
        <v>585</v>
      </c>
      <c r="E1089" s="704">
        <v>1</v>
      </c>
      <c r="F1089" s="256">
        <f>VLOOKUP(B1089,'[1]BASE DE DATOS'!$A$5:$E$964,5,FALSE)</f>
        <v>319246</v>
      </c>
      <c r="G1089" s="708">
        <f>1/2.86</f>
        <v>0.34965034965034969</v>
      </c>
      <c r="H1089" s="252">
        <f t="shared" si="89"/>
        <v>111624.47552447554</v>
      </c>
      <c r="I1089" s="924"/>
    </row>
    <row r="1090" spans="1:9" s="818" customFormat="1" ht="13.5" thickBot="1" x14ac:dyDescent="0.25">
      <c r="A1090" s="287" t="s">
        <v>293</v>
      </c>
      <c r="B1090" s="535" t="s">
        <v>269</v>
      </c>
      <c r="C1090" s="235" t="s">
        <v>284</v>
      </c>
      <c r="D1090" s="177" t="s">
        <v>2199</v>
      </c>
      <c r="E1090" s="704">
        <v>0.5</v>
      </c>
      <c r="F1090" s="251">
        <f>H1089</f>
        <v>111624.47552447554</v>
      </c>
      <c r="G1090" s="708">
        <v>0</v>
      </c>
      <c r="H1090" s="252">
        <f t="shared" si="89"/>
        <v>55812.237762237768</v>
      </c>
      <c r="I1090" s="924"/>
    </row>
    <row r="1091" spans="1:9" ht="15" x14ac:dyDescent="0.2">
      <c r="A1091" s="270" t="s">
        <v>2377</v>
      </c>
      <c r="B1091" s="870"/>
      <c r="C1091" s="264" t="s">
        <v>2455</v>
      </c>
      <c r="D1091" s="265" t="s">
        <v>405</v>
      </c>
      <c r="E1091" s="707"/>
      <c r="F1091" s="259">
        <f>ROUND(SUM(H1091:H1094),0)</f>
        <v>9310</v>
      </c>
      <c r="G1091" s="711"/>
      <c r="H1091" s="250"/>
    </row>
    <row r="1092" spans="1:9" s="818" customFormat="1" ht="12.75" x14ac:dyDescent="0.2">
      <c r="A1092" s="801" t="s">
        <v>382</v>
      </c>
      <c r="B1092" s="533" t="s">
        <v>1560</v>
      </c>
      <c r="C1092" s="822" t="s">
        <v>2839</v>
      </c>
      <c r="D1092" s="266" t="s">
        <v>405</v>
      </c>
      <c r="E1092" s="704">
        <v>1</v>
      </c>
      <c r="F1092" s="256">
        <f>VLOOKUP(B1092,'[1]BASE DE DATOS'!$A$5:$E$964,5,FALSE)</f>
        <v>2530</v>
      </c>
      <c r="G1092" s="708">
        <v>1.03</v>
      </c>
      <c r="H1092" s="252">
        <f t="shared" si="89"/>
        <v>2605.9</v>
      </c>
      <c r="I1092" s="924"/>
    </row>
    <row r="1093" spans="1:9" s="818" customFormat="1" ht="12.75" x14ac:dyDescent="0.2">
      <c r="A1093" s="280" t="s">
        <v>2555</v>
      </c>
      <c r="B1093" s="534" t="s">
        <v>2667</v>
      </c>
      <c r="C1093" s="822" t="s">
        <v>2600</v>
      </c>
      <c r="D1093" s="266" t="s">
        <v>585</v>
      </c>
      <c r="E1093" s="704">
        <v>1</v>
      </c>
      <c r="F1093" s="256">
        <f>VLOOKUP(B1093,'[1]BASE DE DATOS'!$A$5:$E$964,5,FALSE)</f>
        <v>319246</v>
      </c>
      <c r="G1093" s="708">
        <f>1/50</f>
        <v>0.02</v>
      </c>
      <c r="H1093" s="252">
        <f t="shared" si="89"/>
        <v>6384.92</v>
      </c>
      <c r="I1093" s="924"/>
    </row>
    <row r="1094" spans="1:9" s="818" customFormat="1" ht="13.5" thickBot="1" x14ac:dyDescent="0.25">
      <c r="A1094" s="287" t="s">
        <v>293</v>
      </c>
      <c r="B1094" s="535" t="s">
        <v>269</v>
      </c>
      <c r="C1094" s="235" t="s">
        <v>284</v>
      </c>
      <c r="D1094" s="177" t="s">
        <v>2199</v>
      </c>
      <c r="E1094" s="704">
        <v>0.05</v>
      </c>
      <c r="F1094" s="251">
        <f>H1093</f>
        <v>6384.92</v>
      </c>
      <c r="G1094" s="708">
        <v>0</v>
      </c>
      <c r="H1094" s="252">
        <f t="shared" si="89"/>
        <v>319.24600000000004</v>
      </c>
      <c r="I1094" s="924"/>
    </row>
    <row r="1095" spans="1:9" ht="30" x14ac:dyDescent="0.2">
      <c r="A1095" s="292" t="s">
        <v>2379</v>
      </c>
      <c r="B1095" s="871"/>
      <c r="C1095" s="264" t="s">
        <v>2378</v>
      </c>
      <c r="D1095" s="265" t="s">
        <v>411</v>
      </c>
      <c r="E1095" s="707"/>
      <c r="F1095" s="259">
        <f>ROUND(SUM(H1095:H1102),0)</f>
        <v>4411055</v>
      </c>
      <c r="G1095" s="711"/>
      <c r="H1095" s="250"/>
    </row>
    <row r="1096" spans="1:9" s="818" customFormat="1" ht="12.75" x14ac:dyDescent="0.2">
      <c r="A1096" s="1070" t="s">
        <v>382</v>
      </c>
      <c r="B1096" s="533" t="s">
        <v>1374</v>
      </c>
      <c r="C1096" s="822" t="s">
        <v>3662</v>
      </c>
      <c r="D1096" s="266" t="s">
        <v>411</v>
      </c>
      <c r="E1096" s="704">
        <v>2</v>
      </c>
      <c r="F1096" s="256">
        <f>VLOOKUP(B1096,'[1]BASE DE DATOS'!$A$5:$E$964,5,FALSE)</f>
        <v>150000</v>
      </c>
      <c r="G1096" s="708">
        <v>0</v>
      </c>
      <c r="H1096" s="252">
        <f t="shared" si="89"/>
        <v>300000</v>
      </c>
      <c r="I1096" s="924"/>
    </row>
    <row r="1097" spans="1:9" s="818" customFormat="1" ht="12.75" x14ac:dyDescent="0.2">
      <c r="A1097" s="1071"/>
      <c r="B1097" s="533" t="s">
        <v>1376</v>
      </c>
      <c r="C1097" s="822" t="s">
        <v>4134</v>
      </c>
      <c r="D1097" s="266" t="s">
        <v>405</v>
      </c>
      <c r="E1097" s="704">
        <v>1.8</v>
      </c>
      <c r="F1097" s="256">
        <f>VLOOKUP(B1097,'[1]BASE DE DATOS'!$A$5:$E$964,5,FALSE)</f>
        <v>72499.583333333343</v>
      </c>
      <c r="G1097" s="708">
        <v>1.03</v>
      </c>
      <c r="H1097" s="252">
        <f t="shared" si="89"/>
        <v>134414.22750000004</v>
      </c>
      <c r="I1097" s="924"/>
    </row>
    <row r="1098" spans="1:9" s="818" customFormat="1" ht="12.75" x14ac:dyDescent="0.2">
      <c r="A1098" s="1071"/>
      <c r="B1098" s="533" t="s">
        <v>2968</v>
      </c>
      <c r="C1098" s="822" t="s">
        <v>2969</v>
      </c>
      <c r="D1098" s="266" t="s">
        <v>411</v>
      </c>
      <c r="E1098" s="704">
        <v>1</v>
      </c>
      <c r="F1098" s="256">
        <f>VLOOKUP(B1098,'[1]BASE DE DATOS'!$A$5:$E$964,5,FALSE)</f>
        <v>370200</v>
      </c>
      <c r="G1098" s="708">
        <v>0</v>
      </c>
      <c r="H1098" s="252">
        <f t="shared" si="89"/>
        <v>370200</v>
      </c>
      <c r="I1098" s="924"/>
    </row>
    <row r="1099" spans="1:9" s="818" customFormat="1" ht="12.75" x14ac:dyDescent="0.2">
      <c r="A1099" s="1071"/>
      <c r="B1099" s="533" t="s">
        <v>2988</v>
      </c>
      <c r="C1099" s="822" t="s">
        <v>3893</v>
      </c>
      <c r="D1099" s="266" t="s">
        <v>411</v>
      </c>
      <c r="E1099" s="704">
        <v>1</v>
      </c>
      <c r="F1099" s="256">
        <f>VLOOKUP(B1099,'[1]BASE DE DATOS'!$A$5:$E$964,5,FALSE)</f>
        <v>2856000</v>
      </c>
      <c r="G1099" s="708">
        <v>0</v>
      </c>
      <c r="H1099" s="252">
        <f t="shared" si="89"/>
        <v>2856000</v>
      </c>
      <c r="I1099" s="924"/>
    </row>
    <row r="1100" spans="1:9" s="818" customFormat="1" ht="12.75" x14ac:dyDescent="0.2">
      <c r="A1100" s="1071"/>
      <c r="B1100" s="533" t="s">
        <v>2990</v>
      </c>
      <c r="C1100" s="822" t="s">
        <v>2991</v>
      </c>
      <c r="D1100" s="266" t="s">
        <v>411</v>
      </c>
      <c r="E1100" s="704">
        <v>1</v>
      </c>
      <c r="F1100" s="256">
        <f>VLOOKUP(B1100,'[1]BASE DE DATOS'!$A$5:$E$964,5,FALSE)</f>
        <v>48100</v>
      </c>
      <c r="G1100" s="708">
        <v>0</v>
      </c>
      <c r="H1100" s="252">
        <f t="shared" si="89"/>
        <v>48100</v>
      </c>
      <c r="I1100" s="924"/>
    </row>
    <row r="1101" spans="1:9" s="818" customFormat="1" ht="12.75" x14ac:dyDescent="0.2">
      <c r="A1101" s="280" t="s">
        <v>2555</v>
      </c>
      <c r="B1101" s="534" t="s">
        <v>2667</v>
      </c>
      <c r="C1101" s="822" t="s">
        <v>2604</v>
      </c>
      <c r="D1101" s="266" t="s">
        <v>585</v>
      </c>
      <c r="E1101" s="704">
        <v>1</v>
      </c>
      <c r="F1101" s="256">
        <f>VLOOKUP(B1101,'[1]BASE DE DATOS'!$A$5:$E$964,5,FALSE)</f>
        <v>319246</v>
      </c>
      <c r="G1101" s="708">
        <f>1/0.5</f>
        <v>2</v>
      </c>
      <c r="H1101" s="252">
        <f t="shared" si="89"/>
        <v>638492</v>
      </c>
      <c r="I1101" s="924"/>
    </row>
    <row r="1102" spans="1:9" s="818" customFormat="1" ht="13.5" thickBot="1" x14ac:dyDescent="0.25">
      <c r="A1102" s="287" t="s">
        <v>293</v>
      </c>
      <c r="B1102" s="535" t="s">
        <v>269</v>
      </c>
      <c r="C1102" s="235" t="s">
        <v>284</v>
      </c>
      <c r="D1102" s="177" t="s">
        <v>2199</v>
      </c>
      <c r="E1102" s="704">
        <v>0.1</v>
      </c>
      <c r="F1102" s="251">
        <f>H1101</f>
        <v>638492</v>
      </c>
      <c r="G1102" s="708">
        <v>0</v>
      </c>
      <c r="H1102" s="252">
        <f t="shared" si="89"/>
        <v>63849.200000000004</v>
      </c>
      <c r="I1102" s="924"/>
    </row>
    <row r="1103" spans="1:9" ht="15" x14ac:dyDescent="0.2">
      <c r="A1103" s="270" t="s">
        <v>2380</v>
      </c>
      <c r="B1103" s="870"/>
      <c r="C1103" s="264" t="s">
        <v>4207</v>
      </c>
      <c r="D1103" s="265" t="s">
        <v>411</v>
      </c>
      <c r="E1103" s="707"/>
      <c r="F1103" s="259">
        <f>ROUND(SUM(H1103:H1107),0)</f>
        <v>788018</v>
      </c>
      <c r="G1103" s="711"/>
      <c r="H1103" s="250"/>
    </row>
    <row r="1104" spans="1:9" s="818" customFormat="1" ht="12.75" x14ac:dyDescent="0.2">
      <c r="A1104" s="1070" t="s">
        <v>382</v>
      </c>
      <c r="B1104" s="533" t="s">
        <v>2902</v>
      </c>
      <c r="C1104" s="822" t="s">
        <v>2903</v>
      </c>
      <c r="D1104" s="266" t="s">
        <v>411</v>
      </c>
      <c r="E1104" s="704">
        <v>1</v>
      </c>
      <c r="F1104" s="256">
        <f>VLOOKUP(B1104,'[1]BASE DE DATOS'!$A$5:$E$964,5,FALSE)</f>
        <v>382000</v>
      </c>
      <c r="G1104" s="708">
        <v>0</v>
      </c>
      <c r="H1104" s="252">
        <f t="shared" si="89"/>
        <v>382000</v>
      </c>
      <c r="I1104" s="924"/>
    </row>
    <row r="1105" spans="1:9" s="818" customFormat="1" ht="12.75" x14ac:dyDescent="0.2">
      <c r="A1105" s="1071"/>
      <c r="B1105" s="533" t="s">
        <v>2919</v>
      </c>
      <c r="C1105" s="279" t="s">
        <v>2920</v>
      </c>
      <c r="D1105" s="266" t="s">
        <v>411</v>
      </c>
      <c r="E1105" s="704">
        <v>1</v>
      </c>
      <c r="F1105" s="256">
        <f>VLOOKUP(B1105,'[1]BASE DE DATOS'!$A$5:$E$964,5,FALSE)</f>
        <v>32500</v>
      </c>
      <c r="G1105" s="708">
        <v>0</v>
      </c>
      <c r="H1105" s="252">
        <f t="shared" si="89"/>
        <v>32500</v>
      </c>
      <c r="I1105" s="924"/>
    </row>
    <row r="1106" spans="1:9" s="818" customFormat="1" ht="12.75" x14ac:dyDescent="0.2">
      <c r="A1106" s="280" t="s">
        <v>2555</v>
      </c>
      <c r="B1106" s="534" t="s">
        <v>2667</v>
      </c>
      <c r="C1106" s="822" t="s">
        <v>2600</v>
      </c>
      <c r="D1106" s="266" t="s">
        <v>585</v>
      </c>
      <c r="E1106" s="704">
        <v>1</v>
      </c>
      <c r="F1106" s="256">
        <f>VLOOKUP(B1106,'[1]BASE DE DATOS'!$A$5:$E$964,5,FALSE)</f>
        <v>319246</v>
      </c>
      <c r="G1106" s="708">
        <f>1/1.11111111</f>
        <v>0.90000000089999999</v>
      </c>
      <c r="H1106" s="252">
        <f t="shared" si="89"/>
        <v>287321.40028732142</v>
      </c>
      <c r="I1106" s="924"/>
    </row>
    <row r="1107" spans="1:9" s="818" customFormat="1" ht="13.5" thickBot="1" x14ac:dyDescent="0.25">
      <c r="A1107" s="287" t="s">
        <v>293</v>
      </c>
      <c r="B1107" s="535" t="s">
        <v>269</v>
      </c>
      <c r="C1107" s="235" t="s">
        <v>284</v>
      </c>
      <c r="D1107" s="177" t="s">
        <v>2199</v>
      </c>
      <c r="E1107" s="704">
        <v>0.3</v>
      </c>
      <c r="F1107" s="251">
        <f>H1106</f>
        <v>287321.40028732142</v>
      </c>
      <c r="G1107" s="708">
        <v>0</v>
      </c>
      <c r="H1107" s="252">
        <f t="shared" si="89"/>
        <v>86196.42008619642</v>
      </c>
      <c r="I1107" s="924"/>
    </row>
    <row r="1108" spans="1:9" ht="15" x14ac:dyDescent="0.2">
      <c r="A1108" s="270" t="s">
        <v>2381</v>
      </c>
      <c r="B1108" s="870"/>
      <c r="C1108" s="264" t="s">
        <v>4208</v>
      </c>
      <c r="D1108" s="265" t="s">
        <v>411</v>
      </c>
      <c r="E1108" s="707"/>
      <c r="F1108" s="259">
        <f>ROUND(SUM(H1108:H1111),0)</f>
        <v>75490</v>
      </c>
      <c r="G1108" s="711"/>
      <c r="H1108" s="250"/>
    </row>
    <row r="1109" spans="1:9" s="818" customFormat="1" ht="12.75" x14ac:dyDescent="0.2">
      <c r="A1109" s="801" t="s">
        <v>382</v>
      </c>
      <c r="B1109" s="533" t="s">
        <v>2975</v>
      </c>
      <c r="C1109" s="822" t="s">
        <v>2976</v>
      </c>
      <c r="D1109" s="266" t="s">
        <v>411</v>
      </c>
      <c r="E1109" s="704">
        <v>1</v>
      </c>
      <c r="F1109" s="256">
        <f>VLOOKUP(B1109,'[1]BASE DE DATOS'!$A$5:$E$964,5,FALSE)</f>
        <v>28666.666666666668</v>
      </c>
      <c r="G1109" s="708">
        <v>0</v>
      </c>
      <c r="H1109" s="252">
        <f t="shared" si="89"/>
        <v>28666.666666666668</v>
      </c>
      <c r="I1109" s="924"/>
    </row>
    <row r="1110" spans="1:9" s="818" customFormat="1" ht="12.75" x14ac:dyDescent="0.2">
      <c r="A1110" s="280" t="s">
        <v>2555</v>
      </c>
      <c r="B1110" s="534" t="s">
        <v>397</v>
      </c>
      <c r="C1110" s="822" t="s">
        <v>3234</v>
      </c>
      <c r="D1110" s="266" t="s">
        <v>585</v>
      </c>
      <c r="E1110" s="704">
        <v>1</v>
      </c>
      <c r="F1110" s="256">
        <f>VLOOKUP(B1110,'[1]BASE DE DATOS'!$A$5:$E$964,5,FALSE)</f>
        <v>141887</v>
      </c>
      <c r="G1110" s="708">
        <f>1/3.3333</f>
        <v>0.3000030000300003</v>
      </c>
      <c r="H1110" s="252">
        <f t="shared" si="89"/>
        <v>42566.525665256653</v>
      </c>
      <c r="I1110" s="924"/>
    </row>
    <row r="1111" spans="1:9" s="818" customFormat="1" ht="13.5" thickBot="1" x14ac:dyDescent="0.25">
      <c r="A1111" s="287" t="s">
        <v>293</v>
      </c>
      <c r="B1111" s="535" t="s">
        <v>269</v>
      </c>
      <c r="C1111" s="235" t="s">
        <v>284</v>
      </c>
      <c r="D1111" s="177" t="s">
        <v>2199</v>
      </c>
      <c r="E1111" s="704">
        <v>0.1</v>
      </c>
      <c r="F1111" s="251">
        <f>H1110</f>
        <v>42566.525665256653</v>
      </c>
      <c r="G1111" s="708">
        <v>0</v>
      </c>
      <c r="H1111" s="252">
        <f t="shared" si="89"/>
        <v>4256.6525665256659</v>
      </c>
      <c r="I1111" s="924"/>
    </row>
    <row r="1112" spans="1:9" ht="15" x14ac:dyDescent="0.2">
      <c r="A1112" s="270" t="s">
        <v>2382</v>
      </c>
      <c r="B1112" s="870"/>
      <c r="C1112" s="264" t="s">
        <v>4209</v>
      </c>
      <c r="D1112" s="265" t="s">
        <v>411</v>
      </c>
      <c r="E1112" s="707"/>
      <c r="F1112" s="259">
        <f>ROUND(SUM(H1112:H1115),0)</f>
        <v>38654</v>
      </c>
      <c r="G1112" s="711"/>
      <c r="H1112" s="250"/>
    </row>
    <row r="1113" spans="1:9" s="818" customFormat="1" ht="12.75" x14ac:dyDescent="0.2">
      <c r="A1113" s="801" t="s">
        <v>382</v>
      </c>
      <c r="B1113" s="533" t="s">
        <v>1557</v>
      </c>
      <c r="C1113" s="822" t="s">
        <v>2838</v>
      </c>
      <c r="D1113" s="266" t="s">
        <v>411</v>
      </c>
      <c r="E1113" s="704">
        <v>1</v>
      </c>
      <c r="F1113" s="256">
        <f>VLOOKUP(B1113,'[1]BASE DE DATOS'!$A$5:$E$964,5,FALSE)</f>
        <v>22375</v>
      </c>
      <c r="G1113" s="708">
        <v>1.03</v>
      </c>
      <c r="H1113" s="252">
        <f t="shared" si="89"/>
        <v>23046.25</v>
      </c>
      <c r="I1113" s="924"/>
    </row>
    <row r="1114" spans="1:9" s="818" customFormat="1" ht="12.75" x14ac:dyDescent="0.2">
      <c r="A1114" s="280" t="s">
        <v>2555</v>
      </c>
      <c r="B1114" s="534" t="s">
        <v>397</v>
      </c>
      <c r="C1114" s="822" t="s">
        <v>3234</v>
      </c>
      <c r="D1114" s="266" t="s">
        <v>585</v>
      </c>
      <c r="E1114" s="704">
        <v>1</v>
      </c>
      <c r="F1114" s="256">
        <f>VLOOKUP(B1114,'[1]BASE DE DATOS'!$A$5:$E$964,5,FALSE)</f>
        <v>141887</v>
      </c>
      <c r="G1114" s="708">
        <f>1/10</f>
        <v>0.1</v>
      </c>
      <c r="H1114" s="252">
        <f t="shared" si="89"/>
        <v>14188.7</v>
      </c>
      <c r="I1114" s="924"/>
    </row>
    <row r="1115" spans="1:9" s="818" customFormat="1" ht="13.5" thickBot="1" x14ac:dyDescent="0.25">
      <c r="A1115" s="287" t="s">
        <v>293</v>
      </c>
      <c r="B1115" s="535" t="s">
        <v>269</v>
      </c>
      <c r="C1115" s="235" t="s">
        <v>284</v>
      </c>
      <c r="D1115" s="177" t="s">
        <v>2199</v>
      </c>
      <c r="E1115" s="704">
        <v>0.1</v>
      </c>
      <c r="F1115" s="251">
        <f>H1114</f>
        <v>14188.7</v>
      </c>
      <c r="G1115" s="708">
        <v>0</v>
      </c>
      <c r="H1115" s="252">
        <f t="shared" si="89"/>
        <v>1418.8700000000001</v>
      </c>
      <c r="I1115" s="924"/>
    </row>
    <row r="1116" spans="1:9" ht="15" x14ac:dyDescent="0.2">
      <c r="A1116" s="270" t="s">
        <v>2383</v>
      </c>
      <c r="B1116" s="870"/>
      <c r="C1116" s="264" t="s">
        <v>2384</v>
      </c>
      <c r="D1116" s="265" t="s">
        <v>411</v>
      </c>
      <c r="E1116" s="707"/>
      <c r="F1116" s="259">
        <f>ROUND(SUM(H1116:H1117),0)</f>
        <v>8000</v>
      </c>
      <c r="G1116" s="711"/>
      <c r="H1116" s="250"/>
      <c r="I1116" s="924">
        <v>7</v>
      </c>
    </row>
    <row r="1117" spans="1:9" s="818" customFormat="1" ht="13.5" thickBot="1" x14ac:dyDescent="0.25">
      <c r="A1117" s="801" t="s">
        <v>382</v>
      </c>
      <c r="B1117" s="533" t="s">
        <v>2851</v>
      </c>
      <c r="C1117" s="822" t="s">
        <v>2852</v>
      </c>
      <c r="D1117" s="266" t="s">
        <v>411</v>
      </c>
      <c r="E1117" s="704">
        <v>1</v>
      </c>
      <c r="F1117" s="256">
        <f>VLOOKUP(B1117,'[1]BASE DE DATOS'!$A$5:$E$964,5,FALSE)</f>
        <v>8000</v>
      </c>
      <c r="G1117" s="708">
        <v>0</v>
      </c>
      <c r="H1117" s="252">
        <f t="shared" si="89"/>
        <v>8000</v>
      </c>
      <c r="I1117" s="924"/>
    </row>
    <row r="1118" spans="1:9" s="41" customFormat="1" ht="15.75" thickBot="1" x14ac:dyDescent="0.25">
      <c r="A1118" s="1084" t="s">
        <v>2385</v>
      </c>
      <c r="B1118" s="1085"/>
      <c r="C1118" s="1085"/>
      <c r="D1118" s="1085"/>
      <c r="E1118" s="1085"/>
      <c r="F1118" s="1085"/>
      <c r="G1118" s="1085"/>
      <c r="H1118" s="1086"/>
      <c r="I1118" s="914"/>
    </row>
    <row r="1119" spans="1:9" s="41" customFormat="1" ht="45.75" thickBot="1" x14ac:dyDescent="0.25">
      <c r="A1119" s="798" t="s">
        <v>2044</v>
      </c>
      <c r="B1119" s="866" t="s">
        <v>265</v>
      </c>
      <c r="C1119" s="798" t="s">
        <v>402</v>
      </c>
      <c r="D1119" s="798" t="s">
        <v>346</v>
      </c>
      <c r="E1119" s="192" t="s">
        <v>1913</v>
      </c>
      <c r="F1119" s="73" t="s">
        <v>3165</v>
      </c>
      <c r="G1119" s="290" t="s">
        <v>281</v>
      </c>
      <c r="H1119" s="74" t="s">
        <v>3164</v>
      </c>
      <c r="I1119" s="914"/>
    </row>
    <row r="1120" spans="1:9" ht="15" x14ac:dyDescent="0.2">
      <c r="A1120" s="524" t="s">
        <v>2387</v>
      </c>
      <c r="B1120" s="868"/>
      <c r="C1120" s="264" t="s">
        <v>2386</v>
      </c>
      <c r="D1120" s="265" t="s">
        <v>411</v>
      </c>
      <c r="E1120" s="707"/>
      <c r="F1120" s="259">
        <f>ROUND(SUM(H1120:H1127),0)</f>
        <v>427946</v>
      </c>
      <c r="G1120" s="711"/>
      <c r="H1120" s="250"/>
    </row>
    <row r="1121" spans="1:9" s="818" customFormat="1" ht="12.75" x14ac:dyDescent="0.2">
      <c r="A1121" s="1071" t="s">
        <v>382</v>
      </c>
      <c r="B1121" s="533" t="s">
        <v>1740</v>
      </c>
      <c r="C1121" s="822" t="s">
        <v>2840</v>
      </c>
      <c r="D1121" s="266" t="s">
        <v>411</v>
      </c>
      <c r="E1121" s="704">
        <v>1</v>
      </c>
      <c r="F1121" s="256">
        <f>VLOOKUP(B1121,'[1]BASE DE DATOS'!$A$5:$E$964,5,FALSE)</f>
        <v>73800</v>
      </c>
      <c r="G1121" s="708">
        <v>0</v>
      </c>
      <c r="H1121" s="252">
        <f t="shared" ref="H1121:H1136" si="90">IF(G1121&gt;0,(G1121*F1121*E1121),(F1121*E1121))</f>
        <v>73800</v>
      </c>
      <c r="I1121" s="924"/>
    </row>
    <row r="1122" spans="1:9" s="818" customFormat="1" ht="12.75" x14ac:dyDescent="0.2">
      <c r="A1122" s="1071"/>
      <c r="B1122" s="533" t="s">
        <v>1620</v>
      </c>
      <c r="C1122" s="822" t="s">
        <v>2863</v>
      </c>
      <c r="D1122" s="266" t="s">
        <v>405</v>
      </c>
      <c r="E1122" s="704">
        <v>1</v>
      </c>
      <c r="F1122" s="256">
        <f>VLOOKUP(B1122,'[1]BASE DE DATOS'!$A$5:$E$964,5,FALSE)</f>
        <v>23200</v>
      </c>
      <c r="G1122" s="708">
        <v>1.03</v>
      </c>
      <c r="H1122" s="252">
        <f t="shared" si="90"/>
        <v>23896</v>
      </c>
      <c r="I1122" s="924"/>
    </row>
    <row r="1123" spans="1:9" s="818" customFormat="1" ht="12.75" x14ac:dyDescent="0.2">
      <c r="A1123" s="1071"/>
      <c r="B1123" s="533" t="s">
        <v>3027</v>
      </c>
      <c r="C1123" s="822" t="s">
        <v>3028</v>
      </c>
      <c r="D1123" s="266" t="s">
        <v>411</v>
      </c>
      <c r="E1123" s="704">
        <v>2</v>
      </c>
      <c r="F1123" s="256">
        <f>VLOOKUP(B1123,'[1]BASE DE DATOS'!$A$5:$E$964,5,FALSE)</f>
        <v>2600</v>
      </c>
      <c r="G1123" s="708">
        <v>0</v>
      </c>
      <c r="H1123" s="252">
        <f t="shared" si="90"/>
        <v>5200</v>
      </c>
      <c r="I1123" s="924"/>
    </row>
    <row r="1124" spans="1:9" s="818" customFormat="1" ht="12.75" x14ac:dyDescent="0.2">
      <c r="A1124" s="1071"/>
      <c r="B1124" s="533" t="s">
        <v>3054</v>
      </c>
      <c r="C1124" s="822" t="s">
        <v>3055</v>
      </c>
      <c r="D1124" s="266" t="s">
        <v>405</v>
      </c>
      <c r="E1124" s="704">
        <v>6</v>
      </c>
      <c r="F1124" s="256">
        <f>VLOOKUP(B1124,'[1]BASE DE DATOS'!$A$5:$E$964,5,FALSE)</f>
        <v>24100</v>
      </c>
      <c r="G1124" s="708">
        <v>1.03</v>
      </c>
      <c r="H1124" s="252">
        <f t="shared" si="90"/>
        <v>148938</v>
      </c>
      <c r="I1124" s="924"/>
    </row>
    <row r="1125" spans="1:9" s="818" customFormat="1" ht="12.75" x14ac:dyDescent="0.2">
      <c r="A1125" s="1071"/>
      <c r="B1125" s="533" t="s">
        <v>3086</v>
      </c>
      <c r="C1125" s="822" t="s">
        <v>3087</v>
      </c>
      <c r="D1125" s="266" t="s">
        <v>411</v>
      </c>
      <c r="E1125" s="704">
        <v>3</v>
      </c>
      <c r="F1125" s="256">
        <f>VLOOKUP(B1125,'[1]BASE DE DATOS'!$A$5:$E$964,5,FALSE)</f>
        <v>3900</v>
      </c>
      <c r="G1125" s="708">
        <v>0</v>
      </c>
      <c r="H1125" s="252">
        <f t="shared" si="90"/>
        <v>11700</v>
      </c>
      <c r="I1125" s="924"/>
    </row>
    <row r="1126" spans="1:9" s="818" customFormat="1" ht="12.75" x14ac:dyDescent="0.2">
      <c r="A1126" s="280" t="s">
        <v>2555</v>
      </c>
      <c r="B1126" s="534" t="s">
        <v>2667</v>
      </c>
      <c r="C1126" s="822" t="s">
        <v>2600</v>
      </c>
      <c r="D1126" s="266" t="s">
        <v>585</v>
      </c>
      <c r="E1126" s="704">
        <v>1</v>
      </c>
      <c r="F1126" s="256">
        <f>VLOOKUP(B1126,'[1]BASE DE DATOS'!$A$5:$E$964,5,FALSE)</f>
        <v>319246</v>
      </c>
      <c r="G1126" s="708">
        <f>1/2</f>
        <v>0.5</v>
      </c>
      <c r="H1126" s="252">
        <f t="shared" si="90"/>
        <v>159623</v>
      </c>
      <c r="I1126" s="924"/>
    </row>
    <row r="1127" spans="1:9" s="818" customFormat="1" ht="13.5" thickBot="1" x14ac:dyDescent="0.25">
      <c r="A1127" s="287" t="s">
        <v>293</v>
      </c>
      <c r="B1127" s="535" t="s">
        <v>269</v>
      </c>
      <c r="C1127" s="235" t="s">
        <v>284</v>
      </c>
      <c r="D1127" s="177" t="s">
        <v>2199</v>
      </c>
      <c r="E1127" s="704">
        <v>0.03</v>
      </c>
      <c r="F1127" s="251">
        <f>H1126</f>
        <v>159623</v>
      </c>
      <c r="G1127" s="708">
        <v>0</v>
      </c>
      <c r="H1127" s="252">
        <f t="shared" si="90"/>
        <v>4788.6899999999996</v>
      </c>
      <c r="I1127" s="924"/>
    </row>
    <row r="1128" spans="1:9" ht="30" x14ac:dyDescent="0.2">
      <c r="A1128" s="292" t="s">
        <v>2388</v>
      </c>
      <c r="B1128" s="868"/>
      <c r="C1128" s="264" t="s">
        <v>3235</v>
      </c>
      <c r="D1128" s="265" t="s">
        <v>411</v>
      </c>
      <c r="E1128" s="707"/>
      <c r="F1128" s="259">
        <f>ROUND(SUM(H1128:H1136),0)</f>
        <v>450123</v>
      </c>
      <c r="G1128" s="711"/>
      <c r="H1128" s="250"/>
      <c r="I1128" s="924">
        <v>2</v>
      </c>
    </row>
    <row r="1129" spans="1:9" s="818" customFormat="1" ht="12.75" x14ac:dyDescent="0.2">
      <c r="A1129" s="1072" t="s">
        <v>295</v>
      </c>
      <c r="B1129" s="533" t="s">
        <v>2846</v>
      </c>
      <c r="C1129" s="822" t="s">
        <v>2847</v>
      </c>
      <c r="D1129" s="266" t="s">
        <v>411</v>
      </c>
      <c r="E1129" s="704">
        <v>1</v>
      </c>
      <c r="F1129" s="256">
        <f>VLOOKUP(B1129,'[1]BASE DE DATOS'!$A$5:$E$964,5,FALSE)</f>
        <v>19300</v>
      </c>
      <c r="G1129" s="708">
        <v>0</v>
      </c>
      <c r="H1129" s="252">
        <f t="shared" si="90"/>
        <v>19300</v>
      </c>
      <c r="I1129" s="924"/>
    </row>
    <row r="1130" spans="1:9" s="818" customFormat="1" ht="12.75" x14ac:dyDescent="0.2">
      <c r="A1130" s="1073"/>
      <c r="B1130" s="533" t="s">
        <v>1657</v>
      </c>
      <c r="C1130" s="822" t="s">
        <v>2865</v>
      </c>
      <c r="D1130" s="266" t="s">
        <v>411</v>
      </c>
      <c r="E1130" s="704">
        <v>1</v>
      </c>
      <c r="F1130" s="256">
        <f>VLOOKUP(B1130,'[1]BASE DE DATOS'!$A$5:$E$964,5,FALSE)</f>
        <v>17948</v>
      </c>
      <c r="G1130" s="708">
        <v>0</v>
      </c>
      <c r="H1130" s="252">
        <f t="shared" si="90"/>
        <v>17948</v>
      </c>
      <c r="I1130" s="924"/>
    </row>
    <row r="1131" spans="1:9" s="818" customFormat="1" ht="12.75" x14ac:dyDescent="0.2">
      <c r="A1131" s="1073"/>
      <c r="B1131" s="533" t="s">
        <v>2878</v>
      </c>
      <c r="C1131" s="822" t="s">
        <v>2879</v>
      </c>
      <c r="D1131" s="266" t="s">
        <v>411</v>
      </c>
      <c r="E1131" s="704">
        <v>1</v>
      </c>
      <c r="F1131" s="256">
        <f>VLOOKUP(B1131,'[1]BASE DE DATOS'!$A$5:$E$964,5,FALSE)</f>
        <v>3150</v>
      </c>
      <c r="G1131" s="708">
        <v>0</v>
      </c>
      <c r="H1131" s="252">
        <f t="shared" si="90"/>
        <v>3150</v>
      </c>
      <c r="I1131" s="924"/>
    </row>
    <row r="1132" spans="1:9" s="818" customFormat="1" ht="12.75" x14ac:dyDescent="0.2">
      <c r="A1132" s="1073"/>
      <c r="B1132" s="533" t="s">
        <v>3029</v>
      </c>
      <c r="C1132" s="822" t="s">
        <v>3030</v>
      </c>
      <c r="D1132" s="266" t="s">
        <v>411</v>
      </c>
      <c r="E1132" s="704">
        <v>2</v>
      </c>
      <c r="F1132" s="256">
        <f>VLOOKUP(B1132,'[1]BASE DE DATOS'!$A$5:$E$964,5,FALSE)</f>
        <v>1500</v>
      </c>
      <c r="G1132" s="708">
        <v>0</v>
      </c>
      <c r="H1132" s="252">
        <f t="shared" si="90"/>
        <v>3000</v>
      </c>
      <c r="I1132" s="924"/>
    </row>
    <row r="1133" spans="1:9" s="818" customFormat="1" ht="12.75" x14ac:dyDescent="0.2">
      <c r="A1133" s="1073"/>
      <c r="B1133" s="533" t="s">
        <v>3056</v>
      </c>
      <c r="C1133" s="822" t="s">
        <v>3057</v>
      </c>
      <c r="D1133" s="266" t="s">
        <v>405</v>
      </c>
      <c r="E1133" s="704">
        <v>15</v>
      </c>
      <c r="F1133" s="256">
        <f>VLOOKUP(B1133,'[1]BASE DE DATOS'!$A$5:$E$964,5,FALSE)</f>
        <v>13283.333333333334</v>
      </c>
      <c r="G1133" s="708">
        <v>1.03</v>
      </c>
      <c r="H1133" s="252">
        <f t="shared" si="90"/>
        <v>205227.5</v>
      </c>
      <c r="I1133" s="924"/>
    </row>
    <row r="1134" spans="1:9" s="818" customFormat="1" ht="12.75" x14ac:dyDescent="0.2">
      <c r="A1134" s="1073"/>
      <c r="B1134" s="533" t="s">
        <v>3088</v>
      </c>
      <c r="C1134" s="822" t="s">
        <v>3089</v>
      </c>
      <c r="D1134" s="266" t="s">
        <v>411</v>
      </c>
      <c r="E1134" s="704">
        <v>5</v>
      </c>
      <c r="F1134" s="256">
        <f>VLOOKUP(B1134,'[1]BASE DE DATOS'!$A$5:$E$964,5,FALSE)</f>
        <v>1990</v>
      </c>
      <c r="G1134" s="708">
        <v>0</v>
      </c>
      <c r="H1134" s="252">
        <f t="shared" si="90"/>
        <v>9950</v>
      </c>
      <c r="I1134" s="924"/>
    </row>
    <row r="1135" spans="1:9" s="818" customFormat="1" ht="12.75" x14ac:dyDescent="0.2">
      <c r="A1135" s="280" t="s">
        <v>2555</v>
      </c>
      <c r="B1135" s="534" t="s">
        <v>2667</v>
      </c>
      <c r="C1135" s="822" t="s">
        <v>2600</v>
      </c>
      <c r="D1135" s="266" t="s">
        <v>585</v>
      </c>
      <c r="E1135" s="704">
        <v>1</v>
      </c>
      <c r="F1135" s="256">
        <f>VLOOKUP(B1135,'[1]BASE DE DATOS'!$A$5:$E$964,5,FALSE)</f>
        <v>319246</v>
      </c>
      <c r="G1135" s="708">
        <f>1/2</f>
        <v>0.5</v>
      </c>
      <c r="H1135" s="252">
        <f t="shared" si="90"/>
        <v>159623</v>
      </c>
      <c r="I1135" s="924"/>
    </row>
    <row r="1136" spans="1:9" s="818" customFormat="1" ht="13.5" thickBot="1" x14ac:dyDescent="0.25">
      <c r="A1136" s="287" t="s">
        <v>293</v>
      </c>
      <c r="B1136" s="535" t="s">
        <v>269</v>
      </c>
      <c r="C1136" s="235" t="s">
        <v>284</v>
      </c>
      <c r="D1136" s="177" t="s">
        <v>2199</v>
      </c>
      <c r="E1136" s="704">
        <v>0.2</v>
      </c>
      <c r="F1136" s="251">
        <f>H1135</f>
        <v>159623</v>
      </c>
      <c r="G1136" s="708">
        <v>0</v>
      </c>
      <c r="H1136" s="252">
        <f t="shared" si="90"/>
        <v>31924.600000000002</v>
      </c>
      <c r="I1136" s="924"/>
    </row>
    <row r="1137" spans="1:9" s="41" customFormat="1" ht="15.75" thickBot="1" x14ac:dyDescent="0.25">
      <c r="A1137" s="1084" t="s">
        <v>2389</v>
      </c>
      <c r="B1137" s="1085"/>
      <c r="C1137" s="1085"/>
      <c r="D1137" s="1085"/>
      <c r="E1137" s="1085"/>
      <c r="F1137" s="1085"/>
      <c r="G1137" s="1085"/>
      <c r="H1137" s="1086"/>
      <c r="I1137" s="914"/>
    </row>
    <row r="1138" spans="1:9" s="41" customFormat="1" ht="45.75" thickBot="1" x14ac:dyDescent="0.25">
      <c r="A1138" s="798" t="s">
        <v>2044</v>
      </c>
      <c r="B1138" s="866" t="s">
        <v>265</v>
      </c>
      <c r="C1138" s="798" t="s">
        <v>402</v>
      </c>
      <c r="D1138" s="798" t="s">
        <v>346</v>
      </c>
      <c r="E1138" s="192" t="s">
        <v>1913</v>
      </c>
      <c r="F1138" s="73" t="s">
        <v>3165</v>
      </c>
      <c r="G1138" s="290" t="s">
        <v>281</v>
      </c>
      <c r="H1138" s="74" t="s">
        <v>3164</v>
      </c>
      <c r="I1138" s="914"/>
    </row>
    <row r="1139" spans="1:9" ht="30" x14ac:dyDescent="0.2">
      <c r="A1139" s="292" t="s">
        <v>2390</v>
      </c>
      <c r="B1139" s="871"/>
      <c r="C1139" s="275" t="s">
        <v>2456</v>
      </c>
      <c r="D1139" s="265" t="s">
        <v>411</v>
      </c>
      <c r="E1139" s="707"/>
      <c r="F1139" s="259">
        <f>ROUND(SUM(H1139:H1148),0)</f>
        <v>912027</v>
      </c>
      <c r="G1139" s="711"/>
      <c r="H1139" s="250"/>
    </row>
    <row r="1140" spans="1:9" s="818" customFormat="1" ht="12.75" x14ac:dyDescent="0.2">
      <c r="A1140" s="1072" t="s">
        <v>295</v>
      </c>
      <c r="B1140" s="533" t="s">
        <v>1862</v>
      </c>
      <c r="C1140" s="822" t="s">
        <v>2576</v>
      </c>
      <c r="D1140" s="266" t="s">
        <v>411</v>
      </c>
      <c r="E1140" s="704">
        <v>1</v>
      </c>
      <c r="F1140" s="256">
        <f>VLOOKUP(B1140,'[1]BASE DE DATOS'!$A$5:$E$964,5,FALSE)</f>
        <v>400</v>
      </c>
      <c r="G1140" s="708">
        <v>0</v>
      </c>
      <c r="H1140" s="252">
        <f t="shared" ref="H1140:H1158" si="91">IF(G1140&gt;0,(G1140*F1140*E1140),(F1140*E1140))</f>
        <v>400</v>
      </c>
      <c r="I1140" s="924"/>
    </row>
    <row r="1141" spans="1:9" s="818" customFormat="1" ht="12.75" x14ac:dyDescent="0.2">
      <c r="A1141" s="1073"/>
      <c r="B1141" s="533" t="s">
        <v>1813</v>
      </c>
      <c r="C1141" s="822" t="s">
        <v>3121</v>
      </c>
      <c r="D1141" s="266" t="s">
        <v>405</v>
      </c>
      <c r="E1141" s="704">
        <v>1</v>
      </c>
      <c r="F1141" s="256">
        <f>VLOOKUP(B1141,'[1]BASE DE DATOS'!$A$5:$E$964,5,FALSE)</f>
        <v>6950</v>
      </c>
      <c r="G1141" s="708">
        <v>1.03</v>
      </c>
      <c r="H1141" s="252">
        <f>IF(G1141&gt;0,(G1141*F1141*E1141),(F1141*E1141))</f>
        <v>7158.5</v>
      </c>
      <c r="I1141" s="924"/>
    </row>
    <row r="1142" spans="1:9" s="818" customFormat="1" ht="12.75" x14ac:dyDescent="0.2">
      <c r="A1142" s="1073"/>
      <c r="B1142" s="533" t="s">
        <v>1444</v>
      </c>
      <c r="C1142" s="822" t="s">
        <v>2816</v>
      </c>
      <c r="D1142" s="266" t="s">
        <v>405</v>
      </c>
      <c r="E1142" s="704">
        <v>15</v>
      </c>
      <c r="F1142" s="256">
        <f>VLOOKUP(B1142,'[1]BASE DE DATOS'!$A$5:$E$964,5,FALSE)</f>
        <v>3446</v>
      </c>
      <c r="G1142" s="708">
        <v>1.03</v>
      </c>
      <c r="H1142" s="252">
        <f t="shared" si="91"/>
        <v>53240.700000000004</v>
      </c>
      <c r="I1142" s="924"/>
    </row>
    <row r="1143" spans="1:9" s="818" customFormat="1" ht="12.75" x14ac:dyDescent="0.2">
      <c r="A1143" s="1073"/>
      <c r="B1143" s="533" t="s">
        <v>1597</v>
      </c>
      <c r="C1143" s="822" t="s">
        <v>2581</v>
      </c>
      <c r="D1143" s="266" t="s">
        <v>405</v>
      </c>
      <c r="E1143" s="704">
        <v>3</v>
      </c>
      <c r="F1143" s="256">
        <f>VLOOKUP(B1143,'[1]BASE DE DATOS'!$A$5:$E$964,5,FALSE)</f>
        <v>4033</v>
      </c>
      <c r="G1143" s="708">
        <v>1.03</v>
      </c>
      <c r="H1143" s="252">
        <f t="shared" si="91"/>
        <v>12461.97</v>
      </c>
      <c r="I1143" s="924"/>
    </row>
    <row r="1144" spans="1:9" s="818" customFormat="1" ht="12.75" x14ac:dyDescent="0.2">
      <c r="A1144" s="1073"/>
      <c r="B1144" s="533" t="s">
        <v>2897</v>
      </c>
      <c r="C1144" s="822" t="s">
        <v>2898</v>
      </c>
      <c r="D1144" s="266" t="s">
        <v>411</v>
      </c>
      <c r="E1144" s="704">
        <v>1</v>
      </c>
      <c r="F1144" s="256">
        <f>VLOOKUP(B1144,'[1]BASE DE DATOS'!$A$5:$E$964,5,FALSE)</f>
        <v>389000</v>
      </c>
      <c r="G1144" s="708">
        <v>0</v>
      </c>
      <c r="H1144" s="252">
        <f t="shared" si="91"/>
        <v>389000</v>
      </c>
      <c r="I1144" s="924"/>
    </row>
    <row r="1145" spans="1:9" s="818" customFormat="1" ht="12.75" x14ac:dyDescent="0.2">
      <c r="A1145" s="1073"/>
      <c r="B1145" s="533" t="s">
        <v>2658</v>
      </c>
      <c r="C1145" s="822" t="s">
        <v>2588</v>
      </c>
      <c r="D1145" s="266" t="s">
        <v>411</v>
      </c>
      <c r="E1145" s="704">
        <v>2</v>
      </c>
      <c r="F1145" s="256">
        <f>VLOOKUP(B1145,'[1]BASE DE DATOS'!$A$5:$E$964,5,FALSE)</f>
        <v>750</v>
      </c>
      <c r="G1145" s="708">
        <v>0</v>
      </c>
      <c r="H1145" s="252">
        <f t="shared" si="91"/>
        <v>1500</v>
      </c>
      <c r="I1145" s="924"/>
    </row>
    <row r="1146" spans="1:9" s="818" customFormat="1" ht="12.75" x14ac:dyDescent="0.2">
      <c r="A1146" s="1073"/>
      <c r="B1146" s="533" t="s">
        <v>1863</v>
      </c>
      <c r="C1146" s="822" t="s">
        <v>3073</v>
      </c>
      <c r="D1146" s="266" t="s">
        <v>405</v>
      </c>
      <c r="E1146" s="704">
        <v>1</v>
      </c>
      <c r="F1146" s="256">
        <f>VLOOKUP(B1146,'[1]BASE DE DATOS'!$A$5:$E$964,5,FALSE)</f>
        <v>1283.3333333333333</v>
      </c>
      <c r="G1146" s="708">
        <v>1.03</v>
      </c>
      <c r="H1146" s="252">
        <f t="shared" si="91"/>
        <v>1321.8333333333333</v>
      </c>
      <c r="I1146" s="924"/>
    </row>
    <row r="1147" spans="1:9" s="818" customFormat="1" ht="12.75" x14ac:dyDescent="0.2">
      <c r="A1147" s="280" t="s">
        <v>2555</v>
      </c>
      <c r="B1147" s="534" t="s">
        <v>3166</v>
      </c>
      <c r="C1147" s="822" t="s">
        <v>2602</v>
      </c>
      <c r="D1147" s="266" t="s">
        <v>585</v>
      </c>
      <c r="E1147" s="704">
        <v>1</v>
      </c>
      <c r="F1147" s="256">
        <f>VLOOKUP(B1147,'[1]BASE DE DATOS'!$A$5:$E$964,5,FALSE)</f>
        <v>425661</v>
      </c>
      <c r="G1147" s="708">
        <v>1</v>
      </c>
      <c r="H1147" s="252">
        <f t="shared" si="91"/>
        <v>425661</v>
      </c>
      <c r="I1147" s="924"/>
    </row>
    <row r="1148" spans="1:9" s="818" customFormat="1" ht="13.5" thickBot="1" x14ac:dyDescent="0.25">
      <c r="A1148" s="287" t="s">
        <v>293</v>
      </c>
      <c r="B1148" s="535" t="s">
        <v>269</v>
      </c>
      <c r="C1148" s="235" t="s">
        <v>284</v>
      </c>
      <c r="D1148" s="177" t="s">
        <v>2199</v>
      </c>
      <c r="E1148" s="712">
        <v>0.05</v>
      </c>
      <c r="F1148" s="251">
        <f>H1147</f>
        <v>425661</v>
      </c>
      <c r="G1148" s="708">
        <v>0</v>
      </c>
      <c r="H1148" s="252">
        <f t="shared" si="91"/>
        <v>21283.050000000003</v>
      </c>
      <c r="I1148" s="924"/>
    </row>
    <row r="1149" spans="1:9" ht="15" x14ac:dyDescent="0.2">
      <c r="A1149" s="292" t="s">
        <v>2391</v>
      </c>
      <c r="B1149" s="868"/>
      <c r="C1149" s="264" t="s">
        <v>2896</v>
      </c>
      <c r="D1149" s="265" t="s">
        <v>411</v>
      </c>
      <c r="E1149" s="707"/>
      <c r="F1149" s="259">
        <f>ROUND(SUM(H1149:H1154),0)</f>
        <v>1166738</v>
      </c>
      <c r="G1149" s="711"/>
      <c r="H1149" s="250"/>
    </row>
    <row r="1150" spans="1:9" s="818" customFormat="1" ht="12.75" x14ac:dyDescent="0.2">
      <c r="A1150" s="1070" t="s">
        <v>382</v>
      </c>
      <c r="B1150" s="533" t="s">
        <v>1541</v>
      </c>
      <c r="C1150" s="822" t="s">
        <v>2828</v>
      </c>
      <c r="D1150" s="266" t="s">
        <v>405</v>
      </c>
      <c r="E1150" s="704">
        <v>3</v>
      </c>
      <c r="F1150" s="256">
        <f>VLOOKUP(B1150,'[1]BASE DE DATOS'!$A$5:$E$964,5,FALSE)</f>
        <v>6700</v>
      </c>
      <c r="G1150" s="708">
        <v>1.03</v>
      </c>
      <c r="H1150" s="252">
        <f t="shared" si="91"/>
        <v>20703</v>
      </c>
      <c r="I1150" s="924"/>
    </row>
    <row r="1151" spans="1:9" s="818" customFormat="1" ht="12.75" x14ac:dyDescent="0.2">
      <c r="A1151" s="1071"/>
      <c r="B1151" s="533" t="s">
        <v>2895</v>
      </c>
      <c r="C1151" s="822" t="s">
        <v>2896</v>
      </c>
      <c r="D1151" s="266" t="s">
        <v>411</v>
      </c>
      <c r="E1151" s="704">
        <v>1</v>
      </c>
      <c r="F1151" s="256">
        <f>VLOOKUP(B1151,'[1]BASE DE DATOS'!$A$5:$E$964,5,FALSE)</f>
        <v>504900</v>
      </c>
      <c r="G1151" s="708">
        <v>0</v>
      </c>
      <c r="H1151" s="252">
        <f t="shared" si="91"/>
        <v>504900</v>
      </c>
      <c r="I1151" s="924"/>
    </row>
    <row r="1152" spans="1:9" s="818" customFormat="1" ht="12.75" x14ac:dyDescent="0.2">
      <c r="A1152" s="1071"/>
      <c r="B1152" s="533" t="s">
        <v>1863</v>
      </c>
      <c r="C1152" s="822" t="s">
        <v>3073</v>
      </c>
      <c r="D1152" s="266" t="s">
        <v>405</v>
      </c>
      <c r="E1152" s="704">
        <v>2</v>
      </c>
      <c r="F1152" s="256">
        <f>VLOOKUP(B1152,'[1]BASE DE DATOS'!$A$5:$E$964,5,FALSE)</f>
        <v>1283.3333333333333</v>
      </c>
      <c r="G1152" s="708">
        <v>1.03</v>
      </c>
      <c r="H1152" s="252">
        <f t="shared" si="91"/>
        <v>2643.6666666666665</v>
      </c>
      <c r="I1152" s="924"/>
    </row>
    <row r="1153" spans="1:9" s="818" customFormat="1" ht="12.75" x14ac:dyDescent="0.2">
      <c r="A1153" s="280" t="s">
        <v>2555</v>
      </c>
      <c r="B1153" s="534" t="s">
        <v>3166</v>
      </c>
      <c r="C1153" s="822" t="s">
        <v>2602</v>
      </c>
      <c r="D1153" s="266" t="s">
        <v>585</v>
      </c>
      <c r="E1153" s="704">
        <v>1</v>
      </c>
      <c r="F1153" s="256">
        <f>VLOOKUP(B1153,'[1]BASE DE DATOS'!$A$5:$E$964,5,FALSE)</f>
        <v>425661</v>
      </c>
      <c r="G1153" s="708">
        <v>1</v>
      </c>
      <c r="H1153" s="252">
        <f t="shared" si="91"/>
        <v>425661</v>
      </c>
      <c r="I1153" s="924"/>
    </row>
    <row r="1154" spans="1:9" s="818" customFormat="1" ht="13.5" thickBot="1" x14ac:dyDescent="0.25">
      <c r="A1154" s="287" t="s">
        <v>293</v>
      </c>
      <c r="B1154" s="535" t="s">
        <v>269</v>
      </c>
      <c r="C1154" s="235" t="s">
        <v>284</v>
      </c>
      <c r="D1154" s="177" t="s">
        <v>2199</v>
      </c>
      <c r="E1154" s="704">
        <v>0.5</v>
      </c>
      <c r="F1154" s="251">
        <f>H1153</f>
        <v>425661</v>
      </c>
      <c r="G1154" s="708">
        <v>0</v>
      </c>
      <c r="H1154" s="252">
        <f t="shared" si="91"/>
        <v>212830.5</v>
      </c>
      <c r="I1154" s="924"/>
    </row>
    <row r="1155" spans="1:9" ht="30" x14ac:dyDescent="0.2">
      <c r="A1155" s="292" t="s">
        <v>2393</v>
      </c>
      <c r="B1155" s="868"/>
      <c r="C1155" s="264" t="s">
        <v>2392</v>
      </c>
      <c r="D1155" s="265" t="s">
        <v>411</v>
      </c>
      <c r="E1155" s="707"/>
      <c r="F1155" s="259">
        <f>ROUND(SUM(H1155:H1158),0)</f>
        <v>2143227</v>
      </c>
      <c r="G1155" s="711"/>
      <c r="H1155" s="250"/>
    </row>
    <row r="1156" spans="1:9" s="818" customFormat="1" ht="12.75" x14ac:dyDescent="0.2">
      <c r="A1156" s="801" t="s">
        <v>382</v>
      </c>
      <c r="B1156" s="533" t="s">
        <v>2966</v>
      </c>
      <c r="C1156" s="822" t="s">
        <v>2967</v>
      </c>
      <c r="D1156" s="266" t="s">
        <v>411</v>
      </c>
      <c r="E1156" s="704">
        <v>1</v>
      </c>
      <c r="F1156" s="256">
        <f>VLOOKUP(B1156,'[1]BASE DE DATOS'!$A$5:$E$964,5,FALSE)</f>
        <v>1675000</v>
      </c>
      <c r="G1156" s="708">
        <v>0</v>
      </c>
      <c r="H1156" s="252">
        <f t="shared" si="91"/>
        <v>1675000</v>
      </c>
      <c r="I1156" s="924"/>
    </row>
    <row r="1157" spans="1:9" s="818" customFormat="1" ht="12.75" x14ac:dyDescent="0.2">
      <c r="A1157" s="280" t="s">
        <v>2555</v>
      </c>
      <c r="B1157" s="534" t="s">
        <v>3166</v>
      </c>
      <c r="C1157" s="822" t="s">
        <v>2602</v>
      </c>
      <c r="D1157" s="266" t="s">
        <v>585</v>
      </c>
      <c r="E1157" s="704">
        <v>1</v>
      </c>
      <c r="F1157" s="256">
        <f>VLOOKUP(B1157,'[1]BASE DE DATOS'!$A$5:$E$964,5,FALSE)</f>
        <v>425661</v>
      </c>
      <c r="G1157" s="708">
        <v>0</v>
      </c>
      <c r="H1157" s="252">
        <f t="shared" si="91"/>
        <v>425661</v>
      </c>
      <c r="I1157" s="924"/>
    </row>
    <row r="1158" spans="1:9" s="818" customFormat="1" ht="13.5" thickBot="1" x14ac:dyDescent="0.25">
      <c r="A1158" s="287" t="s">
        <v>293</v>
      </c>
      <c r="B1158" s="535" t="s">
        <v>269</v>
      </c>
      <c r="C1158" s="235" t="s">
        <v>284</v>
      </c>
      <c r="D1158" s="177" t="s">
        <v>2199</v>
      </c>
      <c r="E1158" s="704">
        <v>0.1</v>
      </c>
      <c r="F1158" s="251">
        <f>H1157</f>
        <v>425661</v>
      </c>
      <c r="G1158" s="708">
        <v>0</v>
      </c>
      <c r="H1158" s="252">
        <f t="shared" si="91"/>
        <v>42566.100000000006</v>
      </c>
      <c r="I1158" s="924"/>
    </row>
    <row r="1159" spans="1:9" ht="30" x14ac:dyDescent="0.2">
      <c r="A1159" s="292" t="s">
        <v>2395</v>
      </c>
      <c r="B1159" s="868"/>
      <c r="C1159" s="264" t="s">
        <v>2394</v>
      </c>
      <c r="D1159" s="265" t="s">
        <v>411</v>
      </c>
      <c r="E1159" s="707"/>
      <c r="F1159" s="259">
        <f>ROUND(SUM(H1159:H1162),0)</f>
        <v>506657</v>
      </c>
      <c r="G1159" s="711"/>
      <c r="H1159" s="250"/>
      <c r="I1159" s="924">
        <v>4</v>
      </c>
    </row>
    <row r="1160" spans="1:9" s="818" customFormat="1" ht="12.75" x14ac:dyDescent="0.2">
      <c r="A1160" s="801" t="s">
        <v>382</v>
      </c>
      <c r="B1160" s="533" t="s">
        <v>2964</v>
      </c>
      <c r="C1160" s="822" t="s">
        <v>2965</v>
      </c>
      <c r="D1160" s="266" t="s">
        <v>411</v>
      </c>
      <c r="E1160" s="704">
        <v>1</v>
      </c>
      <c r="F1160" s="256">
        <f>VLOOKUP(B1160,'[1]BASE DE DATOS'!$A$5:$E$964,5,FALSE)</f>
        <v>389600</v>
      </c>
      <c r="G1160" s="708">
        <v>0</v>
      </c>
      <c r="H1160" s="252">
        <f t="shared" ref="H1160:H1162" si="92">IF(G1160&gt;0,(G1160*F1160*E1160),(F1160*E1160))</f>
        <v>389600</v>
      </c>
      <c r="I1160" s="924"/>
    </row>
    <row r="1161" spans="1:9" s="818" customFormat="1" ht="12.75" x14ac:dyDescent="0.2">
      <c r="A1161" s="280" t="s">
        <v>2555</v>
      </c>
      <c r="B1161" s="534" t="s">
        <v>3166</v>
      </c>
      <c r="C1161" s="822" t="s">
        <v>2602</v>
      </c>
      <c r="D1161" s="266" t="s">
        <v>585</v>
      </c>
      <c r="E1161" s="704">
        <v>1</v>
      </c>
      <c r="F1161" s="256">
        <f>VLOOKUP(B1161,'[1]BASE DE DATOS'!$A$5:$E$964,5,FALSE)</f>
        <v>425661</v>
      </c>
      <c r="G1161" s="708">
        <f>1/4</f>
        <v>0.25</v>
      </c>
      <c r="H1161" s="252">
        <f t="shared" si="92"/>
        <v>106415.25</v>
      </c>
      <c r="I1161" s="924"/>
    </row>
    <row r="1162" spans="1:9" s="818" customFormat="1" ht="13.5" thickBot="1" x14ac:dyDescent="0.25">
      <c r="A1162" s="287" t="s">
        <v>293</v>
      </c>
      <c r="B1162" s="535" t="s">
        <v>269</v>
      </c>
      <c r="C1162" s="235" t="s">
        <v>284</v>
      </c>
      <c r="D1162" s="177" t="s">
        <v>2199</v>
      </c>
      <c r="E1162" s="704">
        <v>0.1</v>
      </c>
      <c r="F1162" s="251">
        <f>H1161</f>
        <v>106415.25</v>
      </c>
      <c r="G1162" s="708">
        <v>0</v>
      </c>
      <c r="H1162" s="252">
        <f t="shared" si="92"/>
        <v>10641.525000000001</v>
      </c>
      <c r="I1162" s="924"/>
    </row>
    <row r="1163" spans="1:9" s="41" customFormat="1" ht="15.75" thickBot="1" x14ac:dyDescent="0.25">
      <c r="A1163" s="1084" t="s">
        <v>2396</v>
      </c>
      <c r="B1163" s="1085"/>
      <c r="C1163" s="1085"/>
      <c r="D1163" s="1085"/>
      <c r="E1163" s="1085"/>
      <c r="F1163" s="1085"/>
      <c r="G1163" s="1085"/>
      <c r="H1163" s="1086"/>
      <c r="I1163" s="914"/>
    </row>
    <row r="1164" spans="1:9" s="41" customFormat="1" ht="45.75" thickBot="1" x14ac:dyDescent="0.25">
      <c r="A1164" s="798" t="s">
        <v>2044</v>
      </c>
      <c r="B1164" s="866" t="s">
        <v>265</v>
      </c>
      <c r="C1164" s="798" t="s">
        <v>402</v>
      </c>
      <c r="D1164" s="798" t="s">
        <v>346</v>
      </c>
      <c r="E1164" s="192" t="s">
        <v>1913</v>
      </c>
      <c r="F1164" s="73" t="s">
        <v>3165</v>
      </c>
      <c r="G1164" s="290" t="s">
        <v>281</v>
      </c>
      <c r="H1164" s="74" t="s">
        <v>3164</v>
      </c>
      <c r="I1164" s="914"/>
    </row>
    <row r="1165" spans="1:9" ht="30" x14ac:dyDescent="0.2">
      <c r="A1165" s="292" t="s">
        <v>2397</v>
      </c>
      <c r="B1165" s="871"/>
      <c r="C1165" s="264" t="s">
        <v>2399</v>
      </c>
      <c r="D1165" s="265" t="s">
        <v>405</v>
      </c>
      <c r="E1165" s="707"/>
      <c r="F1165" s="259">
        <f>ROUND(SUM(H1165:H1172),0)</f>
        <v>381887</v>
      </c>
      <c r="G1165" s="711"/>
      <c r="H1165" s="250"/>
    </row>
    <row r="1166" spans="1:9" ht="12.75" x14ac:dyDescent="0.2">
      <c r="A1166" s="1089" t="s">
        <v>295</v>
      </c>
      <c r="B1166" s="533" t="s">
        <v>1380</v>
      </c>
      <c r="C1166" s="822" t="s">
        <v>3118</v>
      </c>
      <c r="D1166" s="266" t="s">
        <v>405</v>
      </c>
      <c r="E1166" s="704">
        <v>1</v>
      </c>
      <c r="F1166" s="256">
        <f>VLOOKUP(B1166,'[1]BASE DE DATOS'!$A$5:$E$964,5,FALSE)</f>
        <v>235485</v>
      </c>
      <c r="G1166" s="708">
        <v>1.03</v>
      </c>
      <c r="H1166" s="252">
        <f t="shared" ref="H1166:H1172" si="93">IF(G1166&gt;0,(G1166*F1166*E1166),(F1166*E1166))</f>
        <v>242549.55000000002</v>
      </c>
    </row>
    <row r="1167" spans="1:9" ht="12.75" x14ac:dyDescent="0.2">
      <c r="A1167" s="1090"/>
      <c r="B1167" s="533" t="s">
        <v>1602</v>
      </c>
      <c r="C1167" s="279" t="s">
        <v>2858</v>
      </c>
      <c r="D1167" s="266" t="s">
        <v>411</v>
      </c>
      <c r="E1167" s="704">
        <v>0.7</v>
      </c>
      <c r="F1167" s="256">
        <f>VLOOKUP(B1167,'[1]BASE DE DATOS'!$A$5:$E$964,5,FALSE)</f>
        <v>4147.6000000000004</v>
      </c>
      <c r="G1167" s="708">
        <v>0</v>
      </c>
      <c r="H1167" s="252">
        <f t="shared" si="93"/>
        <v>2903.32</v>
      </c>
    </row>
    <row r="1168" spans="1:9" ht="12.75" x14ac:dyDescent="0.2">
      <c r="A1168" s="1090"/>
      <c r="B1168" s="533" t="s">
        <v>2869</v>
      </c>
      <c r="C1168" s="822" t="s">
        <v>3125</v>
      </c>
      <c r="D1168" s="266" t="s">
        <v>411</v>
      </c>
      <c r="E1168" s="704">
        <v>0.85</v>
      </c>
      <c r="F1168" s="256">
        <f>VLOOKUP(B1168,'[1]BASE DE DATOS'!$A$5:$E$964,5,FALSE)</f>
        <v>18450</v>
      </c>
      <c r="G1168" s="708">
        <v>0</v>
      </c>
      <c r="H1168" s="252">
        <f t="shared" si="93"/>
        <v>15682.5</v>
      </c>
    </row>
    <row r="1169" spans="1:10" ht="25.5" x14ac:dyDescent="0.2">
      <c r="A1169" s="1090"/>
      <c r="B1169" s="533" t="s">
        <v>2998</v>
      </c>
      <c r="C1169" s="281" t="s">
        <v>3157</v>
      </c>
      <c r="D1169" s="266" t="s">
        <v>411</v>
      </c>
      <c r="E1169" s="704">
        <v>0.67</v>
      </c>
      <c r="F1169" s="256">
        <f>VLOOKUP(B1169,'[1]BASE DE DATOS'!$A$5:$E$964,5,FALSE)</f>
        <v>13774.25</v>
      </c>
      <c r="G1169" s="708">
        <v>0</v>
      </c>
      <c r="H1169" s="252">
        <f t="shared" si="93"/>
        <v>9228.7475000000013</v>
      </c>
    </row>
    <row r="1170" spans="1:10" ht="12.75" x14ac:dyDescent="0.2">
      <c r="A1170" s="1090"/>
      <c r="B1170" s="533" t="s">
        <v>3105</v>
      </c>
      <c r="C1170" s="822" t="s">
        <v>3106</v>
      </c>
      <c r="D1170" s="266" t="s">
        <v>411</v>
      </c>
      <c r="E1170" s="704">
        <v>0.7</v>
      </c>
      <c r="F1170" s="256">
        <f>VLOOKUP(B1170,'[1]BASE DE DATOS'!$A$5:$E$964,5,FALSE)</f>
        <v>8816</v>
      </c>
      <c r="G1170" s="708">
        <v>0</v>
      </c>
      <c r="H1170" s="252">
        <f t="shared" si="93"/>
        <v>6171.2</v>
      </c>
    </row>
    <row r="1171" spans="1:10" ht="15" x14ac:dyDescent="0.2">
      <c r="A1171" s="267" t="s">
        <v>2555</v>
      </c>
      <c r="B1171" s="534" t="s">
        <v>2667</v>
      </c>
      <c r="C1171" s="822" t="s">
        <v>2600</v>
      </c>
      <c r="D1171" s="266" t="s">
        <v>585</v>
      </c>
      <c r="E1171" s="704">
        <v>1</v>
      </c>
      <c r="F1171" s="256">
        <f>VLOOKUP(B1171,'[1]BASE DE DATOS'!$A$5:$E$964,5,FALSE)</f>
        <v>319246</v>
      </c>
      <c r="G1171" s="708">
        <f>1/3.33333</f>
        <v>0.30000030000029998</v>
      </c>
      <c r="H1171" s="252">
        <f t="shared" si="93"/>
        <v>95773.895773895769</v>
      </c>
    </row>
    <row r="1172" spans="1:10" ht="13.5" thickBot="1" x14ac:dyDescent="0.25">
      <c r="A1172" s="287" t="s">
        <v>293</v>
      </c>
      <c r="B1172" s="535" t="s">
        <v>269</v>
      </c>
      <c r="C1172" s="235" t="s">
        <v>284</v>
      </c>
      <c r="D1172" s="177" t="s">
        <v>2199</v>
      </c>
      <c r="E1172" s="704">
        <v>0.1</v>
      </c>
      <c r="F1172" s="251">
        <f>H1171</f>
        <v>95773.895773895769</v>
      </c>
      <c r="G1172" s="708">
        <v>0</v>
      </c>
      <c r="H1172" s="252">
        <f t="shared" si="93"/>
        <v>9577.3895773895765</v>
      </c>
    </row>
    <row r="1173" spans="1:10" ht="30" x14ac:dyDescent="0.2">
      <c r="A1173" s="292" t="s">
        <v>3170</v>
      </c>
      <c r="B1173" s="871"/>
      <c r="C1173" s="275" t="s">
        <v>3174</v>
      </c>
      <c r="D1173" s="265" t="s">
        <v>411</v>
      </c>
      <c r="E1173" s="707"/>
      <c r="F1173" s="259">
        <f>ROUND(SUM(H1173:H1180),0)</f>
        <v>51821</v>
      </c>
      <c r="G1173" s="711"/>
      <c r="H1173" s="250"/>
      <c r="I1173" s="924">
        <v>2</v>
      </c>
    </row>
    <row r="1174" spans="1:10" s="818" customFormat="1" ht="12.75" x14ac:dyDescent="0.2">
      <c r="A1174" s="1070" t="s">
        <v>382</v>
      </c>
      <c r="B1174" s="533" t="s">
        <v>1338</v>
      </c>
      <c r="C1174" s="822" t="s">
        <v>2797</v>
      </c>
      <c r="D1174" s="266" t="s">
        <v>411</v>
      </c>
      <c r="E1174" s="704">
        <v>2</v>
      </c>
      <c r="F1174" s="256">
        <f>VLOOKUP(B1174,'[1]BASE DE DATOS'!$A$5:$E$964,5,FALSE)</f>
        <v>900</v>
      </c>
      <c r="G1174" s="708">
        <v>0</v>
      </c>
      <c r="H1174" s="252">
        <f t="shared" ref="H1174:H1179" si="94">IF(G1174&gt;0,(G1174*F1174*E1174),(F1174*E1174))</f>
        <v>1800</v>
      </c>
      <c r="I1174" s="924"/>
    </row>
    <row r="1175" spans="1:10" s="818" customFormat="1" ht="12.75" x14ac:dyDescent="0.2">
      <c r="A1175" s="1071"/>
      <c r="B1175" s="533" t="s">
        <v>1778</v>
      </c>
      <c r="C1175" s="822" t="s">
        <v>3171</v>
      </c>
      <c r="D1175" s="266" t="s">
        <v>411</v>
      </c>
      <c r="E1175" s="704">
        <v>4</v>
      </c>
      <c r="F1175" s="256">
        <f>VLOOKUP(B1175,'[1]BASE DE DATOS'!$A$5:$E$964,5,FALSE)</f>
        <v>250</v>
      </c>
      <c r="G1175" s="708">
        <v>0</v>
      </c>
      <c r="H1175" s="252">
        <f t="shared" si="94"/>
        <v>1000</v>
      </c>
      <c r="I1175" s="924"/>
    </row>
    <row r="1176" spans="1:10" s="818" customFormat="1" ht="12.75" x14ac:dyDescent="0.2">
      <c r="A1176" s="1071"/>
      <c r="B1176" s="846" t="s">
        <v>1795</v>
      </c>
      <c r="C1176" s="289" t="s">
        <v>3172</v>
      </c>
      <c r="D1176" s="136" t="s">
        <v>3173</v>
      </c>
      <c r="E1176" s="704">
        <v>0.25</v>
      </c>
      <c r="F1176" s="256">
        <f>VLOOKUP(B1176,'[1]BASE DE DATOS'!$A$5:$E$964,5,FALSE)</f>
        <v>91722</v>
      </c>
      <c r="G1176" s="708">
        <v>0</v>
      </c>
      <c r="H1176" s="252">
        <f t="shared" si="94"/>
        <v>22930.5</v>
      </c>
      <c r="I1176" s="924"/>
      <c r="J1176" s="825"/>
    </row>
    <row r="1177" spans="1:10" s="818" customFormat="1" ht="12.75" x14ac:dyDescent="0.2">
      <c r="A1177" s="1071"/>
      <c r="B1177" s="533" t="s">
        <v>1814</v>
      </c>
      <c r="C1177" s="822" t="s">
        <v>3175</v>
      </c>
      <c r="D1177" s="266" t="s">
        <v>411</v>
      </c>
      <c r="E1177" s="704">
        <v>4</v>
      </c>
      <c r="F1177" s="256">
        <f>VLOOKUP(B1177,'[1]BASE DE DATOS'!$A$5:$E$964,5,FALSE)</f>
        <v>250</v>
      </c>
      <c r="G1177" s="708">
        <v>0</v>
      </c>
      <c r="H1177" s="252">
        <f t="shared" si="94"/>
        <v>1000</v>
      </c>
      <c r="I1177" s="924"/>
      <c r="J1177" s="825"/>
    </row>
    <row r="1178" spans="1:10" s="818" customFormat="1" ht="12.75" x14ac:dyDescent="0.2">
      <c r="A1178" s="1071"/>
      <c r="B1178" s="533" t="s">
        <v>1836</v>
      </c>
      <c r="C1178" s="822" t="s">
        <v>3176</v>
      </c>
      <c r="D1178" s="266" t="s">
        <v>405</v>
      </c>
      <c r="E1178" s="704">
        <v>1</v>
      </c>
      <c r="F1178" s="256">
        <f>VLOOKUP(B1178,'[1]BASE DE DATOS'!$A$5:$E$964,5,FALSE)</f>
        <v>11900</v>
      </c>
      <c r="G1178" s="708">
        <v>1.03</v>
      </c>
      <c r="H1178" s="252">
        <f t="shared" si="94"/>
        <v>12257</v>
      </c>
      <c r="I1178" s="924"/>
      <c r="J1178" s="825"/>
    </row>
    <row r="1179" spans="1:10" s="818" customFormat="1" ht="12.75" x14ac:dyDescent="0.2">
      <c r="A1179" s="280" t="s">
        <v>2555</v>
      </c>
      <c r="B1179" s="534" t="s">
        <v>2667</v>
      </c>
      <c r="C1179" s="822" t="s">
        <v>2600</v>
      </c>
      <c r="D1179" s="266" t="s">
        <v>585</v>
      </c>
      <c r="E1179" s="704">
        <v>1</v>
      </c>
      <c r="F1179" s="256">
        <f>VLOOKUP(B1179,'[1]BASE DE DATOS'!$A$5:$E$964,5,FALSE)</f>
        <v>319246</v>
      </c>
      <c r="G1179" s="708">
        <f>1/25</f>
        <v>0.04</v>
      </c>
      <c r="H1179" s="252">
        <f t="shared" si="94"/>
        <v>12769.84</v>
      </c>
      <c r="I1179" s="924"/>
    </row>
    <row r="1180" spans="1:10" s="818" customFormat="1" ht="13.5" thickBot="1" x14ac:dyDescent="0.25">
      <c r="A1180" s="287" t="s">
        <v>293</v>
      </c>
      <c r="B1180" s="535" t="s">
        <v>269</v>
      </c>
      <c r="C1180" s="235" t="s">
        <v>284</v>
      </c>
      <c r="D1180" s="177" t="s">
        <v>2199</v>
      </c>
      <c r="E1180" s="704">
        <v>0.5</v>
      </c>
      <c r="F1180" s="251">
        <f>H1179</f>
        <v>12769.84</v>
      </c>
      <c r="G1180" s="708">
        <v>0</v>
      </c>
      <c r="H1180" s="252">
        <f>ROUND(E1180%*F1180,0)</f>
        <v>64</v>
      </c>
      <c r="I1180" s="924"/>
    </row>
    <row r="1181" spans="1:10" s="41" customFormat="1" ht="15.75" thickBot="1" x14ac:dyDescent="0.25">
      <c r="A1181" s="1084" t="s">
        <v>2398</v>
      </c>
      <c r="B1181" s="1085"/>
      <c r="C1181" s="1085"/>
      <c r="D1181" s="1085"/>
      <c r="E1181" s="1085"/>
      <c r="F1181" s="1085"/>
      <c r="G1181" s="1085"/>
      <c r="H1181" s="1086"/>
      <c r="I1181" s="914"/>
    </row>
    <row r="1182" spans="1:10" s="41" customFormat="1" ht="45.75" thickBot="1" x14ac:dyDescent="0.25">
      <c r="A1182" s="798" t="s">
        <v>2044</v>
      </c>
      <c r="B1182" s="866" t="s">
        <v>265</v>
      </c>
      <c r="C1182" s="798" t="s">
        <v>402</v>
      </c>
      <c r="D1182" s="798" t="s">
        <v>346</v>
      </c>
      <c r="E1182" s="192" t="s">
        <v>1913</v>
      </c>
      <c r="F1182" s="73" t="s">
        <v>3165</v>
      </c>
      <c r="G1182" s="290" t="s">
        <v>281</v>
      </c>
      <c r="H1182" s="74" t="s">
        <v>3164</v>
      </c>
      <c r="I1182" s="914"/>
    </row>
    <row r="1183" spans="1:10" ht="30" x14ac:dyDescent="0.2">
      <c r="A1183" s="292" t="s">
        <v>2401</v>
      </c>
      <c r="B1183" s="871"/>
      <c r="C1183" s="264" t="s">
        <v>2400</v>
      </c>
      <c r="D1183" s="265" t="s">
        <v>411</v>
      </c>
      <c r="E1183" s="707"/>
      <c r="F1183" s="259">
        <f>ROUND(SUM(H1183:H1192),0)</f>
        <v>6402238</v>
      </c>
      <c r="G1183" s="711"/>
      <c r="H1183" s="250"/>
    </row>
    <row r="1184" spans="1:10" s="818" customFormat="1" ht="12.75" x14ac:dyDescent="0.2">
      <c r="A1184" s="1070" t="s">
        <v>382</v>
      </c>
      <c r="B1184" s="533" t="s">
        <v>1435</v>
      </c>
      <c r="C1184" s="822" t="s">
        <v>2815</v>
      </c>
      <c r="D1184" s="266" t="s">
        <v>405</v>
      </c>
      <c r="E1184" s="704">
        <v>1</v>
      </c>
      <c r="F1184" s="256">
        <f>VLOOKUP(B1184,'[1]BASE DE DATOS'!$A$5:$E$964,5,FALSE)</f>
        <v>45100</v>
      </c>
      <c r="G1184" s="708">
        <v>1.03</v>
      </c>
      <c r="H1184" s="252">
        <f t="shared" ref="H1184:H1192" si="95">IF(G1184&gt;0,(G1184*F1184*E1184),(F1184*E1184))</f>
        <v>46453</v>
      </c>
      <c r="I1184" s="924"/>
    </row>
    <row r="1185" spans="1:9" s="818" customFormat="1" ht="12.75" x14ac:dyDescent="0.2">
      <c r="A1185" s="1071"/>
      <c r="B1185" s="533" t="s">
        <v>1498</v>
      </c>
      <c r="C1185" s="822" t="s">
        <v>3120</v>
      </c>
      <c r="D1185" s="266" t="s">
        <v>405</v>
      </c>
      <c r="E1185" s="704">
        <v>45</v>
      </c>
      <c r="F1185" s="256">
        <f>VLOOKUP(B1185,'[1]BASE DE DATOS'!$A$5:$E$964,5,FALSE)</f>
        <v>55500</v>
      </c>
      <c r="G1185" s="708">
        <v>1.03</v>
      </c>
      <c r="H1185" s="252">
        <f t="shared" si="95"/>
        <v>2572425</v>
      </c>
      <c r="I1185" s="924"/>
    </row>
    <row r="1186" spans="1:9" s="818" customFormat="1" ht="12.75" x14ac:dyDescent="0.2">
      <c r="A1186" s="1071"/>
      <c r="B1186" s="533" t="s">
        <v>2890</v>
      </c>
      <c r="C1186" s="822" t="s">
        <v>2891</v>
      </c>
      <c r="D1186" s="266" t="s">
        <v>2402</v>
      </c>
      <c r="E1186" s="704">
        <v>6</v>
      </c>
      <c r="F1186" s="256">
        <f>VLOOKUP(B1186,'[1]BASE DE DATOS'!$A$5:$E$964,5,FALSE)</f>
        <v>194387</v>
      </c>
      <c r="G1186" s="708">
        <v>1.03</v>
      </c>
      <c r="H1186" s="252">
        <f t="shared" si="95"/>
        <v>1201311.6600000001</v>
      </c>
      <c r="I1186" s="924"/>
    </row>
    <row r="1187" spans="1:9" s="818" customFormat="1" ht="12.75" x14ac:dyDescent="0.2">
      <c r="A1187" s="1071"/>
      <c r="B1187" s="533" t="s">
        <v>2661</v>
      </c>
      <c r="C1187" s="822" t="s">
        <v>2996</v>
      </c>
      <c r="D1187" s="266" t="s">
        <v>411</v>
      </c>
      <c r="E1187" s="704">
        <v>5</v>
      </c>
      <c r="F1187" s="256">
        <f>VLOOKUP(B1187,'[1]BASE DE DATOS'!$A$5:$E$964,5,FALSE)</f>
        <v>21169.833333333332</v>
      </c>
      <c r="G1187" s="708">
        <v>1.03</v>
      </c>
      <c r="H1187" s="252">
        <f t="shared" si="95"/>
        <v>109024.64166666666</v>
      </c>
      <c r="I1187" s="924"/>
    </row>
    <row r="1188" spans="1:9" s="818" customFormat="1" ht="12.75" x14ac:dyDescent="0.2">
      <c r="A1188" s="1071"/>
      <c r="B1188" s="533" t="s">
        <v>1835</v>
      </c>
      <c r="C1188" s="822" t="s">
        <v>2665</v>
      </c>
      <c r="D1188" s="266" t="s">
        <v>411</v>
      </c>
      <c r="E1188" s="704">
        <v>6</v>
      </c>
      <c r="F1188" s="256">
        <f>VLOOKUP(B1188,'[1]BASE DE DATOS'!$A$5:$E$964,5,FALSE)</f>
        <v>59900</v>
      </c>
      <c r="G1188" s="708">
        <v>0</v>
      </c>
      <c r="H1188" s="252">
        <f t="shared" si="95"/>
        <v>359400</v>
      </c>
      <c r="I1188" s="924"/>
    </row>
    <row r="1189" spans="1:9" s="818" customFormat="1" x14ac:dyDescent="0.2">
      <c r="A1189" s="1092" t="s">
        <v>2044</v>
      </c>
      <c r="B1189" s="533" t="s">
        <v>766</v>
      </c>
      <c r="C1189" s="822" t="s">
        <v>133</v>
      </c>
      <c r="D1189" s="266" t="s">
        <v>2254</v>
      </c>
      <c r="E1189" s="704">
        <v>2.4</v>
      </c>
      <c r="F1189" s="251">
        <f>[1]CONSTRUCCION!F468</f>
        <v>43205</v>
      </c>
      <c r="G1189" s="708">
        <v>0</v>
      </c>
      <c r="H1189" s="252">
        <f t="shared" si="95"/>
        <v>103692</v>
      </c>
      <c r="I1189" s="924"/>
    </row>
    <row r="1190" spans="1:9" s="818" customFormat="1" x14ac:dyDescent="0.2">
      <c r="A1190" s="1092"/>
      <c r="B1190" s="533" t="s">
        <v>785</v>
      </c>
      <c r="C1190" s="822" t="s">
        <v>381</v>
      </c>
      <c r="D1190" s="266" t="s">
        <v>2254</v>
      </c>
      <c r="E1190" s="704">
        <v>2.4</v>
      </c>
      <c r="F1190" s="251">
        <f>[1]CONSTRUCCION!F563</f>
        <v>39349</v>
      </c>
      <c r="G1190" s="708">
        <v>0</v>
      </c>
      <c r="H1190" s="252">
        <f t="shared" si="95"/>
        <v>94437.599999999991</v>
      </c>
      <c r="I1190" s="924"/>
    </row>
    <row r="1191" spans="1:9" s="818" customFormat="1" ht="12.75" x14ac:dyDescent="0.2">
      <c r="A1191" s="280" t="s">
        <v>2555</v>
      </c>
      <c r="B1191" s="534" t="s">
        <v>3166</v>
      </c>
      <c r="C1191" s="822" t="s">
        <v>2602</v>
      </c>
      <c r="D1191" s="266" t="s">
        <v>585</v>
      </c>
      <c r="E1191" s="704">
        <v>1</v>
      </c>
      <c r="F1191" s="256">
        <f>VLOOKUP(B1191,'[1]BASE DE DATOS'!$A$5:$E$964,5,FALSE)</f>
        <v>425661</v>
      </c>
      <c r="G1191" s="708">
        <f>1/0.33333</f>
        <v>3.0000300003000029</v>
      </c>
      <c r="H1191" s="252">
        <f t="shared" si="95"/>
        <v>1276995.7699576996</v>
      </c>
      <c r="I1191" s="924"/>
    </row>
    <row r="1192" spans="1:9" s="818" customFormat="1" ht="13.5" thickBot="1" x14ac:dyDescent="0.25">
      <c r="A1192" s="287" t="s">
        <v>293</v>
      </c>
      <c r="B1192" s="535" t="s">
        <v>269</v>
      </c>
      <c r="C1192" s="235" t="s">
        <v>284</v>
      </c>
      <c r="D1192" s="177" t="s">
        <v>2199</v>
      </c>
      <c r="E1192" s="704">
        <v>0.5</v>
      </c>
      <c r="F1192" s="251">
        <f>H1191</f>
        <v>1276995.7699576996</v>
      </c>
      <c r="G1192" s="708">
        <v>0</v>
      </c>
      <c r="H1192" s="252">
        <f t="shared" si="95"/>
        <v>638497.88497884979</v>
      </c>
      <c r="I1192" s="924"/>
    </row>
    <row r="1193" spans="1:9" s="818" customFormat="1" ht="30" x14ac:dyDescent="0.2">
      <c r="A1193" s="292" t="s">
        <v>3671</v>
      </c>
      <c r="B1193" s="878"/>
      <c r="C1193" s="275" t="s">
        <v>2420</v>
      </c>
      <c r="D1193" s="276" t="s">
        <v>411</v>
      </c>
      <c r="E1193" s="713"/>
      <c r="F1193" s="259">
        <f>ROUND(SUM(H1193:H1200),0)</f>
        <v>1370036</v>
      </c>
      <c r="G1193" s="711"/>
      <c r="H1193" s="250"/>
      <c r="I1193" s="924">
        <v>2</v>
      </c>
    </row>
    <row r="1194" spans="1:9" s="818" customFormat="1" ht="12.75" x14ac:dyDescent="0.2">
      <c r="A1194" s="1070" t="s">
        <v>382</v>
      </c>
      <c r="B1194" s="533" t="s">
        <v>1813</v>
      </c>
      <c r="C1194" s="827" t="str">
        <f>VLOOKUP(B1194,'[2]BASE DE DATOS'!$A$5:$E$961,2,FALSE)</f>
        <v>Cable Cu # 8 HF FR LS</v>
      </c>
      <c r="D1194" s="828" t="str">
        <f>VLOOKUP(B1194,'[2]BASE DE DATOS'!$A$5:$E$961,3,FALSE)</f>
        <v>M</v>
      </c>
      <c r="E1194" s="847">
        <v>5</v>
      </c>
      <c r="F1194" s="256">
        <f>VLOOKUP(B1194,'[1]BASE DE DATOS'!$A$5:$E$964,5,FALSE)</f>
        <v>6950</v>
      </c>
      <c r="G1194" s="708">
        <v>1.03</v>
      </c>
      <c r="H1194" s="252">
        <f t="shared" ref="H1194:H1200" si="96">IF(G1194&gt;0,(G1194*F1194*E1194),(F1194*E1194))</f>
        <v>35792.5</v>
      </c>
      <c r="I1194" s="924"/>
    </row>
    <row r="1195" spans="1:9" s="818" customFormat="1" ht="12.75" x14ac:dyDescent="0.2">
      <c r="A1195" s="1071"/>
      <c r="B1195" s="533" t="s">
        <v>1544</v>
      </c>
      <c r="C1195" s="827" t="str">
        <f>VLOOKUP(B1195,'[2]BASE DE DATOS'!$A$5:$E$961,2,FALSE)</f>
        <v>Cable Cu desnudo # 2 AWG</v>
      </c>
      <c r="D1195" s="828" t="str">
        <f>VLOOKUP(B1195,'[2]BASE DE DATOS'!$A$5:$E$961,3,FALSE)</f>
        <v>M</v>
      </c>
      <c r="E1195" s="847">
        <v>19</v>
      </c>
      <c r="F1195" s="256">
        <f>VLOOKUP(B1195,'[1]BASE DE DATOS'!$A$5:$E$964,5,FALSE)</f>
        <v>24300</v>
      </c>
      <c r="G1195" s="708">
        <v>1.03</v>
      </c>
      <c r="H1195" s="252">
        <f t="shared" si="96"/>
        <v>475551</v>
      </c>
      <c r="I1195" s="924"/>
    </row>
    <row r="1196" spans="1:9" s="818" customFormat="1" ht="12.75" x14ac:dyDescent="0.2">
      <c r="A1196" s="1071"/>
      <c r="B1196" s="533" t="s">
        <v>2661</v>
      </c>
      <c r="C1196" s="827" t="str">
        <f>VLOOKUP(B1196,'[2]BASE DE DATOS'!$A$5:$E$961,2,FALSE)</f>
        <v>Soldadura CADWELD promedio</v>
      </c>
      <c r="D1196" s="828" t="str">
        <f>VLOOKUP(B1196,'[2]BASE DE DATOS'!$A$5:$E$961,3,FALSE)</f>
        <v>Un</v>
      </c>
      <c r="E1196" s="847">
        <v>1</v>
      </c>
      <c r="F1196" s="256">
        <f>VLOOKUP(B1196,'[1]BASE DE DATOS'!$A$5:$E$964,5,FALSE)</f>
        <v>21169.833333333332</v>
      </c>
      <c r="G1196" s="708">
        <v>1.03</v>
      </c>
      <c r="H1196" s="252">
        <f t="shared" si="96"/>
        <v>21804.928333333333</v>
      </c>
      <c r="I1196" s="924"/>
    </row>
    <row r="1197" spans="1:9" s="818" customFormat="1" ht="12.75" x14ac:dyDescent="0.2">
      <c r="A1197" s="1071"/>
      <c r="B1197" s="533" t="s">
        <v>1835</v>
      </c>
      <c r="C1197" s="827" t="str">
        <f>VLOOKUP(B1197,'[2]BASE DE DATOS'!$A$5:$E$961,2,FALSE)</f>
        <v>Varilla Cu 5/8" x 2.4 m</v>
      </c>
      <c r="D1197" s="828" t="str">
        <f>VLOOKUP(B1197,'[2]BASE DE DATOS'!$A$5:$E$961,3,FALSE)</f>
        <v>Un</v>
      </c>
      <c r="E1197" s="847">
        <v>1</v>
      </c>
      <c r="F1197" s="256">
        <f>VLOOKUP(B1197,'[1]BASE DE DATOS'!$A$5:$E$964,5,FALSE)</f>
        <v>59900</v>
      </c>
      <c r="G1197" s="708">
        <v>0</v>
      </c>
      <c r="H1197" s="252">
        <f t="shared" si="96"/>
        <v>59900</v>
      </c>
      <c r="I1197" s="924"/>
    </row>
    <row r="1198" spans="1:9" s="818" customFormat="1" ht="12.75" x14ac:dyDescent="0.2">
      <c r="A1198" s="803" t="s">
        <v>2044</v>
      </c>
      <c r="B1198" s="533" t="s">
        <v>766</v>
      </c>
      <c r="C1198" s="827" t="str">
        <f>VLOOKUP(B1198,[2]CONSTRUCCION!$A$5:$H$923,3,FALSE)</f>
        <v>Excavación manual en material común seco de 0 - 2 m</v>
      </c>
      <c r="D1198" s="828" t="str">
        <f>VLOOKUP(B1198,[2]CONSTRUCCION!$A$5:$H$923,4,FALSE)</f>
        <v>M3</v>
      </c>
      <c r="E1198" s="847">
        <v>0.25</v>
      </c>
      <c r="F1198" s="256">
        <f>[1]CONSTRUCCION!F468</f>
        <v>43205</v>
      </c>
      <c r="G1198" s="708">
        <v>0</v>
      </c>
      <c r="H1198" s="252">
        <f t="shared" si="96"/>
        <v>10801.25</v>
      </c>
      <c r="I1198" s="924"/>
    </row>
    <row r="1199" spans="1:9" s="818" customFormat="1" ht="12.75" x14ac:dyDescent="0.2">
      <c r="A1199" s="280" t="s">
        <v>2555</v>
      </c>
      <c r="B1199" s="534" t="s">
        <v>3166</v>
      </c>
      <c r="C1199" s="827" t="str">
        <f>VLOOKUP(B1199,'[2]BASE DE DATOS'!$A$5:$E$961,2,FALSE)</f>
        <v>Cuadrilla GE 1 Of E + 2 A y E (jornal + prestaciones)</v>
      </c>
      <c r="D1199" s="828" t="str">
        <f>VLOOKUP(B1199,'[2]BASE DE DATOS'!$A$5:$E$961,3,FALSE)</f>
        <v>Día</v>
      </c>
      <c r="E1199" s="847">
        <v>1</v>
      </c>
      <c r="F1199" s="256">
        <f>VLOOKUP(B1199,'[1]BASE DE DATOS'!$A$5:$E$964,5,FALSE)</f>
        <v>425661</v>
      </c>
      <c r="G1199" s="708">
        <f>1/0.66667</f>
        <v>1.4999925000374998</v>
      </c>
      <c r="H1199" s="252">
        <f t="shared" si="96"/>
        <v>638488.30755846226</v>
      </c>
      <c r="I1199" s="924"/>
    </row>
    <row r="1200" spans="1:9" s="818" customFormat="1" ht="13.5" thickBot="1" x14ac:dyDescent="0.25">
      <c r="A1200" s="611" t="s">
        <v>293</v>
      </c>
      <c r="B1200" s="536" t="s">
        <v>269</v>
      </c>
      <c r="C1200" s="837" t="str">
        <f>VLOOKUP(B1200,'[2]BASE DE DATOS'!$A$5:$E$961,2,FALSE)</f>
        <v>Herramienta menor (%ManoObra)</v>
      </c>
      <c r="D1200" s="838" t="str">
        <f>VLOOKUP(B1200,'[2]BASE DE DATOS'!$A$5:$E$961,3,FALSE)</f>
        <v>%MO</v>
      </c>
      <c r="E1200" s="725">
        <v>0.2</v>
      </c>
      <c r="F1200" s="614">
        <f>H1199</f>
        <v>638488.30755846226</v>
      </c>
      <c r="G1200" s="723">
        <v>0</v>
      </c>
      <c r="H1200" s="479">
        <f t="shared" si="96"/>
        <v>127697.66151169245</v>
      </c>
      <c r="I1200" s="924"/>
    </row>
    <row r="1201" spans="1:9" s="41" customFormat="1" ht="15.75" thickBot="1" x14ac:dyDescent="0.25">
      <c r="A1201" s="1084" t="s">
        <v>3169</v>
      </c>
      <c r="B1201" s="1085"/>
      <c r="C1201" s="1085"/>
      <c r="D1201" s="1085"/>
      <c r="E1201" s="1085"/>
      <c r="F1201" s="1085"/>
      <c r="G1201" s="1085"/>
      <c r="H1201" s="1086"/>
      <c r="I1201" s="914"/>
    </row>
    <row r="1202" spans="1:9" s="41" customFormat="1" ht="45.75" thickBot="1" x14ac:dyDescent="0.25">
      <c r="A1202" s="798" t="s">
        <v>2044</v>
      </c>
      <c r="B1202" s="866" t="s">
        <v>265</v>
      </c>
      <c r="C1202" s="798" t="s">
        <v>402</v>
      </c>
      <c r="D1202" s="798" t="s">
        <v>346</v>
      </c>
      <c r="E1202" s="192" t="s">
        <v>1913</v>
      </c>
      <c r="F1202" s="73" t="s">
        <v>3165</v>
      </c>
      <c r="G1202" s="290" t="s">
        <v>281</v>
      </c>
      <c r="H1202" s="74" t="s">
        <v>3164</v>
      </c>
      <c r="I1202" s="914"/>
    </row>
    <row r="1203" spans="1:9" ht="30" x14ac:dyDescent="0.2">
      <c r="A1203" s="292" t="s">
        <v>2403</v>
      </c>
      <c r="B1203" s="879"/>
      <c r="C1203" s="264" t="s">
        <v>3151</v>
      </c>
      <c r="D1203" s="265" t="s">
        <v>411</v>
      </c>
      <c r="E1203" s="707"/>
      <c r="F1203" s="259">
        <f>ROUND(SUM(H1203:H1209),0)</f>
        <v>183764554</v>
      </c>
      <c r="G1203" s="260"/>
      <c r="H1203" s="250"/>
      <c r="I1203" s="924">
        <v>1</v>
      </c>
    </row>
    <row r="1204" spans="1:9" s="818" customFormat="1" ht="12.75" x14ac:dyDescent="0.2">
      <c r="A1204" s="1070" t="s">
        <v>382</v>
      </c>
      <c r="B1204" s="533" t="s">
        <v>2808</v>
      </c>
      <c r="C1204" s="822" t="s">
        <v>2809</v>
      </c>
      <c r="D1204" s="266" t="s">
        <v>411</v>
      </c>
      <c r="E1204" s="704">
        <v>1</v>
      </c>
      <c r="F1204" s="256">
        <f>VLOOKUP(B1204,'[1]BASE DE DATOS'!$A$5:$E$964,5,FALSE)</f>
        <v>24990000</v>
      </c>
      <c r="G1204" s="708">
        <v>0</v>
      </c>
      <c r="H1204" s="252">
        <f t="shared" ref="H1204:H1209" si="97">IF(G1204&gt;0,(G1204*F1204*E1204),(F1204*E1204))</f>
        <v>24990000</v>
      </c>
      <c r="I1204" s="924"/>
    </row>
    <row r="1205" spans="1:9" s="818" customFormat="1" ht="12.75" x14ac:dyDescent="0.2">
      <c r="A1205" s="1071"/>
      <c r="B1205" s="533" t="s">
        <v>1545</v>
      </c>
      <c r="C1205" s="822" t="s">
        <v>2833</v>
      </c>
      <c r="D1205" s="266" t="s">
        <v>405</v>
      </c>
      <c r="E1205" s="704">
        <v>5</v>
      </c>
      <c r="F1205" s="256">
        <f>VLOOKUP(B1205,'[1]BASE DE DATOS'!$A$5:$E$964,5,FALSE)</f>
        <v>45950</v>
      </c>
      <c r="G1205" s="708">
        <v>1.03</v>
      </c>
      <c r="H1205" s="252">
        <f t="shared" si="97"/>
        <v>236642.5</v>
      </c>
      <c r="I1205" s="924"/>
    </row>
    <row r="1206" spans="1:9" s="818" customFormat="1" ht="12.75" x14ac:dyDescent="0.2">
      <c r="A1206" s="1071"/>
      <c r="B1206" s="533" t="s">
        <v>2886</v>
      </c>
      <c r="C1206" s="822" t="s">
        <v>2887</v>
      </c>
      <c r="D1206" s="266" t="s">
        <v>405</v>
      </c>
      <c r="E1206" s="704">
        <v>10</v>
      </c>
      <c r="F1206" s="256">
        <f>VLOOKUP(B1206,'[1]BASE DE DATOS'!$A$5:$E$964,5,FALSE)</f>
        <v>18650</v>
      </c>
      <c r="G1206" s="708">
        <v>1.03</v>
      </c>
      <c r="H1206" s="252">
        <f t="shared" si="97"/>
        <v>192095</v>
      </c>
      <c r="I1206" s="924"/>
    </row>
    <row r="1207" spans="1:9" s="818" customFormat="1" ht="12.75" x14ac:dyDescent="0.2">
      <c r="A1207" s="1071"/>
      <c r="B1207" s="533" t="s">
        <v>2979</v>
      </c>
      <c r="C1207" s="822" t="s">
        <v>2980</v>
      </c>
      <c r="D1207" s="266" t="s">
        <v>411</v>
      </c>
      <c r="E1207" s="704">
        <v>1</v>
      </c>
      <c r="F1207" s="256">
        <f>VLOOKUP(B1207,'[1]BASE DE DATOS'!$A$5:$E$964,5,FALSE)</f>
        <v>154600000</v>
      </c>
      <c r="G1207" s="708">
        <v>0</v>
      </c>
      <c r="H1207" s="252">
        <f t="shared" si="97"/>
        <v>154600000</v>
      </c>
      <c r="I1207" s="924"/>
    </row>
    <row r="1208" spans="1:9" s="818" customFormat="1" ht="12.75" x14ac:dyDescent="0.2">
      <c r="A1208" s="280" t="s">
        <v>2555</v>
      </c>
      <c r="B1208" s="534" t="s">
        <v>3166</v>
      </c>
      <c r="C1208" s="822" t="s">
        <v>2602</v>
      </c>
      <c r="D1208" s="266" t="s">
        <v>585</v>
      </c>
      <c r="E1208" s="704">
        <v>1</v>
      </c>
      <c r="F1208" s="256">
        <f>VLOOKUP(B1208,'[1]BASE DE DATOS'!$A$5:$E$964,5,FALSE)</f>
        <v>425661</v>
      </c>
      <c r="G1208" s="708">
        <f>1/0.125</f>
        <v>8</v>
      </c>
      <c r="H1208" s="252">
        <f t="shared" si="97"/>
        <v>3405288</v>
      </c>
      <c r="I1208" s="924"/>
    </row>
    <row r="1209" spans="1:9" s="818" customFormat="1" ht="13.5" thickBot="1" x14ac:dyDescent="0.25">
      <c r="A1209" s="287" t="s">
        <v>293</v>
      </c>
      <c r="B1209" s="535" t="s">
        <v>269</v>
      </c>
      <c r="C1209" s="235" t="s">
        <v>284</v>
      </c>
      <c r="D1209" s="177" t="s">
        <v>2199</v>
      </c>
      <c r="E1209" s="704">
        <v>0.1</v>
      </c>
      <c r="F1209" s="251">
        <f>H1208</f>
        <v>3405288</v>
      </c>
      <c r="G1209" s="708">
        <v>0</v>
      </c>
      <c r="H1209" s="252">
        <f t="shared" si="97"/>
        <v>340528.80000000005</v>
      </c>
      <c r="I1209" s="924"/>
    </row>
    <row r="1210" spans="1:9" s="41" customFormat="1" ht="15.75" thickBot="1" x14ac:dyDescent="0.25">
      <c r="A1210" s="1084" t="s">
        <v>2404</v>
      </c>
      <c r="B1210" s="1085"/>
      <c r="C1210" s="1085"/>
      <c r="D1210" s="1085"/>
      <c r="E1210" s="1085"/>
      <c r="F1210" s="1085"/>
      <c r="G1210" s="1085"/>
      <c r="H1210" s="1086"/>
      <c r="I1210" s="914"/>
    </row>
    <row r="1211" spans="1:9" s="41" customFormat="1" ht="45.75" thickBot="1" x14ac:dyDescent="0.25">
      <c r="A1211" s="798" t="s">
        <v>2044</v>
      </c>
      <c r="B1211" s="866" t="s">
        <v>265</v>
      </c>
      <c r="C1211" s="798" t="s">
        <v>402</v>
      </c>
      <c r="D1211" s="798" t="s">
        <v>346</v>
      </c>
      <c r="E1211" s="192" t="s">
        <v>1913</v>
      </c>
      <c r="F1211" s="73" t="s">
        <v>3165</v>
      </c>
      <c r="G1211" s="290" t="s">
        <v>281</v>
      </c>
      <c r="H1211" s="74" t="s">
        <v>3164</v>
      </c>
      <c r="I1211" s="914"/>
    </row>
    <row r="1212" spans="1:9" ht="15" x14ac:dyDescent="0.2">
      <c r="A1212" s="292" t="s">
        <v>2405</v>
      </c>
      <c r="B1212" s="871"/>
      <c r="C1212" s="264" t="s">
        <v>2457</v>
      </c>
      <c r="D1212" s="265" t="s">
        <v>411</v>
      </c>
      <c r="E1212" s="707"/>
      <c r="F1212" s="259">
        <f>ROUND(SUM(H1212:H1221),0)</f>
        <v>316711</v>
      </c>
      <c r="G1212" s="711"/>
      <c r="H1212" s="250"/>
    </row>
    <row r="1213" spans="1:9" s="848" customFormat="1" x14ac:dyDescent="0.2">
      <c r="A1213" s="1089" t="s">
        <v>295</v>
      </c>
      <c r="B1213" s="533" t="s">
        <v>1862</v>
      </c>
      <c r="C1213" s="822" t="s">
        <v>2576</v>
      </c>
      <c r="D1213" s="266" t="s">
        <v>411</v>
      </c>
      <c r="E1213" s="704">
        <v>2</v>
      </c>
      <c r="F1213" s="256">
        <f>VLOOKUP(B1213,'[1]BASE DE DATOS'!$A$5:$E$964,5,FALSE)</f>
        <v>400</v>
      </c>
      <c r="G1213" s="704">
        <v>0</v>
      </c>
      <c r="H1213" s="252">
        <f t="shared" ref="H1213:H1233" si="98">IF(G1213&gt;0,(G1213*F1213*E1213),(F1213*E1213))</f>
        <v>800</v>
      </c>
      <c r="I1213" s="925"/>
    </row>
    <row r="1214" spans="1:9" s="848" customFormat="1" x14ac:dyDescent="0.2">
      <c r="A1214" s="1090"/>
      <c r="B1214" s="533" t="s">
        <v>1444</v>
      </c>
      <c r="C1214" s="822" t="s">
        <v>2816</v>
      </c>
      <c r="D1214" s="266" t="s">
        <v>405</v>
      </c>
      <c r="E1214" s="704">
        <v>46</v>
      </c>
      <c r="F1214" s="256">
        <f>VLOOKUP(B1214,'[1]BASE DE DATOS'!$A$5:$E$964,5,FALSE)</f>
        <v>3446</v>
      </c>
      <c r="G1214" s="704">
        <v>1.03</v>
      </c>
      <c r="H1214" s="252">
        <f t="shared" si="98"/>
        <v>163271.48000000001</v>
      </c>
      <c r="I1214" s="925"/>
    </row>
    <row r="1215" spans="1:9" s="848" customFormat="1" x14ac:dyDescent="0.2">
      <c r="A1215" s="1090"/>
      <c r="B1215" s="533" t="s">
        <v>2841</v>
      </c>
      <c r="C1215" s="822" t="s">
        <v>2842</v>
      </c>
      <c r="D1215" s="266" t="s">
        <v>411</v>
      </c>
      <c r="E1215" s="704">
        <v>1</v>
      </c>
      <c r="F1215" s="256">
        <f>VLOOKUP(B1215,'[1]BASE DE DATOS'!$A$5:$E$964,5,FALSE)</f>
        <v>2100</v>
      </c>
      <c r="G1215" s="704">
        <v>0</v>
      </c>
      <c r="H1215" s="252">
        <f t="shared" si="98"/>
        <v>2100</v>
      </c>
      <c r="I1215" s="925"/>
    </row>
    <row r="1216" spans="1:9" s="848" customFormat="1" x14ac:dyDescent="0.2">
      <c r="A1216" s="1090"/>
      <c r="B1216" s="533" t="s">
        <v>1342</v>
      </c>
      <c r="C1216" s="822" t="s">
        <v>2131</v>
      </c>
      <c r="D1216" s="266" t="s">
        <v>256</v>
      </c>
      <c r="E1216" s="704">
        <v>0.08</v>
      </c>
      <c r="F1216" s="256">
        <f>VLOOKUP(B1216,'[1]BASE DE DATOS'!$A$5:$E$964,5,FALSE)</f>
        <v>28050</v>
      </c>
      <c r="G1216" s="704">
        <v>1.05</v>
      </c>
      <c r="H1216" s="252">
        <f t="shared" si="98"/>
        <v>2356.2000000000003</v>
      </c>
      <c r="I1216" s="925"/>
    </row>
    <row r="1217" spans="1:9" s="848" customFormat="1" x14ac:dyDescent="0.2">
      <c r="A1217" s="1090"/>
      <c r="B1217" s="533" t="s">
        <v>2867</v>
      </c>
      <c r="C1217" s="822" t="s">
        <v>2868</v>
      </c>
      <c r="D1217" s="266" t="s">
        <v>411</v>
      </c>
      <c r="E1217" s="704">
        <v>3</v>
      </c>
      <c r="F1217" s="256">
        <f>VLOOKUP(B1217,'[1]BASE DE DATOS'!$A$5:$E$964,5,FALSE)</f>
        <v>1200</v>
      </c>
      <c r="G1217" s="704">
        <v>0</v>
      </c>
      <c r="H1217" s="252">
        <f t="shared" si="98"/>
        <v>3600</v>
      </c>
      <c r="I1217" s="925"/>
    </row>
    <row r="1218" spans="1:9" s="848" customFormat="1" x14ac:dyDescent="0.2">
      <c r="A1218" s="1090"/>
      <c r="B1218" s="533" t="s">
        <v>1701</v>
      </c>
      <c r="C1218" s="822" t="s">
        <v>2652</v>
      </c>
      <c r="D1218" s="266" t="s">
        <v>411</v>
      </c>
      <c r="E1218" s="704">
        <v>3.0000000000000001E-3</v>
      </c>
      <c r="F1218" s="256">
        <f>VLOOKUP(B1218,'[1]BASE DE DATOS'!$A$5:$E$964,5,FALSE)</f>
        <v>80900</v>
      </c>
      <c r="G1218" s="704">
        <v>1.03</v>
      </c>
      <c r="H1218" s="252">
        <f t="shared" si="98"/>
        <v>249.98099999999999</v>
      </c>
      <c r="I1218" s="925"/>
    </row>
    <row r="1219" spans="1:9" s="848" customFormat="1" x14ac:dyDescent="0.2">
      <c r="A1219" s="1090"/>
      <c r="B1219" s="533" t="s">
        <v>1863</v>
      </c>
      <c r="C1219" s="822" t="s">
        <v>3073</v>
      </c>
      <c r="D1219" s="266" t="s">
        <v>405</v>
      </c>
      <c r="E1219" s="704">
        <v>15</v>
      </c>
      <c r="F1219" s="256">
        <f>VLOOKUP(B1219,'[1]BASE DE DATOS'!$A$5:$E$964,5,FALSE)</f>
        <v>1283.3333333333333</v>
      </c>
      <c r="G1219" s="704">
        <v>1.03</v>
      </c>
      <c r="H1219" s="252">
        <f t="shared" si="98"/>
        <v>19827.5</v>
      </c>
      <c r="I1219" s="925"/>
    </row>
    <row r="1220" spans="1:9" s="848" customFormat="1" ht="15" x14ac:dyDescent="0.2">
      <c r="A1220" s="267" t="s">
        <v>2555</v>
      </c>
      <c r="B1220" s="534" t="s">
        <v>2667</v>
      </c>
      <c r="C1220" s="822" t="s">
        <v>2600</v>
      </c>
      <c r="D1220" s="266" t="s">
        <v>585</v>
      </c>
      <c r="E1220" s="704">
        <v>1</v>
      </c>
      <c r="F1220" s="256">
        <f>VLOOKUP(B1220,'[1]BASE DE DATOS'!$A$5:$E$964,5,FALSE)</f>
        <v>319246</v>
      </c>
      <c r="G1220" s="704">
        <f>1/3.33333</f>
        <v>0.30000030000029998</v>
      </c>
      <c r="H1220" s="252">
        <f t="shared" si="98"/>
        <v>95773.895773895769</v>
      </c>
      <c r="I1220" s="925"/>
    </row>
    <row r="1221" spans="1:9" s="848" customFormat="1" ht="15" thickBot="1" x14ac:dyDescent="0.25">
      <c r="A1221" s="287" t="s">
        <v>293</v>
      </c>
      <c r="B1221" s="535" t="s">
        <v>269</v>
      </c>
      <c r="C1221" s="235" t="s">
        <v>284</v>
      </c>
      <c r="D1221" s="177" t="s">
        <v>2199</v>
      </c>
      <c r="E1221" s="704">
        <v>0.3</v>
      </c>
      <c r="F1221" s="251">
        <f>H1220</f>
        <v>95773.895773895769</v>
      </c>
      <c r="G1221" s="708">
        <v>0</v>
      </c>
      <c r="H1221" s="252">
        <f t="shared" si="98"/>
        <v>28732.168732168731</v>
      </c>
      <c r="I1221" s="925"/>
    </row>
    <row r="1222" spans="1:9" s="848" customFormat="1" ht="30" x14ac:dyDescent="0.2">
      <c r="A1222" s="292" t="s">
        <v>2407</v>
      </c>
      <c r="B1222" s="868"/>
      <c r="C1222" s="264" t="s">
        <v>2406</v>
      </c>
      <c r="D1222" s="265" t="s">
        <v>411</v>
      </c>
      <c r="E1222" s="707"/>
      <c r="F1222" s="259">
        <f>ROUND(SUM(H1222:H1227),0)</f>
        <v>2837243</v>
      </c>
      <c r="G1222" s="711"/>
      <c r="H1222" s="250"/>
      <c r="I1222" s="925"/>
    </row>
    <row r="1223" spans="1:9" s="816" customFormat="1" ht="12.75" x14ac:dyDescent="0.2">
      <c r="A1223" s="1070" t="s">
        <v>382</v>
      </c>
      <c r="B1223" s="533" t="s">
        <v>1546</v>
      </c>
      <c r="C1223" s="822" t="s">
        <v>2834</v>
      </c>
      <c r="D1223" s="266" t="s">
        <v>411</v>
      </c>
      <c r="E1223" s="704">
        <v>2</v>
      </c>
      <c r="F1223" s="256">
        <f>VLOOKUP(B1223,'[1]BASE DE DATOS'!$A$5:$E$964,5,FALSE)</f>
        <v>5700</v>
      </c>
      <c r="G1223" s="704">
        <v>1.03</v>
      </c>
      <c r="H1223" s="252">
        <f t="shared" si="98"/>
        <v>11742</v>
      </c>
      <c r="I1223" s="925"/>
    </row>
    <row r="1224" spans="1:9" s="816" customFormat="1" ht="12.75" x14ac:dyDescent="0.2">
      <c r="A1224" s="1071"/>
      <c r="B1224" s="533" t="s">
        <v>2982</v>
      </c>
      <c r="C1224" s="822" t="s">
        <v>2983</v>
      </c>
      <c r="D1224" s="273" t="s">
        <v>411</v>
      </c>
      <c r="E1224" s="704">
        <v>1</v>
      </c>
      <c r="F1224" s="256">
        <f>VLOOKUP(B1224,'[1]BASE DE DATOS'!$A$5:$E$964,5,FALSE)</f>
        <v>2356000</v>
      </c>
      <c r="G1224" s="704">
        <v>0</v>
      </c>
      <c r="H1224" s="252">
        <f t="shared" si="98"/>
        <v>2356000</v>
      </c>
      <c r="I1224" s="925"/>
    </row>
    <row r="1225" spans="1:9" s="816" customFormat="1" ht="12.75" x14ac:dyDescent="0.2">
      <c r="A1225" s="1071"/>
      <c r="B1225" s="533" t="s">
        <v>3026</v>
      </c>
      <c r="C1225" s="822" t="s">
        <v>3896</v>
      </c>
      <c r="D1225" s="266" t="s">
        <v>411</v>
      </c>
      <c r="E1225" s="704">
        <v>1</v>
      </c>
      <c r="F1225" s="256">
        <f>VLOOKUP(B1225,'[1]BASE DE DATOS'!$A$5:$E$964,5,FALSE)</f>
        <v>1269</v>
      </c>
      <c r="G1225" s="704">
        <v>0</v>
      </c>
      <c r="H1225" s="252">
        <f t="shared" si="98"/>
        <v>1269</v>
      </c>
      <c r="I1225" s="925"/>
    </row>
    <row r="1226" spans="1:9" s="816" customFormat="1" ht="12.75" x14ac:dyDescent="0.2">
      <c r="A1226" s="280" t="s">
        <v>2555</v>
      </c>
      <c r="B1226" s="534" t="s">
        <v>397</v>
      </c>
      <c r="C1226" s="822" t="s">
        <v>3234</v>
      </c>
      <c r="D1226" s="266" t="s">
        <v>585</v>
      </c>
      <c r="E1226" s="704">
        <v>1</v>
      </c>
      <c r="F1226" s="256">
        <f>VLOOKUP(B1226,'[1]BASE DE DATOS'!$A$5:$E$964,5,FALSE)</f>
        <v>141887</v>
      </c>
      <c r="G1226" s="704">
        <f>1/0.33333</f>
        <v>3.0000300003000029</v>
      </c>
      <c r="H1226" s="252">
        <f t="shared" si="98"/>
        <v>425665.25665256649</v>
      </c>
      <c r="I1226" s="925"/>
    </row>
    <row r="1227" spans="1:9" s="816" customFormat="1" ht="13.5" thickBot="1" x14ac:dyDescent="0.25">
      <c r="A1227" s="287" t="s">
        <v>293</v>
      </c>
      <c r="B1227" s="535" t="s">
        <v>269</v>
      </c>
      <c r="C1227" s="235" t="s">
        <v>284</v>
      </c>
      <c r="D1227" s="177" t="s">
        <v>2199</v>
      </c>
      <c r="E1227" s="704">
        <v>0.1</v>
      </c>
      <c r="F1227" s="251">
        <f>H1226</f>
        <v>425665.25665256649</v>
      </c>
      <c r="G1227" s="708">
        <v>0</v>
      </c>
      <c r="H1227" s="252">
        <f t="shared" si="98"/>
        <v>42566.525665256653</v>
      </c>
      <c r="I1227" s="925"/>
    </row>
    <row r="1228" spans="1:9" s="848" customFormat="1" ht="30" x14ac:dyDescent="0.2">
      <c r="A1228" s="292" t="s">
        <v>2409</v>
      </c>
      <c r="B1228" s="868"/>
      <c r="C1228" s="264" t="s">
        <v>2408</v>
      </c>
      <c r="D1228" s="265" t="s">
        <v>411</v>
      </c>
      <c r="E1228" s="707"/>
      <c r="F1228" s="259">
        <f>ROUND(SUM(H1228:H1233),0)</f>
        <v>3203790</v>
      </c>
      <c r="G1228" s="711"/>
      <c r="H1228" s="250"/>
      <c r="I1228" s="925">
        <v>3</v>
      </c>
    </row>
    <row r="1229" spans="1:9" s="816" customFormat="1" ht="12.75" x14ac:dyDescent="0.2">
      <c r="A1229" s="1070" t="s">
        <v>382</v>
      </c>
      <c r="B1229" s="533" t="s">
        <v>1381</v>
      </c>
      <c r="C1229" s="282" t="s">
        <v>2802</v>
      </c>
      <c r="D1229" s="266" t="s">
        <v>411</v>
      </c>
      <c r="E1229" s="704">
        <v>1</v>
      </c>
      <c r="F1229" s="256">
        <f>VLOOKUP(B1229,'[1]BASE DE DATOS'!$A$5:$E$964,5,FALSE)</f>
        <v>12881</v>
      </c>
      <c r="G1229" s="704">
        <v>0</v>
      </c>
      <c r="H1229" s="252">
        <f t="shared" si="98"/>
        <v>12881</v>
      </c>
      <c r="I1229" s="925"/>
    </row>
    <row r="1230" spans="1:9" s="816" customFormat="1" ht="12.75" x14ac:dyDescent="0.2">
      <c r="A1230" s="1071"/>
      <c r="B1230" s="533" t="s">
        <v>1900</v>
      </c>
      <c r="C1230" s="282" t="s">
        <v>2893</v>
      </c>
      <c r="D1230" s="266" t="s">
        <v>411</v>
      </c>
      <c r="E1230" s="704">
        <v>1</v>
      </c>
      <c r="F1230" s="256">
        <f>VLOOKUP(B1230,'[1]BASE DE DATOS'!$A$5:$E$964,5,FALSE)</f>
        <v>27814</v>
      </c>
      <c r="G1230" s="704">
        <v>0</v>
      </c>
      <c r="H1230" s="252">
        <f t="shared" si="98"/>
        <v>27814</v>
      </c>
      <c r="I1230" s="925"/>
    </row>
    <row r="1231" spans="1:9" s="816" customFormat="1" ht="12.75" x14ac:dyDescent="0.2">
      <c r="A1231" s="1071"/>
      <c r="B1231" s="533" t="s">
        <v>2957</v>
      </c>
      <c r="C1231" s="279" t="s">
        <v>2958</v>
      </c>
      <c r="D1231" s="266" t="s">
        <v>411</v>
      </c>
      <c r="E1231" s="704">
        <v>1</v>
      </c>
      <c r="F1231" s="256">
        <f>VLOOKUP(B1231,'[1]BASE DE DATOS'!$A$5:$E$964,5,FALSE)</f>
        <v>2780000</v>
      </c>
      <c r="G1231" s="704">
        <v>0</v>
      </c>
      <c r="H1231" s="252">
        <f t="shared" si="98"/>
        <v>2780000</v>
      </c>
      <c r="I1231" s="925"/>
    </row>
    <row r="1232" spans="1:9" s="816" customFormat="1" ht="12.75" x14ac:dyDescent="0.2">
      <c r="A1232" s="280" t="s">
        <v>2555</v>
      </c>
      <c r="B1232" s="534" t="s">
        <v>2667</v>
      </c>
      <c r="C1232" s="822" t="s">
        <v>2600</v>
      </c>
      <c r="D1232" s="266" t="s">
        <v>585</v>
      </c>
      <c r="E1232" s="704">
        <v>1</v>
      </c>
      <c r="F1232" s="256">
        <f>VLOOKUP(B1232,'[1]BASE DE DATOS'!$A$5:$E$964,5,FALSE)</f>
        <v>319246</v>
      </c>
      <c r="G1232" s="704">
        <v>1</v>
      </c>
      <c r="H1232" s="252">
        <f t="shared" si="98"/>
        <v>319246</v>
      </c>
      <c r="I1232" s="925"/>
    </row>
    <row r="1233" spans="1:10" s="816" customFormat="1" ht="13.5" thickBot="1" x14ac:dyDescent="0.25">
      <c r="A1233" s="287" t="s">
        <v>293</v>
      </c>
      <c r="B1233" s="535" t="s">
        <v>269</v>
      </c>
      <c r="C1233" s="235" t="s">
        <v>284</v>
      </c>
      <c r="D1233" s="177" t="s">
        <v>2199</v>
      </c>
      <c r="E1233" s="704">
        <v>0.2</v>
      </c>
      <c r="F1233" s="251">
        <f>H1232</f>
        <v>319246</v>
      </c>
      <c r="G1233" s="708">
        <v>0</v>
      </c>
      <c r="H1233" s="252">
        <f t="shared" si="98"/>
        <v>63849.200000000004</v>
      </c>
      <c r="I1233" s="925"/>
    </row>
    <row r="1234" spans="1:10" s="41" customFormat="1" ht="15.75" thickBot="1" x14ac:dyDescent="0.25">
      <c r="A1234" s="1084" t="s">
        <v>2410</v>
      </c>
      <c r="B1234" s="1085"/>
      <c r="C1234" s="1085"/>
      <c r="D1234" s="1085"/>
      <c r="E1234" s="1085"/>
      <c r="F1234" s="1085"/>
      <c r="G1234" s="1085"/>
      <c r="H1234" s="1086"/>
      <c r="I1234" s="914"/>
    </row>
    <row r="1235" spans="1:10" s="41" customFormat="1" ht="45.75" thickBot="1" x14ac:dyDescent="0.25">
      <c r="A1235" s="798" t="s">
        <v>2044</v>
      </c>
      <c r="B1235" s="866" t="s">
        <v>265</v>
      </c>
      <c r="C1235" s="798" t="s">
        <v>402</v>
      </c>
      <c r="D1235" s="798" t="s">
        <v>346</v>
      </c>
      <c r="E1235" s="192" t="s">
        <v>1913</v>
      </c>
      <c r="F1235" s="73" t="s">
        <v>3165</v>
      </c>
      <c r="G1235" s="290" t="s">
        <v>281</v>
      </c>
      <c r="H1235" s="74" t="s">
        <v>3164</v>
      </c>
      <c r="I1235" s="914"/>
    </row>
    <row r="1236" spans="1:10" ht="17.25" x14ac:dyDescent="0.2">
      <c r="A1236" s="270" t="s">
        <v>2411</v>
      </c>
      <c r="B1236" s="874"/>
      <c r="C1236" s="264" t="s">
        <v>2412</v>
      </c>
      <c r="D1236" s="265" t="s">
        <v>405</v>
      </c>
      <c r="E1236" s="707"/>
      <c r="F1236" s="259">
        <f>ROUND(SUM(H1236:H1239),0)</f>
        <v>15629</v>
      </c>
      <c r="G1236" s="711"/>
      <c r="H1236" s="250"/>
    </row>
    <row r="1237" spans="1:10" s="818" customFormat="1" ht="12.75" x14ac:dyDescent="0.2">
      <c r="A1237" s="801" t="s">
        <v>382</v>
      </c>
      <c r="B1237" s="533" t="s">
        <v>1845</v>
      </c>
      <c r="C1237" s="822" t="s">
        <v>2206</v>
      </c>
      <c r="D1237" s="266" t="s">
        <v>405</v>
      </c>
      <c r="E1237" s="704">
        <v>1</v>
      </c>
      <c r="F1237" s="256">
        <f>VLOOKUP(B1237,'[1]BASE DE DATOS'!$A$5:$E$964,5,FALSE)</f>
        <v>5100.166666666667</v>
      </c>
      <c r="G1237" s="708">
        <v>1.03</v>
      </c>
      <c r="H1237" s="252">
        <f t="shared" ref="H1237:H1239" si="99">IF(G1237&gt;0,(G1237*F1237*E1237),(F1237*E1237))</f>
        <v>5253.1716666666671</v>
      </c>
      <c r="I1237" s="924"/>
    </row>
    <row r="1238" spans="1:10" s="818" customFormat="1" ht="12.75" x14ac:dyDescent="0.2">
      <c r="A1238" s="280" t="s">
        <v>2555</v>
      </c>
      <c r="B1238" s="534" t="s">
        <v>2667</v>
      </c>
      <c r="C1238" s="822" t="s">
        <v>2600</v>
      </c>
      <c r="D1238" s="266" t="s">
        <v>585</v>
      </c>
      <c r="E1238" s="704">
        <v>1</v>
      </c>
      <c r="F1238" s="256">
        <f>VLOOKUP(B1238,'[1]BASE DE DATOS'!$A$5:$E$964,5,FALSE)</f>
        <v>319246</v>
      </c>
      <c r="G1238" s="708">
        <f>1/40</f>
        <v>2.5000000000000001E-2</v>
      </c>
      <c r="H1238" s="252">
        <f t="shared" si="99"/>
        <v>7981.1500000000005</v>
      </c>
      <c r="I1238" s="924"/>
    </row>
    <row r="1239" spans="1:10" s="818" customFormat="1" ht="13.5" thickBot="1" x14ac:dyDescent="0.25">
      <c r="A1239" s="287" t="s">
        <v>293</v>
      </c>
      <c r="B1239" s="535" t="s">
        <v>269</v>
      </c>
      <c r="C1239" s="235" t="s">
        <v>284</v>
      </c>
      <c r="D1239" s="177" t="s">
        <v>2199</v>
      </c>
      <c r="E1239" s="704">
        <v>0.3</v>
      </c>
      <c r="F1239" s="251">
        <f>H1238</f>
        <v>7981.1500000000005</v>
      </c>
      <c r="G1239" s="708">
        <v>0</v>
      </c>
      <c r="H1239" s="252">
        <f t="shared" si="99"/>
        <v>2394.3450000000003</v>
      </c>
      <c r="I1239" s="924"/>
    </row>
    <row r="1240" spans="1:10" ht="30" x14ac:dyDescent="0.2">
      <c r="A1240" s="292" t="s">
        <v>2413</v>
      </c>
      <c r="B1240" s="878"/>
      <c r="C1240" s="264" t="s">
        <v>2458</v>
      </c>
      <c r="D1240" s="265" t="s">
        <v>411</v>
      </c>
      <c r="E1240" s="707"/>
      <c r="F1240" s="259">
        <f>ROUND(SUM(H1240:H1244),0)</f>
        <v>51979</v>
      </c>
      <c r="G1240" s="711"/>
      <c r="H1240" s="250"/>
    </row>
    <row r="1241" spans="1:10" s="818" customFormat="1" ht="12.75" x14ac:dyDescent="0.2">
      <c r="A1241" s="1070" t="s">
        <v>382</v>
      </c>
      <c r="B1241" s="533" t="s">
        <v>1338</v>
      </c>
      <c r="C1241" s="822" t="s">
        <v>2797</v>
      </c>
      <c r="D1241" s="266" t="s">
        <v>411</v>
      </c>
      <c r="E1241" s="704">
        <v>1</v>
      </c>
      <c r="F1241" s="256">
        <f>VLOOKUP(B1241,'[1]BASE DE DATOS'!$A$5:$E$964,5,FALSE)</f>
        <v>900</v>
      </c>
      <c r="G1241" s="708">
        <v>0</v>
      </c>
      <c r="H1241" s="252">
        <f t="shared" ref="H1241:H1244" si="100">IF(G1241&gt;0,(G1241*F1241*E1241),(F1241*E1241))</f>
        <v>900</v>
      </c>
      <c r="I1241" s="924"/>
    </row>
    <row r="1242" spans="1:10" s="818" customFormat="1" ht="12.75" x14ac:dyDescent="0.2">
      <c r="A1242" s="1071"/>
      <c r="B1242" s="533" t="s">
        <v>3000</v>
      </c>
      <c r="C1242" s="279" t="s">
        <v>3001</v>
      </c>
      <c r="D1242" s="266" t="s">
        <v>411</v>
      </c>
      <c r="E1242" s="704">
        <v>1</v>
      </c>
      <c r="F1242" s="256">
        <f>VLOOKUP(B1242,'[1]BASE DE DATOS'!$A$5:$E$964,5,FALSE)</f>
        <v>42300</v>
      </c>
      <c r="G1242" s="708">
        <v>0</v>
      </c>
      <c r="H1242" s="252">
        <f t="shared" si="100"/>
        <v>42300</v>
      </c>
      <c r="I1242" s="924"/>
    </row>
    <row r="1243" spans="1:10" s="818" customFormat="1" ht="12.75" x14ac:dyDescent="0.2">
      <c r="A1243" s="280" t="s">
        <v>2555</v>
      </c>
      <c r="B1243" s="534" t="s">
        <v>2667</v>
      </c>
      <c r="C1243" s="822" t="s">
        <v>2600</v>
      </c>
      <c r="D1243" s="266" t="s">
        <v>585</v>
      </c>
      <c r="E1243" s="704">
        <v>1</v>
      </c>
      <c r="F1243" s="256">
        <f>VLOOKUP(B1243,'[1]BASE DE DATOS'!$A$5:$E$964,5,FALSE)</f>
        <v>319246</v>
      </c>
      <c r="G1243" s="708">
        <f>1/40</f>
        <v>2.5000000000000001E-2</v>
      </c>
      <c r="H1243" s="252">
        <f t="shared" si="100"/>
        <v>7981.1500000000005</v>
      </c>
      <c r="I1243" s="924"/>
    </row>
    <row r="1244" spans="1:10" s="818" customFormat="1" ht="13.5" thickBot="1" x14ac:dyDescent="0.25">
      <c r="A1244" s="287" t="s">
        <v>293</v>
      </c>
      <c r="B1244" s="535" t="s">
        <v>269</v>
      </c>
      <c r="C1244" s="235" t="s">
        <v>284</v>
      </c>
      <c r="D1244" s="177" t="s">
        <v>2199</v>
      </c>
      <c r="E1244" s="704">
        <v>0.1</v>
      </c>
      <c r="F1244" s="251">
        <f>H1243</f>
        <v>7981.1500000000005</v>
      </c>
      <c r="G1244" s="708">
        <v>0</v>
      </c>
      <c r="H1244" s="252">
        <f t="shared" si="100"/>
        <v>798.11500000000012</v>
      </c>
      <c r="I1244" s="924"/>
    </row>
    <row r="1245" spans="1:10" ht="45" x14ac:dyDescent="0.2">
      <c r="A1245" s="292" t="s">
        <v>2415</v>
      </c>
      <c r="B1245" s="872"/>
      <c r="C1245" s="264" t="s">
        <v>2414</v>
      </c>
      <c r="D1245" s="265" t="s">
        <v>411</v>
      </c>
      <c r="E1245" s="707"/>
      <c r="F1245" s="259">
        <f>ROUND(SUM(H1245:H1252),0)</f>
        <v>341010</v>
      </c>
      <c r="G1245" s="711"/>
      <c r="H1245" s="250"/>
      <c r="J1245" s="865"/>
    </row>
    <row r="1246" spans="1:10" s="818" customFormat="1" ht="12.75" x14ac:dyDescent="0.2">
      <c r="A1246" s="1070" t="s">
        <v>382</v>
      </c>
      <c r="B1246" s="533" t="s">
        <v>1339</v>
      </c>
      <c r="C1246" s="822" t="s">
        <v>2798</v>
      </c>
      <c r="D1246" s="266" t="s">
        <v>411</v>
      </c>
      <c r="E1246" s="704">
        <v>4</v>
      </c>
      <c r="F1246" s="256">
        <f>VLOOKUP(B1246,'[1]BASE DE DATOS'!$A$5:$E$964,5,FALSE)</f>
        <v>3700</v>
      </c>
      <c r="G1246" s="708">
        <v>0</v>
      </c>
      <c r="H1246" s="252">
        <f t="shared" ref="H1246:H1252" si="101">IF(G1246&gt;0,(G1246*F1246*E1246),(F1246*E1246))</f>
        <v>14800</v>
      </c>
      <c r="I1246" s="924"/>
    </row>
    <row r="1247" spans="1:10" s="818" customFormat="1" ht="12.75" x14ac:dyDescent="0.2">
      <c r="A1247" s="1071"/>
      <c r="B1247" s="533" t="s">
        <v>1387</v>
      </c>
      <c r="C1247" s="822" t="s">
        <v>4135</v>
      </c>
      <c r="D1247" s="266" t="s">
        <v>411</v>
      </c>
      <c r="E1247" s="704">
        <v>1</v>
      </c>
      <c r="F1247" s="256">
        <f>VLOOKUP(B1247,'[1]BASE DE DATOS'!$A$5:$E$964,5,FALSE)</f>
        <v>84002</v>
      </c>
      <c r="G1247" s="708">
        <v>0</v>
      </c>
      <c r="H1247" s="252">
        <f t="shared" si="101"/>
        <v>84002</v>
      </c>
      <c r="I1247" s="924"/>
    </row>
    <row r="1248" spans="1:10" s="818" customFormat="1" ht="12.75" x14ac:dyDescent="0.2">
      <c r="A1248" s="1071"/>
      <c r="B1248" s="533" t="s">
        <v>1421</v>
      </c>
      <c r="C1248" s="823" t="s">
        <v>2811</v>
      </c>
      <c r="D1248" s="273" t="s">
        <v>405</v>
      </c>
      <c r="E1248" s="712">
        <v>2</v>
      </c>
      <c r="F1248" s="256">
        <f>VLOOKUP(B1248,'[1]BASE DE DATOS'!$A$5:$E$964,5,FALSE)</f>
        <v>8200</v>
      </c>
      <c r="G1248" s="708">
        <v>1.03</v>
      </c>
      <c r="H1248" s="252">
        <f t="shared" si="101"/>
        <v>16892</v>
      </c>
      <c r="I1248" s="924"/>
    </row>
    <row r="1249" spans="1:9" s="818" customFormat="1" ht="12.75" x14ac:dyDescent="0.2">
      <c r="A1249" s="1071"/>
      <c r="B1249" s="533" t="s">
        <v>1764</v>
      </c>
      <c r="C1249" s="823" t="s">
        <v>2870</v>
      </c>
      <c r="D1249" s="273" t="s">
        <v>411</v>
      </c>
      <c r="E1249" s="712">
        <v>1</v>
      </c>
      <c r="F1249" s="256">
        <f>VLOOKUP(B1249,'[1]BASE DE DATOS'!$A$5:$E$964,5,FALSE)</f>
        <v>29950</v>
      </c>
      <c r="G1249" s="708">
        <v>0</v>
      </c>
      <c r="H1249" s="252">
        <f t="shared" si="101"/>
        <v>29950</v>
      </c>
      <c r="I1249" s="924"/>
    </row>
    <row r="1250" spans="1:9" s="818" customFormat="1" ht="12.75" x14ac:dyDescent="0.2">
      <c r="A1250" s="1071"/>
      <c r="B1250" s="533" t="s">
        <v>2986</v>
      </c>
      <c r="C1250" s="823" t="s">
        <v>2987</v>
      </c>
      <c r="D1250" s="273" t="s">
        <v>411</v>
      </c>
      <c r="E1250" s="712">
        <v>1</v>
      </c>
      <c r="F1250" s="256">
        <f>VLOOKUP(B1250,'[1]BASE DE DATOS'!$A$5:$E$964,5,FALSE)</f>
        <v>88100</v>
      </c>
      <c r="G1250" s="708">
        <v>0</v>
      </c>
      <c r="H1250" s="252">
        <f t="shared" si="101"/>
        <v>88100</v>
      </c>
      <c r="I1250" s="924"/>
    </row>
    <row r="1251" spans="1:9" s="818" customFormat="1" ht="12.75" x14ac:dyDescent="0.2">
      <c r="A1251" s="280" t="s">
        <v>2555</v>
      </c>
      <c r="B1251" s="534" t="s">
        <v>3166</v>
      </c>
      <c r="C1251" s="823" t="s">
        <v>2602</v>
      </c>
      <c r="D1251" s="273" t="s">
        <v>585</v>
      </c>
      <c r="E1251" s="712">
        <v>1</v>
      </c>
      <c r="F1251" s="256">
        <f>VLOOKUP(B1251,'[1]BASE DE DATOS'!$A$5:$E$964,5,FALSE)</f>
        <v>425661</v>
      </c>
      <c r="G1251" s="708">
        <f>1/5.55556</f>
        <v>0.1799998560001152</v>
      </c>
      <c r="H1251" s="252">
        <f t="shared" si="101"/>
        <v>76618.918704865035</v>
      </c>
      <c r="I1251" s="924"/>
    </row>
    <row r="1252" spans="1:9" s="818" customFormat="1" ht="13.5" thickBot="1" x14ac:dyDescent="0.25">
      <c r="A1252" s="287" t="s">
        <v>293</v>
      </c>
      <c r="B1252" s="535" t="s">
        <v>269</v>
      </c>
      <c r="C1252" s="235" t="s">
        <v>284</v>
      </c>
      <c r="D1252" s="177" t="s">
        <v>2199</v>
      </c>
      <c r="E1252" s="712">
        <v>0.4</v>
      </c>
      <c r="F1252" s="251">
        <f>H1251</f>
        <v>76618.918704865035</v>
      </c>
      <c r="G1252" s="708">
        <v>0</v>
      </c>
      <c r="H1252" s="252">
        <f t="shared" si="101"/>
        <v>30647.567481946015</v>
      </c>
      <c r="I1252" s="924"/>
    </row>
    <row r="1253" spans="1:9" ht="15" x14ac:dyDescent="0.2">
      <c r="A1253" s="270" t="s">
        <v>2417</v>
      </c>
      <c r="B1253" s="870"/>
      <c r="C1253" s="275" t="s">
        <v>2416</v>
      </c>
      <c r="D1253" s="276" t="s">
        <v>411</v>
      </c>
      <c r="E1253" s="713"/>
      <c r="F1253" s="259">
        <f>ROUND(SUM(H1253:H1261),0)</f>
        <v>984520</v>
      </c>
      <c r="G1253" s="711"/>
      <c r="H1253" s="250"/>
    </row>
    <row r="1254" spans="1:9" s="818" customFormat="1" ht="12.75" x14ac:dyDescent="0.2">
      <c r="A1254" s="1072" t="s">
        <v>295</v>
      </c>
      <c r="B1254" s="533" t="s">
        <v>1425</v>
      </c>
      <c r="C1254" s="823" t="s">
        <v>2812</v>
      </c>
      <c r="D1254" s="273" t="s">
        <v>405</v>
      </c>
      <c r="E1254" s="712">
        <v>16</v>
      </c>
      <c r="F1254" s="256">
        <f>VLOOKUP(B1254,'[1]BASE DE DATOS'!$A$5:$E$964,5,FALSE)</f>
        <v>7350</v>
      </c>
      <c r="G1254" s="708">
        <v>1.03</v>
      </c>
      <c r="H1254" s="252">
        <f t="shared" ref="H1254:H1261" si="102">IF(G1254&gt;0,(G1254*F1254*E1254),(F1254*E1254))</f>
        <v>121128</v>
      </c>
      <c r="I1254" s="924"/>
    </row>
    <row r="1255" spans="1:9" s="818" customFormat="1" ht="12.75" x14ac:dyDescent="0.2">
      <c r="A1255" s="1073"/>
      <c r="B1255" s="533" t="s">
        <v>2846</v>
      </c>
      <c r="C1255" s="823" t="s">
        <v>2847</v>
      </c>
      <c r="D1255" s="273" t="s">
        <v>411</v>
      </c>
      <c r="E1255" s="712">
        <v>1</v>
      </c>
      <c r="F1255" s="256">
        <f>VLOOKUP(B1255,'[1]BASE DE DATOS'!$A$5:$E$964,5,FALSE)</f>
        <v>19300</v>
      </c>
      <c r="G1255" s="708">
        <v>0</v>
      </c>
      <c r="H1255" s="252">
        <f t="shared" si="102"/>
        <v>19300</v>
      </c>
      <c r="I1255" s="924"/>
    </row>
    <row r="1256" spans="1:9" s="818" customFormat="1" ht="12.75" x14ac:dyDescent="0.2">
      <c r="A1256" s="1073"/>
      <c r="B1256" s="533" t="s">
        <v>2880</v>
      </c>
      <c r="C1256" s="823" t="s">
        <v>3130</v>
      </c>
      <c r="D1256" s="273" t="s">
        <v>411</v>
      </c>
      <c r="E1256" s="712">
        <v>1</v>
      </c>
      <c r="F1256" s="256">
        <f>VLOOKUP(B1256,'[1]BASE DE DATOS'!$A$5:$E$964,5,FALSE)</f>
        <v>10500</v>
      </c>
      <c r="G1256" s="708">
        <v>0</v>
      </c>
      <c r="H1256" s="252">
        <f t="shared" si="102"/>
        <v>10500</v>
      </c>
      <c r="I1256" s="924"/>
    </row>
    <row r="1257" spans="1:9" s="818" customFormat="1" ht="12.75" x14ac:dyDescent="0.2">
      <c r="A1257" s="1073"/>
      <c r="B1257" s="533" t="s">
        <v>2661</v>
      </c>
      <c r="C1257" s="823" t="s">
        <v>2996</v>
      </c>
      <c r="D1257" s="273" t="s">
        <v>411</v>
      </c>
      <c r="E1257" s="712">
        <v>2</v>
      </c>
      <c r="F1257" s="256">
        <f>VLOOKUP(B1257,'[1]BASE DE DATOS'!$A$5:$E$964,5,FALSE)</f>
        <v>21169.833333333332</v>
      </c>
      <c r="G1257" s="708">
        <v>1.03</v>
      </c>
      <c r="H1257" s="252">
        <f t="shared" si="102"/>
        <v>43609.856666666667</v>
      </c>
      <c r="I1257" s="924"/>
    </row>
    <row r="1258" spans="1:9" s="818" customFormat="1" ht="12.75" x14ac:dyDescent="0.2">
      <c r="A1258" s="1073"/>
      <c r="B1258" s="533" t="s">
        <v>3025</v>
      </c>
      <c r="C1258" s="823" t="s">
        <v>3895</v>
      </c>
      <c r="D1258" s="273" t="s">
        <v>411</v>
      </c>
      <c r="E1258" s="712">
        <v>2</v>
      </c>
      <c r="F1258" s="256">
        <f>VLOOKUP(B1258,'[1]BASE DE DATOS'!$A$5:$E$964,5,FALSE)</f>
        <v>15600</v>
      </c>
      <c r="G1258" s="708">
        <v>0</v>
      </c>
      <c r="H1258" s="252">
        <f t="shared" si="102"/>
        <v>31200</v>
      </c>
      <c r="I1258" s="924"/>
    </row>
    <row r="1259" spans="1:9" s="818" customFormat="1" ht="12.75" x14ac:dyDescent="0.2">
      <c r="A1259" s="1073"/>
      <c r="B1259" s="533" t="s">
        <v>1818</v>
      </c>
      <c r="C1259" s="823" t="s">
        <v>3068</v>
      </c>
      <c r="D1259" s="273" t="s">
        <v>405</v>
      </c>
      <c r="E1259" s="712">
        <v>13</v>
      </c>
      <c r="F1259" s="256">
        <f>VLOOKUP(B1259,'[1]BASE DE DATOS'!$A$5:$E$964,5,FALSE)</f>
        <v>26150</v>
      </c>
      <c r="G1259" s="708">
        <v>1.03</v>
      </c>
      <c r="H1259" s="252">
        <f t="shared" si="102"/>
        <v>350148.5</v>
      </c>
      <c r="I1259" s="924"/>
    </row>
    <row r="1260" spans="1:9" s="818" customFormat="1" ht="12.75" x14ac:dyDescent="0.2">
      <c r="A1260" s="280" t="s">
        <v>2555</v>
      </c>
      <c r="B1260" s="534" t="s">
        <v>3166</v>
      </c>
      <c r="C1260" s="823" t="s">
        <v>2602</v>
      </c>
      <c r="D1260" s="273" t="s">
        <v>585</v>
      </c>
      <c r="E1260" s="712">
        <v>1</v>
      </c>
      <c r="F1260" s="256">
        <f>VLOOKUP(B1260,'[1]BASE DE DATOS'!$A$5:$E$964,5,FALSE)</f>
        <v>425661</v>
      </c>
      <c r="G1260" s="708">
        <f>1/1.66667</f>
        <v>0.59999880000239991</v>
      </c>
      <c r="H1260" s="252">
        <f t="shared" si="102"/>
        <v>255396.08920782155</v>
      </c>
      <c r="I1260" s="924"/>
    </row>
    <row r="1261" spans="1:9" s="818" customFormat="1" ht="13.5" thickBot="1" x14ac:dyDescent="0.25">
      <c r="A1261" s="287" t="s">
        <v>293</v>
      </c>
      <c r="B1261" s="535" t="s">
        <v>269</v>
      </c>
      <c r="C1261" s="235" t="s">
        <v>284</v>
      </c>
      <c r="D1261" s="177" t="s">
        <v>2199</v>
      </c>
      <c r="E1261" s="712">
        <v>0.6</v>
      </c>
      <c r="F1261" s="251">
        <f>H1260</f>
        <v>255396.08920782155</v>
      </c>
      <c r="G1261" s="708">
        <v>0</v>
      </c>
      <c r="H1261" s="252">
        <f t="shared" si="102"/>
        <v>153237.65352469293</v>
      </c>
      <c r="I1261" s="924"/>
    </row>
    <row r="1262" spans="1:9" ht="15" x14ac:dyDescent="0.2">
      <c r="A1262" s="270" t="s">
        <v>2419</v>
      </c>
      <c r="B1262" s="870"/>
      <c r="C1262" s="275" t="s">
        <v>2418</v>
      </c>
      <c r="D1262" s="276" t="s">
        <v>411</v>
      </c>
      <c r="E1262" s="713"/>
      <c r="F1262" s="259">
        <f>ROUND(SUM(H1262:H1265),0)</f>
        <v>60598</v>
      </c>
      <c r="G1262" s="711"/>
      <c r="H1262" s="250"/>
    </row>
    <row r="1263" spans="1:9" ht="15" x14ac:dyDescent="0.2">
      <c r="A1263" s="513" t="s">
        <v>382</v>
      </c>
      <c r="B1263" s="533" t="s">
        <v>1764</v>
      </c>
      <c r="C1263" s="823" t="s">
        <v>2870</v>
      </c>
      <c r="D1263" s="273" t="s">
        <v>411</v>
      </c>
      <c r="E1263" s="712">
        <v>1</v>
      </c>
      <c r="F1263" s="256">
        <f>VLOOKUP(B1263,'[1]BASE DE DATOS'!$A$5:$E$964,5,FALSE)</f>
        <v>29950</v>
      </c>
      <c r="G1263" s="708">
        <v>0</v>
      </c>
      <c r="H1263" s="252">
        <f t="shared" ref="H1263:H1265" si="103">IF(G1263&gt;0,(G1263*F1263*E1263),(F1263*E1263))</f>
        <v>29950</v>
      </c>
    </row>
    <row r="1264" spans="1:9" ht="15" x14ac:dyDescent="0.2">
      <c r="A1264" s="267" t="s">
        <v>2555</v>
      </c>
      <c r="B1264" s="534" t="s">
        <v>2667</v>
      </c>
      <c r="C1264" s="822" t="s">
        <v>2600</v>
      </c>
      <c r="D1264" s="273" t="s">
        <v>585</v>
      </c>
      <c r="E1264" s="712">
        <v>1</v>
      </c>
      <c r="F1264" s="256">
        <f>VLOOKUP(B1264,'[1]BASE DE DATOS'!$A$5:$E$964,5,FALSE)</f>
        <v>319246</v>
      </c>
      <c r="G1264" s="708">
        <f>1/12.5</f>
        <v>0.08</v>
      </c>
      <c r="H1264" s="252">
        <f t="shared" si="103"/>
        <v>25539.68</v>
      </c>
    </row>
    <row r="1265" spans="1:9" ht="13.5" thickBot="1" x14ac:dyDescent="0.25">
      <c r="A1265" s="287" t="s">
        <v>293</v>
      </c>
      <c r="B1265" s="535" t="s">
        <v>269</v>
      </c>
      <c r="C1265" s="235" t="s">
        <v>284</v>
      </c>
      <c r="D1265" s="177" t="s">
        <v>2199</v>
      </c>
      <c r="E1265" s="712">
        <v>0.2</v>
      </c>
      <c r="F1265" s="251">
        <f>H1264</f>
        <v>25539.68</v>
      </c>
      <c r="G1265" s="708">
        <v>0</v>
      </c>
      <c r="H1265" s="252">
        <f t="shared" si="103"/>
        <v>5107.9360000000006</v>
      </c>
    </row>
    <row r="1266" spans="1:9" ht="30" x14ac:dyDescent="0.2">
      <c r="A1266" s="292" t="s">
        <v>2421</v>
      </c>
      <c r="B1266" s="878"/>
      <c r="C1266" s="275" t="s">
        <v>2420</v>
      </c>
      <c r="D1266" s="276" t="s">
        <v>411</v>
      </c>
      <c r="E1266" s="713"/>
      <c r="F1266" s="259">
        <f>ROUND(SUM(H1266:H1273),0)</f>
        <v>1370036</v>
      </c>
      <c r="G1266" s="711"/>
      <c r="H1266" s="250"/>
      <c r="I1266" s="924">
        <v>6</v>
      </c>
    </row>
    <row r="1267" spans="1:9" s="818" customFormat="1" ht="12.75" x14ac:dyDescent="0.2">
      <c r="A1267" s="1070" t="s">
        <v>382</v>
      </c>
      <c r="B1267" s="533" t="s">
        <v>1813</v>
      </c>
      <c r="C1267" s="823" t="s">
        <v>3121</v>
      </c>
      <c r="D1267" s="273" t="s">
        <v>405</v>
      </c>
      <c r="E1267" s="712">
        <v>5</v>
      </c>
      <c r="F1267" s="256">
        <f>VLOOKUP(B1267,'[1]BASE DE DATOS'!$A$5:$E$964,5,FALSE)</f>
        <v>6950</v>
      </c>
      <c r="G1267" s="708">
        <v>1.03</v>
      </c>
      <c r="H1267" s="252">
        <f t="shared" ref="H1267:H1272" si="104">IF(G1267&gt;0,(G1267*F1267*E1267),(F1267*E1267))</f>
        <v>35792.5</v>
      </c>
      <c r="I1267" s="924"/>
    </row>
    <row r="1268" spans="1:9" s="818" customFormat="1" ht="12.75" x14ac:dyDescent="0.2">
      <c r="A1268" s="1071"/>
      <c r="B1268" s="533" t="s">
        <v>1544</v>
      </c>
      <c r="C1268" s="823" t="s">
        <v>2832</v>
      </c>
      <c r="D1268" s="273" t="s">
        <v>405</v>
      </c>
      <c r="E1268" s="712">
        <v>19</v>
      </c>
      <c r="F1268" s="256">
        <f>VLOOKUP(B1268,'[1]BASE DE DATOS'!$A$5:$E$964,5,FALSE)</f>
        <v>24300</v>
      </c>
      <c r="G1268" s="708">
        <v>1.03</v>
      </c>
      <c r="H1268" s="252">
        <f t="shared" si="104"/>
        <v>475551</v>
      </c>
      <c r="I1268" s="924"/>
    </row>
    <row r="1269" spans="1:9" s="818" customFormat="1" ht="12.75" x14ac:dyDescent="0.2">
      <c r="A1269" s="1071"/>
      <c r="B1269" s="533" t="s">
        <v>2661</v>
      </c>
      <c r="C1269" s="823" t="s">
        <v>2996</v>
      </c>
      <c r="D1269" s="273" t="s">
        <v>411</v>
      </c>
      <c r="E1269" s="712">
        <v>1</v>
      </c>
      <c r="F1269" s="256">
        <f>VLOOKUP(B1269,'[1]BASE DE DATOS'!$A$5:$E$964,5,FALSE)</f>
        <v>21169.833333333332</v>
      </c>
      <c r="G1269" s="708">
        <v>1.03</v>
      </c>
      <c r="H1269" s="252">
        <f t="shared" si="104"/>
        <v>21804.928333333333</v>
      </c>
      <c r="I1269" s="924"/>
    </row>
    <row r="1270" spans="1:9" s="818" customFormat="1" ht="12.75" x14ac:dyDescent="0.2">
      <c r="A1270" s="1071"/>
      <c r="B1270" s="533" t="s">
        <v>1835</v>
      </c>
      <c r="C1270" s="823" t="s">
        <v>2665</v>
      </c>
      <c r="D1270" s="273" t="s">
        <v>411</v>
      </c>
      <c r="E1270" s="712">
        <v>1</v>
      </c>
      <c r="F1270" s="256">
        <f>VLOOKUP(B1270,'[1]BASE DE DATOS'!$A$5:$E$964,5,FALSE)</f>
        <v>59900</v>
      </c>
      <c r="G1270" s="708">
        <v>0</v>
      </c>
      <c r="H1270" s="252">
        <f t="shared" si="104"/>
        <v>59900</v>
      </c>
      <c r="I1270" s="924"/>
    </row>
    <row r="1271" spans="1:9" s="818" customFormat="1" x14ac:dyDescent="0.2">
      <c r="A1271" s="803" t="s">
        <v>2044</v>
      </c>
      <c r="B1271" s="533" t="s">
        <v>766</v>
      </c>
      <c r="C1271" s="823" t="s">
        <v>133</v>
      </c>
      <c r="D1271" s="273" t="s">
        <v>1920</v>
      </c>
      <c r="E1271" s="712">
        <v>0.25</v>
      </c>
      <c r="F1271" s="251">
        <f>[1]CONSTRUCCION!F468</f>
        <v>43205</v>
      </c>
      <c r="G1271" s="708">
        <v>0</v>
      </c>
      <c r="H1271" s="252">
        <f t="shared" si="104"/>
        <v>10801.25</v>
      </c>
      <c r="I1271" s="924"/>
    </row>
    <row r="1272" spans="1:9" s="818" customFormat="1" ht="12.75" x14ac:dyDescent="0.2">
      <c r="A1272" s="280" t="s">
        <v>2555</v>
      </c>
      <c r="B1272" s="534" t="s">
        <v>3166</v>
      </c>
      <c r="C1272" s="823" t="s">
        <v>2602</v>
      </c>
      <c r="D1272" s="273" t="s">
        <v>585</v>
      </c>
      <c r="E1272" s="712">
        <v>1</v>
      </c>
      <c r="F1272" s="256">
        <f>VLOOKUP(B1272,'[1]BASE DE DATOS'!$A$5:$E$964,5,FALSE)</f>
        <v>425661</v>
      </c>
      <c r="G1272" s="708">
        <f>1/0.66667</f>
        <v>1.4999925000374998</v>
      </c>
      <c r="H1272" s="252">
        <f t="shared" si="104"/>
        <v>638488.30755846226</v>
      </c>
      <c r="I1272" s="924"/>
    </row>
    <row r="1273" spans="1:9" s="818" customFormat="1" ht="13.5" thickBot="1" x14ac:dyDescent="0.25">
      <c r="A1273" s="287" t="s">
        <v>293</v>
      </c>
      <c r="B1273" s="535" t="s">
        <v>269</v>
      </c>
      <c r="C1273" s="235" t="s">
        <v>284</v>
      </c>
      <c r="D1273" s="177" t="s">
        <v>2199</v>
      </c>
      <c r="E1273" s="712">
        <v>0.2</v>
      </c>
      <c r="F1273" s="251">
        <f>H1272</f>
        <v>638488.30755846226</v>
      </c>
      <c r="G1273" s="708">
        <v>0</v>
      </c>
      <c r="H1273" s="252">
        <f>IF(G1273&gt;0,(G1273*F1273*E1273),(F1273*E1273))</f>
        <v>127697.66151169245</v>
      </c>
      <c r="I1273" s="924"/>
    </row>
    <row r="1274" spans="1:9" s="41" customFormat="1" ht="15.75" thickBot="1" x14ac:dyDescent="0.25">
      <c r="A1274" s="1084" t="s">
        <v>4210</v>
      </c>
      <c r="B1274" s="1085"/>
      <c r="C1274" s="1085"/>
      <c r="D1274" s="1085"/>
      <c r="E1274" s="1085"/>
      <c r="F1274" s="1085"/>
      <c r="G1274" s="1085"/>
      <c r="H1274" s="1086"/>
      <c r="I1274" s="914"/>
    </row>
    <row r="1275" spans="1:9" s="41" customFormat="1" ht="45.75" thickBot="1" x14ac:dyDescent="0.25">
      <c r="A1275" s="798" t="s">
        <v>2044</v>
      </c>
      <c r="B1275" s="866" t="s">
        <v>265</v>
      </c>
      <c r="C1275" s="798" t="s">
        <v>402</v>
      </c>
      <c r="D1275" s="798" t="s">
        <v>346</v>
      </c>
      <c r="E1275" s="192" t="s">
        <v>1913</v>
      </c>
      <c r="F1275" s="73" t="s">
        <v>3165</v>
      </c>
      <c r="G1275" s="290" t="s">
        <v>281</v>
      </c>
      <c r="H1275" s="74" t="s">
        <v>3164</v>
      </c>
      <c r="I1275" s="914"/>
    </row>
    <row r="1276" spans="1:9" ht="45" x14ac:dyDescent="0.2">
      <c r="A1276" s="292" t="s">
        <v>2423</v>
      </c>
      <c r="B1276" s="879"/>
      <c r="C1276" s="264" t="s">
        <v>2422</v>
      </c>
      <c r="D1276" s="265" t="s">
        <v>405</v>
      </c>
      <c r="E1276" s="707"/>
      <c r="F1276" s="259">
        <f>ROUND(SUM(H1276:H1279),0)</f>
        <v>20837210</v>
      </c>
      <c r="G1276" s="260"/>
      <c r="H1276" s="250"/>
      <c r="I1276" s="924">
        <v>1</v>
      </c>
    </row>
    <row r="1277" spans="1:9" s="818" customFormat="1" ht="12.75" x14ac:dyDescent="0.2">
      <c r="A1277" s="800" t="s">
        <v>382</v>
      </c>
      <c r="B1277" s="533" t="s">
        <v>3002</v>
      </c>
      <c r="C1277" s="822" t="s">
        <v>2459</v>
      </c>
      <c r="D1277" s="266" t="s">
        <v>411</v>
      </c>
      <c r="E1277" s="704">
        <v>1</v>
      </c>
      <c r="F1277" s="256">
        <f>VLOOKUP(B1277,'[1]BASE DE DATOS'!$A$5:$E$964,5,FALSE)</f>
        <v>20508386.899999999</v>
      </c>
      <c r="G1277" s="708">
        <v>0</v>
      </c>
      <c r="H1277" s="252">
        <f t="shared" ref="H1277:H1279" si="105">IF(G1277&gt;0,(G1277*F1277*E1277),(F1277*E1277))</f>
        <v>20508386.899999999</v>
      </c>
      <c r="I1277" s="924"/>
    </row>
    <row r="1278" spans="1:9" s="818" customFormat="1" ht="12.75" x14ac:dyDescent="0.2">
      <c r="A1278" s="280" t="s">
        <v>2555</v>
      </c>
      <c r="B1278" s="534" t="s">
        <v>2667</v>
      </c>
      <c r="C1278" s="822" t="s">
        <v>2600</v>
      </c>
      <c r="D1278" s="266" t="s">
        <v>585</v>
      </c>
      <c r="E1278" s="704">
        <v>1</v>
      </c>
      <c r="F1278" s="256">
        <f>VLOOKUP(B1278,'[1]BASE DE DATOS'!$A$5:$E$964,5,FALSE)</f>
        <v>319246</v>
      </c>
      <c r="G1278" s="708">
        <v>1</v>
      </c>
      <c r="H1278" s="252">
        <f t="shared" si="105"/>
        <v>319246</v>
      </c>
      <c r="I1278" s="924"/>
    </row>
    <row r="1279" spans="1:9" s="818" customFormat="1" ht="13.5" thickBot="1" x14ac:dyDescent="0.25">
      <c r="A1279" s="287" t="s">
        <v>293</v>
      </c>
      <c r="B1279" s="535" t="s">
        <v>269</v>
      </c>
      <c r="C1279" s="235" t="s">
        <v>284</v>
      </c>
      <c r="D1279" s="177" t="s">
        <v>2199</v>
      </c>
      <c r="E1279" s="712">
        <v>0.03</v>
      </c>
      <c r="F1279" s="251">
        <f>H1278</f>
        <v>319246</v>
      </c>
      <c r="G1279" s="708">
        <v>0</v>
      </c>
      <c r="H1279" s="252">
        <f t="shared" si="105"/>
        <v>9577.3799999999992</v>
      </c>
      <c r="I1279" s="924"/>
    </row>
    <row r="1280" spans="1:9" s="41" customFormat="1" ht="15.75" thickBot="1" x14ac:dyDescent="0.25">
      <c r="A1280" s="1084" t="s">
        <v>2424</v>
      </c>
      <c r="B1280" s="1085"/>
      <c r="C1280" s="1085"/>
      <c r="D1280" s="1085"/>
      <c r="E1280" s="1085"/>
      <c r="F1280" s="1085"/>
      <c r="G1280" s="1085"/>
      <c r="H1280" s="1086"/>
      <c r="I1280" s="914"/>
    </row>
    <row r="1281" spans="1:9" s="41" customFormat="1" ht="45.75" thickBot="1" x14ac:dyDescent="0.25">
      <c r="A1281" s="798" t="s">
        <v>2044</v>
      </c>
      <c r="B1281" s="866" t="s">
        <v>265</v>
      </c>
      <c r="C1281" s="798" t="s">
        <v>402</v>
      </c>
      <c r="D1281" s="798" t="s">
        <v>346</v>
      </c>
      <c r="E1281" s="192" t="s">
        <v>1913</v>
      </c>
      <c r="F1281" s="73" t="s">
        <v>3165</v>
      </c>
      <c r="G1281" s="290" t="s">
        <v>281</v>
      </c>
      <c r="H1281" s="74" t="s">
        <v>3164</v>
      </c>
      <c r="I1281" s="914"/>
    </row>
    <row r="1282" spans="1:9" ht="25.5" x14ac:dyDescent="0.2">
      <c r="A1282" s="292" t="s">
        <v>2426</v>
      </c>
      <c r="B1282" s="868"/>
      <c r="C1282" s="849" t="s">
        <v>3221</v>
      </c>
      <c r="D1282" s="265" t="s">
        <v>2425</v>
      </c>
      <c r="E1282" s="707"/>
      <c r="F1282" s="718">
        <f>ROUND(SUM(H1282:H1284),0)</f>
        <v>688680</v>
      </c>
      <c r="G1282" s="711"/>
      <c r="H1282" s="719"/>
    </row>
    <row r="1283" spans="1:9" s="818" customFormat="1" ht="25.5" x14ac:dyDescent="0.2">
      <c r="A1283" s="801" t="s">
        <v>382</v>
      </c>
      <c r="B1283" s="533" t="s">
        <v>2971</v>
      </c>
      <c r="C1283" s="279" t="s">
        <v>2460</v>
      </c>
      <c r="D1283" s="266" t="s">
        <v>411</v>
      </c>
      <c r="E1283" s="704">
        <v>1</v>
      </c>
      <c r="F1283" s="720">
        <f>VLOOKUP(B1283,'[1]BASE DE DATOS'!$A$5:$E$964,5,FALSE)</f>
        <v>600000</v>
      </c>
      <c r="G1283" s="708">
        <v>0</v>
      </c>
      <c r="H1283" s="721">
        <f t="shared" ref="H1283:H1287" si="106">IF(G1283&gt;0,(G1283*F1283*E1283),(F1283*E1283))</f>
        <v>600000</v>
      </c>
      <c r="I1283" s="924"/>
    </row>
    <row r="1284" spans="1:9" s="818" customFormat="1" ht="13.5" thickBot="1" x14ac:dyDescent="0.25">
      <c r="A1284" s="280" t="s">
        <v>2555</v>
      </c>
      <c r="B1284" s="534" t="s">
        <v>398</v>
      </c>
      <c r="C1284" s="734" t="s">
        <v>3236</v>
      </c>
      <c r="D1284" s="266" t="s">
        <v>585</v>
      </c>
      <c r="E1284" s="704">
        <v>1</v>
      </c>
      <c r="F1284" s="720">
        <f>VLOOKUP(B1284,'[1]BASE DE DATOS'!$A$5:$E$964,5,FALSE)</f>
        <v>177359</v>
      </c>
      <c r="G1284" s="708">
        <f>1/2</f>
        <v>0.5</v>
      </c>
      <c r="H1284" s="721">
        <f t="shared" si="106"/>
        <v>88679.5</v>
      </c>
      <c r="I1284" s="924"/>
    </row>
    <row r="1285" spans="1:9" s="814" customFormat="1" ht="30" customHeight="1" x14ac:dyDescent="0.2">
      <c r="A1285" s="292" t="s">
        <v>2428</v>
      </c>
      <c r="B1285" s="868"/>
      <c r="C1285" s="850" t="s">
        <v>2427</v>
      </c>
      <c r="D1285" s="265" t="s">
        <v>2425</v>
      </c>
      <c r="E1285" s="707"/>
      <c r="F1285" s="718">
        <f>ROUND(SUM(H1285:H1287),0)</f>
        <v>8024660</v>
      </c>
      <c r="G1285" s="711"/>
      <c r="H1285" s="719"/>
      <c r="I1285" s="925">
        <v>2</v>
      </c>
    </row>
    <row r="1286" spans="1:9" s="818" customFormat="1" ht="51.75" customHeight="1" x14ac:dyDescent="0.2">
      <c r="A1286" s="1072" t="s">
        <v>295</v>
      </c>
      <c r="B1286" s="534" t="s">
        <v>3114</v>
      </c>
      <c r="C1286" s="279" t="s">
        <v>2429</v>
      </c>
      <c r="D1286" s="266" t="s">
        <v>2425</v>
      </c>
      <c r="E1286" s="704">
        <v>1</v>
      </c>
      <c r="F1286" s="720">
        <f>VLOOKUP(B1286,'[1]BASE DE DATOS'!$A$5:$E$964,5,FALSE)</f>
        <v>7525493</v>
      </c>
      <c r="G1286" s="708">
        <v>0</v>
      </c>
      <c r="H1286" s="721">
        <f t="shared" si="106"/>
        <v>7525493</v>
      </c>
      <c r="I1286" s="924"/>
    </row>
    <row r="1287" spans="1:9" s="818" customFormat="1" ht="53.25" customHeight="1" thickBot="1" x14ac:dyDescent="0.25">
      <c r="A1287" s="1091"/>
      <c r="B1287" s="534" t="s">
        <v>2642</v>
      </c>
      <c r="C1287" s="279" t="s">
        <v>2429</v>
      </c>
      <c r="D1287" s="266" t="s">
        <v>2425</v>
      </c>
      <c r="E1287" s="704">
        <v>2</v>
      </c>
      <c r="F1287" s="720">
        <f>VLOOKUP(B1287,'[1]BASE DE DATOS'!$A$5:$E$964,5,FALSE)</f>
        <v>249583.33333333334</v>
      </c>
      <c r="G1287" s="708">
        <v>1</v>
      </c>
      <c r="H1287" s="721">
        <f t="shared" si="106"/>
        <v>499166.66666666669</v>
      </c>
      <c r="I1287" s="924"/>
    </row>
    <row r="1288" spans="1:9" s="42" customFormat="1" ht="15.75" thickBot="1" x14ac:dyDescent="0.25">
      <c r="A1288" s="1087" t="s">
        <v>3222</v>
      </c>
      <c r="B1288" s="1087"/>
      <c r="C1288" s="1087"/>
      <c r="D1288" s="1087"/>
      <c r="E1288" s="1087"/>
      <c r="F1288" s="1088"/>
      <c r="G1288" s="1087"/>
      <c r="H1288" s="1088"/>
      <c r="I1288" s="914"/>
    </row>
    <row r="1289" spans="1:9" s="42" customFormat="1" ht="45.75" thickBot="1" x14ac:dyDescent="0.25">
      <c r="A1289" s="126" t="s">
        <v>2044</v>
      </c>
      <c r="B1289" s="880" t="s">
        <v>265</v>
      </c>
      <c r="C1289" s="126" t="s">
        <v>402</v>
      </c>
      <c r="D1289" s="126" t="s">
        <v>403</v>
      </c>
      <c r="E1289" s="209" t="s">
        <v>1913</v>
      </c>
      <c r="F1289" s="73" t="s">
        <v>3165</v>
      </c>
      <c r="G1289" s="127" t="s">
        <v>281</v>
      </c>
      <c r="H1289" s="74" t="s">
        <v>3164</v>
      </c>
      <c r="I1289" s="914"/>
    </row>
    <row r="1290" spans="1:9" s="42" customFormat="1" ht="45" x14ac:dyDescent="0.2">
      <c r="A1290" s="294" t="s">
        <v>3180</v>
      </c>
      <c r="B1290" s="881"/>
      <c r="C1290" s="295" t="s">
        <v>2115</v>
      </c>
      <c r="D1290" s="296" t="s">
        <v>411</v>
      </c>
      <c r="E1290" s="297"/>
      <c r="F1290" s="298">
        <f>ROUND(SUM(H1290:H1298),0)</f>
        <v>245411</v>
      </c>
      <c r="G1290" s="722"/>
      <c r="H1290" s="299"/>
      <c r="I1290" s="914"/>
    </row>
    <row r="1291" spans="1:9" customFormat="1" ht="12.75" x14ac:dyDescent="0.2">
      <c r="A1291" s="1075" t="s">
        <v>295</v>
      </c>
      <c r="B1291" s="537" t="s">
        <v>1873</v>
      </c>
      <c r="C1291" s="151" t="s">
        <v>2114</v>
      </c>
      <c r="D1291" s="148" t="s">
        <v>2648</v>
      </c>
      <c r="E1291" s="160">
        <v>4.6249999999999999E-2</v>
      </c>
      <c r="F1291" s="23">
        <f>H1295</f>
        <v>99900</v>
      </c>
      <c r="G1291" s="160">
        <v>0</v>
      </c>
      <c r="H1291" s="252">
        <f>IF(G1291&gt;0,(G1291*F1291*E1291),(F1291*E1291))</f>
        <v>4620.375</v>
      </c>
      <c r="I1291" s="914"/>
    </row>
    <row r="1292" spans="1:9" customFormat="1" x14ac:dyDescent="0.2">
      <c r="A1292" s="1075"/>
      <c r="B1292" s="537" t="s">
        <v>1609</v>
      </c>
      <c r="C1292" s="151" t="s">
        <v>2464</v>
      </c>
      <c r="D1292" s="148" t="s">
        <v>1996</v>
      </c>
      <c r="E1292" s="160">
        <v>1</v>
      </c>
      <c r="F1292" s="23">
        <f>VLOOKUP(B1292,'[1]BASE DE DATOS'!$A$5:$E$964,5,FALSE)</f>
        <v>48660</v>
      </c>
      <c r="G1292" s="160">
        <v>0.1</v>
      </c>
      <c r="H1292" s="252">
        <f>IF(G1292&gt;0,(G1292*F1292*E1292),(F1292*E1292))</f>
        <v>4866</v>
      </c>
      <c r="I1292" s="914"/>
    </row>
    <row r="1293" spans="1:9" customFormat="1" ht="12.75" x14ac:dyDescent="0.2">
      <c r="A1293" s="1075"/>
      <c r="B1293" s="537" t="s">
        <v>1874</v>
      </c>
      <c r="C1293" s="151" t="s">
        <v>2113</v>
      </c>
      <c r="D1293" s="148" t="s">
        <v>411</v>
      </c>
      <c r="E1293" s="160">
        <v>1</v>
      </c>
      <c r="F1293" s="23">
        <f>VLOOKUP(B1293,'[1]BASE DE DATOS'!$A$5:$E$964,5,FALSE)</f>
        <v>18000</v>
      </c>
      <c r="G1293" s="160">
        <v>1</v>
      </c>
      <c r="H1293" s="252">
        <f>IF(G1293&gt;0,(G1293*F1293*E1293),(F1293*E1293))</f>
        <v>18000</v>
      </c>
      <c r="I1293" s="914"/>
    </row>
    <row r="1294" spans="1:9" customFormat="1" ht="12.75" x14ac:dyDescent="0.2">
      <c r="A1294" s="1075"/>
      <c r="B1294" s="537" t="s">
        <v>2962</v>
      </c>
      <c r="C1294" s="151" t="s">
        <v>2678</v>
      </c>
      <c r="D1294" s="148" t="s">
        <v>411</v>
      </c>
      <c r="E1294" s="160">
        <v>6</v>
      </c>
      <c r="F1294" s="23">
        <f>VLOOKUP(B1294,'[1]BASE DE DATOS'!$A$5:$E$964,5,FALSE)</f>
        <v>3500</v>
      </c>
      <c r="G1294" s="160">
        <v>1</v>
      </c>
      <c r="H1294" s="252">
        <f>IF(G1294&gt;0,(G1294*F1294*E1294),(F1294*E1294))</f>
        <v>21000</v>
      </c>
      <c r="I1294" s="914"/>
    </row>
    <row r="1295" spans="1:9" customFormat="1" ht="26.25" customHeight="1" x14ac:dyDescent="0.2">
      <c r="A1295" s="1075"/>
      <c r="B1295" s="537" t="s">
        <v>1875</v>
      </c>
      <c r="C1295" s="151" t="s">
        <v>3237</v>
      </c>
      <c r="D1295" s="148" t="s">
        <v>411</v>
      </c>
      <c r="E1295" s="160">
        <v>1</v>
      </c>
      <c r="F1295" s="23">
        <f>VLOOKUP(B1295,'[1]BASE DE DATOS'!$A$5:$E$964,5,FALSE)</f>
        <v>99900</v>
      </c>
      <c r="G1295" s="160">
        <v>1</v>
      </c>
      <c r="H1295" s="252">
        <f t="shared" ref="H1295:H1360" si="107">IF(G1295&gt;0,(G1295*F1295*E1295),(F1295*E1295))</f>
        <v>99900</v>
      </c>
      <c r="I1295" s="914"/>
    </row>
    <row r="1296" spans="1:9" customFormat="1" x14ac:dyDescent="0.2">
      <c r="A1296" s="797" t="s">
        <v>3252</v>
      </c>
      <c r="B1296" s="537" t="s">
        <v>810</v>
      </c>
      <c r="C1296" s="151" t="s">
        <v>2097</v>
      </c>
      <c r="D1296" s="148" t="s">
        <v>1920</v>
      </c>
      <c r="E1296" s="160">
        <v>4.0000000000000001E-3</v>
      </c>
      <c r="F1296" s="23">
        <f>+[1]CONSTRUCCION!$F$90</f>
        <v>525897</v>
      </c>
      <c r="G1296" s="160">
        <v>1.05</v>
      </c>
      <c r="H1296" s="252">
        <f t="shared" si="107"/>
        <v>2208.7674000000002</v>
      </c>
      <c r="I1296" s="914"/>
    </row>
    <row r="1297" spans="1:9" customFormat="1" ht="12.75" x14ac:dyDescent="0.2">
      <c r="A1297" s="63" t="s">
        <v>294</v>
      </c>
      <c r="B1297" s="537" t="s">
        <v>252</v>
      </c>
      <c r="C1297" s="151" t="s">
        <v>396</v>
      </c>
      <c r="D1297" s="148" t="s">
        <v>585</v>
      </c>
      <c r="E1297" s="161">
        <v>1</v>
      </c>
      <c r="F1297" s="23">
        <f>VLOOKUP(B1297,'[1]BASE DE DATOS'!$A$5:$E$964,5,FALSE)</f>
        <v>319246</v>
      </c>
      <c r="G1297" s="160">
        <f>1/3.7037</f>
        <v>0.27000027000026999</v>
      </c>
      <c r="H1297" s="252">
        <f t="shared" si="107"/>
        <v>86196.50619650619</v>
      </c>
      <c r="I1297" s="914"/>
    </row>
    <row r="1298" spans="1:9" customFormat="1" ht="13.5" thickBot="1" x14ac:dyDescent="0.25">
      <c r="A1298" s="65" t="s">
        <v>293</v>
      </c>
      <c r="B1298" s="537" t="s">
        <v>269</v>
      </c>
      <c r="C1298" s="151" t="s">
        <v>284</v>
      </c>
      <c r="D1298" s="148" t="s">
        <v>2199</v>
      </c>
      <c r="E1298" s="160">
        <v>0.1</v>
      </c>
      <c r="F1298" s="845">
        <f>H1297</f>
        <v>86196.50619650619</v>
      </c>
      <c r="G1298" s="160">
        <v>1</v>
      </c>
      <c r="H1298" s="479">
        <f t="shared" si="107"/>
        <v>8619.6506196506198</v>
      </c>
      <c r="I1298" s="914"/>
    </row>
    <row r="1299" spans="1:9" s="42" customFormat="1" ht="43.9" customHeight="1" x14ac:dyDescent="0.2">
      <c r="A1299" s="294" t="s">
        <v>3181</v>
      </c>
      <c r="B1299" s="876"/>
      <c r="C1299" s="300" t="s">
        <v>2118</v>
      </c>
      <c r="D1299" s="301" t="s">
        <v>411</v>
      </c>
      <c r="E1299" s="302"/>
      <c r="F1299" s="298">
        <f>ROUND(SUM(H1299:H1307),0)</f>
        <v>258050</v>
      </c>
      <c r="G1299" s="713"/>
      <c r="H1299" s="303"/>
      <c r="I1299" s="914"/>
    </row>
    <row r="1300" spans="1:9" customFormat="1" ht="12.75" x14ac:dyDescent="0.2">
      <c r="A1300" s="1075" t="s">
        <v>295</v>
      </c>
      <c r="B1300" s="537" t="s">
        <v>1873</v>
      </c>
      <c r="C1300" s="151" t="s">
        <v>2114</v>
      </c>
      <c r="D1300" s="148" t="s">
        <v>2648</v>
      </c>
      <c r="E1300" s="160">
        <v>4.5999999999999999E-2</v>
      </c>
      <c r="F1300" s="23">
        <f>H1304</f>
        <v>58268</v>
      </c>
      <c r="G1300" s="160">
        <v>1</v>
      </c>
      <c r="H1300" s="252">
        <f>IF(G1300&gt;0,(G1300*F1300*E1300),(F1300*E1300))</f>
        <v>2680.328</v>
      </c>
      <c r="I1300" s="914"/>
    </row>
    <row r="1301" spans="1:9" customFormat="1" x14ac:dyDescent="0.2">
      <c r="A1301" s="1075"/>
      <c r="B1301" s="537" t="s">
        <v>1609</v>
      </c>
      <c r="C1301" s="151" t="s">
        <v>2464</v>
      </c>
      <c r="D1301" s="148" t="s">
        <v>1996</v>
      </c>
      <c r="E1301" s="160">
        <v>1</v>
      </c>
      <c r="F1301" s="23">
        <f>VLOOKUP(B1301,'[1]BASE DE DATOS'!$A$5:$E$964,5,FALSE)</f>
        <v>48660</v>
      </c>
      <c r="G1301" s="160">
        <v>0.1</v>
      </c>
      <c r="H1301" s="252">
        <f>IF(G1301&gt;0,(G1301*F1301*E1301),(F1301*E1301))</f>
        <v>4866</v>
      </c>
      <c r="I1301" s="914"/>
    </row>
    <row r="1302" spans="1:9" customFormat="1" ht="12.75" x14ac:dyDescent="0.2">
      <c r="A1302" s="1075"/>
      <c r="B1302" s="537" t="s">
        <v>1874</v>
      </c>
      <c r="C1302" s="151" t="s">
        <v>2120</v>
      </c>
      <c r="D1302" s="148" t="s">
        <v>411</v>
      </c>
      <c r="E1302" s="160">
        <v>1</v>
      </c>
      <c r="F1302" s="23">
        <f>VLOOKUP(B1302,'[1]BASE DE DATOS'!$A$5:$E$964,5,FALSE)</f>
        <v>18000</v>
      </c>
      <c r="G1302" s="160">
        <v>1</v>
      </c>
      <c r="H1302" s="252">
        <f t="shared" si="107"/>
        <v>18000</v>
      </c>
      <c r="I1302" s="914"/>
    </row>
    <row r="1303" spans="1:9" customFormat="1" ht="12.75" x14ac:dyDescent="0.2">
      <c r="A1303" s="1075"/>
      <c r="B1303" s="537" t="s">
        <v>2962</v>
      </c>
      <c r="C1303" s="151" t="s">
        <v>2678</v>
      </c>
      <c r="D1303" s="148" t="s">
        <v>411</v>
      </c>
      <c r="E1303" s="160">
        <v>4</v>
      </c>
      <c r="F1303" s="23">
        <f>VLOOKUP(B1303,'[1]BASE DE DATOS'!$A$5:$E$964,5,FALSE)</f>
        <v>3500</v>
      </c>
      <c r="G1303" s="160">
        <v>1</v>
      </c>
      <c r="H1303" s="252">
        <f t="shared" si="107"/>
        <v>14000</v>
      </c>
      <c r="I1303" s="914"/>
    </row>
    <row r="1304" spans="1:9" customFormat="1" ht="22.5" customHeight="1" x14ac:dyDescent="0.2">
      <c r="A1304" s="1075"/>
      <c r="B1304" s="537" t="s">
        <v>1869</v>
      </c>
      <c r="C1304" s="151" t="s">
        <v>3238</v>
      </c>
      <c r="D1304" s="148" t="s">
        <v>411</v>
      </c>
      <c r="E1304" s="160">
        <v>1</v>
      </c>
      <c r="F1304" s="23">
        <f>VLOOKUP(B1304,'[1]BASE DE DATOS'!$A$5:$E$964,5,FALSE)</f>
        <v>58268</v>
      </c>
      <c r="G1304" s="160">
        <v>1</v>
      </c>
      <c r="H1304" s="252">
        <f>IF(G1304&gt;0,(G1304*F1304*E1304),(F1304*E1304))</f>
        <v>58268</v>
      </c>
      <c r="I1304" s="914"/>
    </row>
    <row r="1305" spans="1:9" customFormat="1" x14ac:dyDescent="0.2">
      <c r="A1305" s="797" t="s">
        <v>3252</v>
      </c>
      <c r="B1305" s="537" t="s">
        <v>810</v>
      </c>
      <c r="C1305" s="151" t="s">
        <v>2097</v>
      </c>
      <c r="D1305" s="148" t="s">
        <v>1920</v>
      </c>
      <c r="E1305" s="160">
        <v>4.0000000000000001E-3</v>
      </c>
      <c r="F1305" s="23">
        <f>+[1]CONSTRUCCION!$F$90</f>
        <v>525897</v>
      </c>
      <c r="G1305" s="160">
        <v>1.05</v>
      </c>
      <c r="H1305" s="252">
        <f t="shared" si="107"/>
        <v>2208.7674000000002</v>
      </c>
      <c r="I1305" s="914"/>
    </row>
    <row r="1306" spans="1:9" customFormat="1" ht="12.75" x14ac:dyDescent="0.2">
      <c r="A1306" s="63" t="s">
        <v>294</v>
      </c>
      <c r="B1306" s="537" t="s">
        <v>252</v>
      </c>
      <c r="C1306" s="151" t="s">
        <v>396</v>
      </c>
      <c r="D1306" s="148" t="s">
        <v>585</v>
      </c>
      <c r="E1306" s="161">
        <v>1</v>
      </c>
      <c r="F1306" s="23">
        <f>VLOOKUP(B1306,'[1]BASE DE DATOS'!$A$5:$E$964,5,FALSE)</f>
        <v>319246</v>
      </c>
      <c r="G1306" s="161">
        <f>1/2.22222</f>
        <v>0.45000045000044997</v>
      </c>
      <c r="H1306" s="252">
        <f t="shared" si="107"/>
        <v>143660.84366084365</v>
      </c>
      <c r="I1306" s="914"/>
    </row>
    <row r="1307" spans="1:9" customFormat="1" ht="13.5" thickBot="1" x14ac:dyDescent="0.25">
      <c r="A1307" s="65" t="s">
        <v>293</v>
      </c>
      <c r="B1307" s="537" t="s">
        <v>269</v>
      </c>
      <c r="C1307" s="616" t="s">
        <v>284</v>
      </c>
      <c r="D1307" s="148" t="s">
        <v>2199</v>
      </c>
      <c r="E1307" s="160">
        <v>0.1</v>
      </c>
      <c r="F1307" s="845">
        <f>H1306</f>
        <v>143660.84366084365</v>
      </c>
      <c r="G1307" s="618">
        <v>1</v>
      </c>
      <c r="H1307" s="479">
        <f t="shared" si="107"/>
        <v>14366.084366084366</v>
      </c>
      <c r="I1307" s="914"/>
    </row>
    <row r="1308" spans="1:9" s="42" customFormat="1" ht="42.75" customHeight="1" x14ac:dyDescent="0.2">
      <c r="A1308" s="294" t="s">
        <v>3182</v>
      </c>
      <c r="B1308" s="876"/>
      <c r="C1308" s="300" t="s">
        <v>2117</v>
      </c>
      <c r="D1308" s="301" t="s">
        <v>411</v>
      </c>
      <c r="E1308" s="302"/>
      <c r="F1308" s="298">
        <f>ROUND(SUM(H1308:H1317),0)</f>
        <v>412285</v>
      </c>
      <c r="G1308" s="713"/>
      <c r="H1308" s="303"/>
      <c r="I1308" s="914"/>
    </row>
    <row r="1309" spans="1:9" customFormat="1" ht="12.75" x14ac:dyDescent="0.2">
      <c r="A1309" s="1075" t="s">
        <v>295</v>
      </c>
      <c r="B1309" s="537" t="s">
        <v>1873</v>
      </c>
      <c r="C1309" s="151" t="s">
        <v>2114</v>
      </c>
      <c r="D1309" s="148" t="s">
        <v>2648</v>
      </c>
      <c r="E1309" s="160">
        <v>4.5999999999999999E-2</v>
      </c>
      <c r="F1309" s="23">
        <f>H1314</f>
        <v>143700</v>
      </c>
      <c r="G1309" s="160">
        <v>1</v>
      </c>
      <c r="H1309" s="252">
        <f>IF(G1309&gt;0,(G1309*F1309*E1309),(F1309*E1309))</f>
        <v>6610.2</v>
      </c>
      <c r="I1309" s="914"/>
    </row>
    <row r="1310" spans="1:9" customFormat="1" x14ac:dyDescent="0.2">
      <c r="A1310" s="1075"/>
      <c r="B1310" s="537" t="s">
        <v>1609</v>
      </c>
      <c r="C1310" s="151" t="s">
        <v>2464</v>
      </c>
      <c r="D1310" s="148" t="s">
        <v>1996</v>
      </c>
      <c r="E1310" s="160">
        <v>1</v>
      </c>
      <c r="F1310" s="23">
        <f>VLOOKUP(B1310,'[1]BASE DE DATOS'!$A$5:$E$964,5,FALSE)</f>
        <v>48660</v>
      </c>
      <c r="G1310" s="160">
        <v>0.12</v>
      </c>
      <c r="H1310" s="252">
        <f>IF(G1310&gt;0,(G1310*F1310*E1310),(F1310*E1310))</f>
        <v>5839.2</v>
      </c>
      <c r="I1310" s="914"/>
    </row>
    <row r="1311" spans="1:9" customFormat="1" ht="12.75" x14ac:dyDescent="0.2">
      <c r="A1311" s="1075"/>
      <c r="B1311" s="537" t="s">
        <v>1874</v>
      </c>
      <c r="C1311" s="151" t="s">
        <v>2113</v>
      </c>
      <c r="D1311" s="148" t="s">
        <v>411</v>
      </c>
      <c r="E1311" s="160">
        <v>1</v>
      </c>
      <c r="F1311" s="23">
        <f>VLOOKUP(B1311,'[1]BASE DE DATOS'!$A$5:$E$964,5,FALSE)</f>
        <v>18000</v>
      </c>
      <c r="G1311" s="160">
        <v>1</v>
      </c>
      <c r="H1311" s="252">
        <f>IF(G1311&gt;0,(G1311*F1311*E1311),(F1311*E1311))</f>
        <v>18000</v>
      </c>
      <c r="I1311" s="914"/>
    </row>
    <row r="1312" spans="1:9" customFormat="1" ht="12.75" x14ac:dyDescent="0.2">
      <c r="A1312" s="1075"/>
      <c r="B1312" s="537" t="s">
        <v>1868</v>
      </c>
      <c r="C1312" s="151" t="s">
        <v>2119</v>
      </c>
      <c r="D1312" s="148" t="s">
        <v>411</v>
      </c>
      <c r="E1312" s="160">
        <v>1</v>
      </c>
      <c r="F1312" s="23">
        <f>VLOOKUP(B1312,'[1]BASE DE DATOS'!$A$5:$E$964,5,FALSE)</f>
        <v>49900</v>
      </c>
      <c r="G1312" s="160">
        <v>1</v>
      </c>
      <c r="H1312" s="252">
        <f t="shared" si="107"/>
        <v>49900</v>
      </c>
      <c r="I1312" s="914"/>
    </row>
    <row r="1313" spans="1:9" customFormat="1" ht="12.75" x14ac:dyDescent="0.2">
      <c r="A1313" s="1075"/>
      <c r="B1313" s="537" t="s">
        <v>2962</v>
      </c>
      <c r="C1313" s="151" t="s">
        <v>2678</v>
      </c>
      <c r="D1313" s="148" t="s">
        <v>411</v>
      </c>
      <c r="E1313" s="160">
        <v>8</v>
      </c>
      <c r="F1313" s="23">
        <f>VLOOKUP(B1313,'[1]BASE DE DATOS'!$A$5:$E$964,5,FALSE)</f>
        <v>3500</v>
      </c>
      <c r="G1313" s="160">
        <v>1</v>
      </c>
      <c r="H1313" s="252">
        <f t="shared" si="107"/>
        <v>28000</v>
      </c>
      <c r="I1313" s="914"/>
    </row>
    <row r="1314" spans="1:9" customFormat="1" ht="39.6" customHeight="1" x14ac:dyDescent="0.2">
      <c r="A1314" s="1075"/>
      <c r="B1314" s="537" t="s">
        <v>1580</v>
      </c>
      <c r="C1314" s="151" t="s">
        <v>3239</v>
      </c>
      <c r="D1314" s="148" t="s">
        <v>411</v>
      </c>
      <c r="E1314" s="160">
        <v>1</v>
      </c>
      <c r="F1314" s="23">
        <f>VLOOKUP(B1314,'[1]BASE DE DATOS'!$A$5:$E$964,5,FALSE)</f>
        <v>143700</v>
      </c>
      <c r="G1314" s="160">
        <v>1</v>
      </c>
      <c r="H1314" s="252">
        <f>IF(G1314&gt;0,(G1314*F1314*E1314),(F1314*E1314))</f>
        <v>143700</v>
      </c>
      <c r="I1314" s="914"/>
    </row>
    <row r="1315" spans="1:9" customFormat="1" x14ac:dyDescent="0.2">
      <c r="A1315" s="797" t="s">
        <v>3252</v>
      </c>
      <c r="B1315" s="537" t="s">
        <v>810</v>
      </c>
      <c r="C1315" s="151" t="s">
        <v>2097</v>
      </c>
      <c r="D1315" s="148" t="s">
        <v>1920</v>
      </c>
      <c r="E1315" s="160">
        <v>4.0000000000000001E-3</v>
      </c>
      <c r="F1315" s="23">
        <f>+[1]CONSTRUCCION!$F$90</f>
        <v>525897</v>
      </c>
      <c r="G1315" s="160">
        <v>1.05</v>
      </c>
      <c r="H1315" s="252">
        <f t="shared" si="107"/>
        <v>2208.7674000000002</v>
      </c>
      <c r="I1315" s="914"/>
    </row>
    <row r="1316" spans="1:9" customFormat="1" ht="12.75" x14ac:dyDescent="0.2">
      <c r="A1316" s="63" t="s">
        <v>294</v>
      </c>
      <c r="B1316" s="537" t="s">
        <v>252</v>
      </c>
      <c r="C1316" s="151" t="s">
        <v>396</v>
      </c>
      <c r="D1316" s="148" t="s">
        <v>585</v>
      </c>
      <c r="E1316" s="161">
        <v>1</v>
      </c>
      <c r="F1316" s="23">
        <f>VLOOKUP(B1316,'[1]BASE DE DATOS'!$A$5:$E$964,5,FALSE)</f>
        <v>319246</v>
      </c>
      <c r="G1316" s="161">
        <f>1/2.22222</f>
        <v>0.45000045000044997</v>
      </c>
      <c r="H1316" s="252">
        <f t="shared" si="107"/>
        <v>143660.84366084365</v>
      </c>
      <c r="I1316" s="914"/>
    </row>
    <row r="1317" spans="1:9" customFormat="1" ht="13.5" thickBot="1" x14ac:dyDescent="0.25">
      <c r="A1317" s="128" t="s">
        <v>293</v>
      </c>
      <c r="B1317" s="537" t="s">
        <v>269</v>
      </c>
      <c r="C1317" s="616" t="s">
        <v>284</v>
      </c>
      <c r="D1317" s="148" t="s">
        <v>2199</v>
      </c>
      <c r="E1317" s="160">
        <v>0.1</v>
      </c>
      <c r="F1317" s="845">
        <f>+H1316</f>
        <v>143660.84366084365</v>
      </c>
      <c r="G1317" s="618">
        <v>1</v>
      </c>
      <c r="H1317" s="479">
        <f t="shared" si="107"/>
        <v>14366.084366084366</v>
      </c>
      <c r="I1317" s="914"/>
    </row>
    <row r="1318" spans="1:9" s="42" customFormat="1" ht="54.75" customHeight="1" x14ac:dyDescent="0.2">
      <c r="A1318" s="294" t="s">
        <v>3183</v>
      </c>
      <c r="B1318" s="876"/>
      <c r="C1318" s="300" t="s">
        <v>2121</v>
      </c>
      <c r="D1318" s="301" t="s">
        <v>411</v>
      </c>
      <c r="E1318" s="302"/>
      <c r="F1318" s="298">
        <f>ROUND(SUM(H1318:H1328),0)</f>
        <v>805172</v>
      </c>
      <c r="G1318" s="713"/>
      <c r="H1318" s="303"/>
      <c r="I1318" s="914"/>
    </row>
    <row r="1319" spans="1:9" customFormat="1" ht="12.75" x14ac:dyDescent="0.2">
      <c r="A1319" s="1075" t="s">
        <v>295</v>
      </c>
      <c r="B1319" s="537" t="s">
        <v>1873</v>
      </c>
      <c r="C1319" s="151" t="s">
        <v>2114</v>
      </c>
      <c r="D1319" s="148" t="s">
        <v>2648</v>
      </c>
      <c r="E1319" s="160">
        <v>4.5999999999999999E-2</v>
      </c>
      <c r="F1319" s="23">
        <f>H1325</f>
        <v>393000</v>
      </c>
      <c r="G1319" s="160">
        <v>1</v>
      </c>
      <c r="H1319" s="252">
        <f>IF(G1319&gt;0,(G1319*F1319*E1319),(F1319*E1319))</f>
        <v>18078</v>
      </c>
      <c r="I1319" s="914"/>
    </row>
    <row r="1320" spans="1:9" customFormat="1" x14ac:dyDescent="0.2">
      <c r="A1320" s="1075"/>
      <c r="B1320" s="537" t="s">
        <v>1609</v>
      </c>
      <c r="C1320" s="151" t="s">
        <v>2464</v>
      </c>
      <c r="D1320" s="148" t="s">
        <v>1996</v>
      </c>
      <c r="E1320" s="160">
        <v>1</v>
      </c>
      <c r="F1320" s="23">
        <f>VLOOKUP(B1320,'[1]BASE DE DATOS'!$A$5:$E$964,5,FALSE)</f>
        <v>48660</v>
      </c>
      <c r="G1320" s="160">
        <v>0.15</v>
      </c>
      <c r="H1320" s="252">
        <f>IF(G1320&gt;0,(G1320*F1320*E1320),(F1320*E1320))</f>
        <v>7299</v>
      </c>
      <c r="I1320" s="914"/>
    </row>
    <row r="1321" spans="1:9" customFormat="1" ht="12.75" x14ac:dyDescent="0.2">
      <c r="A1321" s="1075"/>
      <c r="B1321" s="537" t="s">
        <v>1874</v>
      </c>
      <c r="C1321" s="151" t="s">
        <v>2113</v>
      </c>
      <c r="D1321" s="148" t="s">
        <v>411</v>
      </c>
      <c r="E1321" s="160">
        <v>1</v>
      </c>
      <c r="F1321" s="23">
        <f>VLOOKUP(B1321,'[1]BASE DE DATOS'!$A$5:$E$964,5,FALSE)</f>
        <v>18000</v>
      </c>
      <c r="G1321" s="160">
        <v>1</v>
      </c>
      <c r="H1321" s="252">
        <f>IF(G1321&gt;0,(G1321*F1321*E1321),(F1321*E1321))</f>
        <v>18000</v>
      </c>
      <c r="I1321" s="914"/>
    </row>
    <row r="1322" spans="1:9" customFormat="1" ht="12.75" x14ac:dyDescent="0.2">
      <c r="A1322" s="1075"/>
      <c r="B1322" s="537" t="s">
        <v>1868</v>
      </c>
      <c r="C1322" s="151" t="s">
        <v>2119</v>
      </c>
      <c r="D1322" s="148" t="s">
        <v>411</v>
      </c>
      <c r="E1322" s="160">
        <v>1</v>
      </c>
      <c r="F1322" s="23">
        <f>VLOOKUP(B1322,'[1]BASE DE DATOS'!$A$5:$E$964,5,FALSE)</f>
        <v>49900</v>
      </c>
      <c r="G1322" s="160">
        <v>1</v>
      </c>
      <c r="H1322" s="252">
        <f t="shared" si="107"/>
        <v>49900</v>
      </c>
      <c r="I1322" s="914"/>
    </row>
    <row r="1323" spans="1:9" customFormat="1" ht="12.75" x14ac:dyDescent="0.2">
      <c r="A1323" s="1075"/>
      <c r="B1323" s="537" t="s">
        <v>1866</v>
      </c>
      <c r="C1323" s="151" t="s">
        <v>2123</v>
      </c>
      <c r="D1323" s="148" t="s">
        <v>411</v>
      </c>
      <c r="E1323" s="160">
        <v>1</v>
      </c>
      <c r="F1323" s="23">
        <f>VLOOKUP(B1323,'[1]BASE DE DATOS'!$A$5:$E$964,5,FALSE)</f>
        <v>32500</v>
      </c>
      <c r="G1323" s="160">
        <v>1</v>
      </c>
      <c r="H1323" s="252">
        <f t="shared" si="107"/>
        <v>32500</v>
      </c>
      <c r="I1323" s="914"/>
    </row>
    <row r="1324" spans="1:9" customFormat="1" ht="12.75" x14ac:dyDescent="0.2">
      <c r="A1324" s="1075"/>
      <c r="B1324" s="537" t="s">
        <v>2962</v>
      </c>
      <c r="C1324" s="151" t="s">
        <v>2678</v>
      </c>
      <c r="D1324" s="148" t="s">
        <v>411</v>
      </c>
      <c r="E1324" s="160">
        <v>12</v>
      </c>
      <c r="F1324" s="23">
        <f>VLOOKUP(B1324,'[1]BASE DE DATOS'!$A$5:$E$964,5,FALSE)</f>
        <v>3500</v>
      </c>
      <c r="G1324" s="160">
        <v>1</v>
      </c>
      <c r="H1324" s="252">
        <f t="shared" si="107"/>
        <v>42000</v>
      </c>
      <c r="I1324" s="914"/>
    </row>
    <row r="1325" spans="1:9" customFormat="1" ht="39.6" customHeight="1" x14ac:dyDescent="0.2">
      <c r="A1325" s="1075"/>
      <c r="B1325" s="537" t="s">
        <v>1867</v>
      </c>
      <c r="C1325" s="151" t="s">
        <v>3240</v>
      </c>
      <c r="D1325" s="148" t="s">
        <v>411</v>
      </c>
      <c r="E1325" s="160">
        <v>1</v>
      </c>
      <c r="F1325" s="23">
        <f>VLOOKUP(B1325,'[1]BASE DE DATOS'!$A$5:$E$964,5,FALSE)</f>
        <v>393000</v>
      </c>
      <c r="G1325" s="160">
        <v>1</v>
      </c>
      <c r="H1325" s="252">
        <f>IF(G1325&gt;0,(G1325*F1325*E1325),(F1325*E1325))</f>
        <v>393000</v>
      </c>
      <c r="I1325" s="914"/>
    </row>
    <row r="1326" spans="1:9" customFormat="1" x14ac:dyDescent="0.2">
      <c r="A1326" s="797" t="s">
        <v>3252</v>
      </c>
      <c r="B1326" s="537" t="s">
        <v>810</v>
      </c>
      <c r="C1326" s="151" t="s">
        <v>2097</v>
      </c>
      <c r="D1326" s="148" t="s">
        <v>1920</v>
      </c>
      <c r="E1326" s="160">
        <v>4.0000000000000001E-3</v>
      </c>
      <c r="F1326" s="23">
        <f>[1]CONSTRUCCION!$F$90</f>
        <v>525897</v>
      </c>
      <c r="G1326" s="160">
        <v>1.05</v>
      </c>
      <c r="H1326" s="252">
        <f t="shared" si="107"/>
        <v>2208.7674000000002</v>
      </c>
      <c r="I1326" s="914"/>
    </row>
    <row r="1327" spans="1:9" customFormat="1" ht="12.75" x14ac:dyDescent="0.2">
      <c r="A1327" s="63" t="s">
        <v>294</v>
      </c>
      <c r="B1327" s="537" t="s">
        <v>252</v>
      </c>
      <c r="C1327" s="151" t="s">
        <v>396</v>
      </c>
      <c r="D1327" s="148" t="s">
        <v>585</v>
      </c>
      <c r="E1327" s="161">
        <v>1</v>
      </c>
      <c r="F1327" s="23">
        <f>VLOOKUP(B1327,'[1]BASE DE DATOS'!$A$5:$E$964,5,FALSE)</f>
        <v>319246</v>
      </c>
      <c r="G1327" s="161">
        <f>1/1.45</f>
        <v>0.68965517241379315</v>
      </c>
      <c r="H1327" s="252">
        <f t="shared" si="107"/>
        <v>220169.6551724138</v>
      </c>
      <c r="I1327" s="914"/>
    </row>
    <row r="1328" spans="1:9" customFormat="1" ht="13.5" thickBot="1" x14ac:dyDescent="0.25">
      <c r="A1328" s="128" t="s">
        <v>293</v>
      </c>
      <c r="B1328" s="537" t="s">
        <v>269</v>
      </c>
      <c r="C1328" s="616" t="s">
        <v>284</v>
      </c>
      <c r="D1328" s="148" t="s">
        <v>2199</v>
      </c>
      <c r="E1328" s="160">
        <v>0.1</v>
      </c>
      <c r="F1328" s="845">
        <f>+H1327</f>
        <v>220169.6551724138</v>
      </c>
      <c r="G1328" s="618">
        <v>1</v>
      </c>
      <c r="H1328" s="479">
        <f t="shared" si="107"/>
        <v>22016.96551724138</v>
      </c>
      <c r="I1328" s="914"/>
    </row>
    <row r="1329" spans="1:9" s="42" customFormat="1" ht="70.900000000000006" customHeight="1" x14ac:dyDescent="0.2">
      <c r="A1329" s="294" t="s">
        <v>3185</v>
      </c>
      <c r="B1329" s="876"/>
      <c r="C1329" s="300" t="s">
        <v>2124</v>
      </c>
      <c r="D1329" s="301" t="s">
        <v>411</v>
      </c>
      <c r="E1329" s="302"/>
      <c r="F1329" s="259">
        <f>ROUND(SUM(H1329:H1339),0)</f>
        <v>958363</v>
      </c>
      <c r="G1329" s="713"/>
      <c r="H1329" s="303"/>
      <c r="I1329" s="914"/>
    </row>
    <row r="1330" spans="1:9" customFormat="1" ht="12.75" x14ac:dyDescent="0.2">
      <c r="A1330" s="1075" t="s">
        <v>295</v>
      </c>
      <c r="B1330" s="538" t="s">
        <v>1873</v>
      </c>
      <c r="C1330" s="151" t="s">
        <v>2114</v>
      </c>
      <c r="D1330" s="148" t="s">
        <v>2648</v>
      </c>
      <c r="E1330" s="160">
        <v>4.5999999999999999E-2</v>
      </c>
      <c r="F1330" s="23">
        <f>H1336</f>
        <v>499900</v>
      </c>
      <c r="G1330" s="160">
        <v>1</v>
      </c>
      <c r="H1330" s="252">
        <f>IF(G1330&gt;0,(G1330*F1330*E1330),(F1330*E1330))</f>
        <v>22995.399999999998</v>
      </c>
      <c r="I1330" s="914"/>
    </row>
    <row r="1331" spans="1:9" customFormat="1" x14ac:dyDescent="0.2">
      <c r="A1331" s="1075"/>
      <c r="B1331" s="538" t="s">
        <v>1609</v>
      </c>
      <c r="C1331" s="151" t="s">
        <v>2464</v>
      </c>
      <c r="D1331" s="148" t="s">
        <v>1996</v>
      </c>
      <c r="E1331" s="160">
        <v>1</v>
      </c>
      <c r="F1331" s="23">
        <f>VLOOKUP(B1331,'[1]BASE DE DATOS'!$A$5:$E$964,5,FALSE)</f>
        <v>48660</v>
      </c>
      <c r="G1331" s="160">
        <v>0.2</v>
      </c>
      <c r="H1331" s="252">
        <f>IF(G1331&gt;0,(G1331*F1331*E1331),(F1331*E1331))</f>
        <v>9732</v>
      </c>
      <c r="I1331" s="914"/>
    </row>
    <row r="1332" spans="1:9" customFormat="1" ht="12.75" x14ac:dyDescent="0.2">
      <c r="A1332" s="1075"/>
      <c r="B1332" s="538" t="s">
        <v>1874</v>
      </c>
      <c r="C1332" s="151" t="s">
        <v>2113</v>
      </c>
      <c r="D1332" s="148" t="s">
        <v>411</v>
      </c>
      <c r="E1332" s="160">
        <v>1</v>
      </c>
      <c r="F1332" s="23">
        <f>VLOOKUP(B1332,'[1]BASE DE DATOS'!$A$5:$E$964,5,FALSE)</f>
        <v>18000</v>
      </c>
      <c r="G1332" s="160">
        <v>1</v>
      </c>
      <c r="H1332" s="252">
        <f>IF(G1332&gt;0,(G1332*F1332*E1332),(F1332*E1332))</f>
        <v>18000</v>
      </c>
      <c r="I1332" s="914"/>
    </row>
    <row r="1333" spans="1:9" customFormat="1" ht="12.75" x14ac:dyDescent="0.2">
      <c r="A1333" s="1075"/>
      <c r="B1333" s="538" t="s">
        <v>1868</v>
      </c>
      <c r="C1333" s="151" t="s">
        <v>2119</v>
      </c>
      <c r="D1333" s="148" t="s">
        <v>411</v>
      </c>
      <c r="E1333" s="160">
        <v>1</v>
      </c>
      <c r="F1333" s="23">
        <f>VLOOKUP(B1333,'[1]BASE DE DATOS'!$A$5:$E$964,5,FALSE)</f>
        <v>49900</v>
      </c>
      <c r="G1333" s="160">
        <v>1</v>
      </c>
      <c r="H1333" s="252">
        <f t="shared" si="107"/>
        <v>49900</v>
      </c>
      <c r="I1333" s="914"/>
    </row>
    <row r="1334" spans="1:9" customFormat="1" ht="12.75" x14ac:dyDescent="0.2">
      <c r="A1334" s="1075"/>
      <c r="B1334" s="538" t="s">
        <v>1866</v>
      </c>
      <c r="C1334" s="151" t="s">
        <v>2123</v>
      </c>
      <c r="D1334" s="148" t="s">
        <v>411</v>
      </c>
      <c r="E1334" s="160">
        <v>1</v>
      </c>
      <c r="F1334" s="23">
        <f>VLOOKUP(B1334,'[1]BASE DE DATOS'!$A$5:$E$964,5,FALSE)</f>
        <v>32500</v>
      </c>
      <c r="G1334" s="160">
        <v>1</v>
      </c>
      <c r="H1334" s="252">
        <f t="shared" si="107"/>
        <v>32500</v>
      </c>
      <c r="I1334" s="914"/>
    </row>
    <row r="1335" spans="1:9" customFormat="1" ht="12.75" x14ac:dyDescent="0.2">
      <c r="A1335" s="1075"/>
      <c r="B1335" s="538" t="s">
        <v>2962</v>
      </c>
      <c r="C1335" s="151" t="s">
        <v>2678</v>
      </c>
      <c r="D1335" s="148" t="s">
        <v>411</v>
      </c>
      <c r="E1335" s="160">
        <v>18</v>
      </c>
      <c r="F1335" s="23">
        <f>VLOOKUP(B1335,'[1]BASE DE DATOS'!$A$5:$E$964,5,FALSE)</f>
        <v>3500</v>
      </c>
      <c r="G1335" s="160">
        <v>1</v>
      </c>
      <c r="H1335" s="252">
        <f t="shared" si="107"/>
        <v>63000</v>
      </c>
      <c r="I1335" s="914"/>
    </row>
    <row r="1336" spans="1:9" customFormat="1" ht="39.6" customHeight="1" x14ac:dyDescent="0.2">
      <c r="A1336" s="1075"/>
      <c r="B1336" s="538" t="s">
        <v>1865</v>
      </c>
      <c r="C1336" s="151" t="s">
        <v>2125</v>
      </c>
      <c r="D1336" s="148" t="s">
        <v>411</v>
      </c>
      <c r="E1336" s="160">
        <v>1</v>
      </c>
      <c r="F1336" s="23">
        <f>VLOOKUP(B1336,'[1]BASE DE DATOS'!$A$5:$E$964,5,FALSE)</f>
        <v>499900</v>
      </c>
      <c r="G1336" s="160">
        <v>1</v>
      </c>
      <c r="H1336" s="252">
        <f>IF(G1336&gt;0,(G1336*F1336*E1336),(F1336*E1336))</f>
        <v>499900</v>
      </c>
      <c r="I1336" s="914"/>
    </row>
    <row r="1337" spans="1:9" customFormat="1" x14ac:dyDescent="0.2">
      <c r="A1337" s="797" t="s">
        <v>3252</v>
      </c>
      <c r="B1337" s="537" t="s">
        <v>810</v>
      </c>
      <c r="C1337" s="151" t="s">
        <v>2097</v>
      </c>
      <c r="D1337" s="148" t="s">
        <v>1920</v>
      </c>
      <c r="E1337" s="160">
        <v>4.0000000000000001E-3</v>
      </c>
      <c r="F1337" s="23">
        <f>+[1]CONSTRUCCION!$F$90</f>
        <v>525897</v>
      </c>
      <c r="G1337" s="160">
        <v>1.05</v>
      </c>
      <c r="H1337" s="252">
        <f t="shared" si="107"/>
        <v>2208.7674000000002</v>
      </c>
      <c r="I1337" s="914"/>
    </row>
    <row r="1338" spans="1:9" s="33" customFormat="1" ht="12.75" x14ac:dyDescent="0.2">
      <c r="A1338" s="63" t="s">
        <v>294</v>
      </c>
      <c r="B1338" s="537" t="s">
        <v>252</v>
      </c>
      <c r="C1338" s="151" t="s">
        <v>396</v>
      </c>
      <c r="D1338" s="148" t="s">
        <v>585</v>
      </c>
      <c r="E1338" s="161">
        <v>1</v>
      </c>
      <c r="F1338" s="23">
        <f>VLOOKUP(B1338,'[1]BASE DE DATOS'!$A$5:$E$964,5,FALSE)</f>
        <v>319246</v>
      </c>
      <c r="G1338" s="161">
        <f>1/1.35</f>
        <v>0.7407407407407407</v>
      </c>
      <c r="H1338" s="252">
        <f t="shared" si="107"/>
        <v>236478.51851851851</v>
      </c>
      <c r="I1338" s="915"/>
    </row>
    <row r="1339" spans="1:9" customFormat="1" ht="13.5" thickBot="1" x14ac:dyDescent="0.25">
      <c r="A1339" s="128" t="s">
        <v>293</v>
      </c>
      <c r="B1339" s="537" t="s">
        <v>269</v>
      </c>
      <c r="C1339" s="616" t="s">
        <v>284</v>
      </c>
      <c r="D1339" s="617" t="s">
        <v>2199</v>
      </c>
      <c r="E1339" s="160">
        <v>0.1</v>
      </c>
      <c r="F1339" s="845">
        <f>+H1338</f>
        <v>236478.51851851851</v>
      </c>
      <c r="G1339" s="618">
        <v>1</v>
      </c>
      <c r="H1339" s="479">
        <f t="shared" si="107"/>
        <v>23647.851851851854</v>
      </c>
      <c r="I1339" s="914"/>
    </row>
    <row r="1340" spans="1:9" s="42" customFormat="1" ht="72.599999999999994" customHeight="1" x14ac:dyDescent="0.2">
      <c r="A1340" s="294" t="s">
        <v>3186</v>
      </c>
      <c r="B1340" s="876"/>
      <c r="C1340" s="300" t="s">
        <v>3184</v>
      </c>
      <c r="D1340" s="301" t="s">
        <v>411</v>
      </c>
      <c r="E1340" s="302"/>
      <c r="F1340" s="259">
        <f>ROUND(SUM(H1340:H1350),0)</f>
        <v>1017724</v>
      </c>
      <c r="G1340" s="713"/>
      <c r="H1340" s="303"/>
      <c r="I1340" s="914"/>
    </row>
    <row r="1341" spans="1:9" customFormat="1" ht="12.75" x14ac:dyDescent="0.2">
      <c r="A1341" s="1075" t="s">
        <v>295</v>
      </c>
      <c r="B1341" s="537" t="s">
        <v>1873</v>
      </c>
      <c r="C1341" s="151" t="s">
        <v>2114</v>
      </c>
      <c r="D1341" s="148" t="s">
        <v>2648</v>
      </c>
      <c r="E1341" s="160">
        <v>4.5999999999999999E-2</v>
      </c>
      <c r="F1341" s="23">
        <f>H1347</f>
        <v>499900</v>
      </c>
      <c r="G1341" s="160">
        <v>1</v>
      </c>
      <c r="H1341" s="252">
        <f>IF(G1341&gt;0,(G1341*F1341*E1341),(F1341*E1341))</f>
        <v>22995.399999999998</v>
      </c>
      <c r="I1341" s="914"/>
    </row>
    <row r="1342" spans="1:9" s="33" customFormat="1" x14ac:dyDescent="0.2">
      <c r="A1342" s="1075"/>
      <c r="B1342" s="537" t="s">
        <v>1609</v>
      </c>
      <c r="C1342" s="151" t="s">
        <v>2464</v>
      </c>
      <c r="D1342" s="148" t="s">
        <v>1996</v>
      </c>
      <c r="E1342" s="160">
        <v>1</v>
      </c>
      <c r="F1342" s="23">
        <f>VLOOKUP(B1342,'[1]BASE DE DATOS'!$A$5:$E$964,5,FALSE)</f>
        <v>48660</v>
      </c>
      <c r="G1342" s="160">
        <v>0.2</v>
      </c>
      <c r="H1342" s="252">
        <f>IF(G1342&gt;0,(G1342*F1342*E1342),(F1342*E1342))</f>
        <v>9732</v>
      </c>
      <c r="I1342" s="915"/>
    </row>
    <row r="1343" spans="1:9" customFormat="1" ht="12.75" x14ac:dyDescent="0.2">
      <c r="A1343" s="1075"/>
      <c r="B1343" s="537" t="s">
        <v>1874</v>
      </c>
      <c r="C1343" s="151" t="s">
        <v>2113</v>
      </c>
      <c r="D1343" s="148" t="s">
        <v>411</v>
      </c>
      <c r="E1343" s="160">
        <v>1</v>
      </c>
      <c r="F1343" s="23">
        <f>VLOOKUP(B1343,'[1]BASE DE DATOS'!$A$5:$E$964,5,FALSE)</f>
        <v>18000</v>
      </c>
      <c r="G1343" s="160">
        <v>1</v>
      </c>
      <c r="H1343" s="252">
        <f t="shared" si="107"/>
        <v>18000</v>
      </c>
      <c r="I1343" s="914"/>
    </row>
    <row r="1344" spans="1:9" customFormat="1" ht="12.75" x14ac:dyDescent="0.2">
      <c r="A1344" s="1075"/>
      <c r="B1344" s="537" t="s">
        <v>1868</v>
      </c>
      <c r="C1344" s="151" t="s">
        <v>3133</v>
      </c>
      <c r="D1344" s="148" t="s">
        <v>411</v>
      </c>
      <c r="E1344" s="160">
        <v>1</v>
      </c>
      <c r="F1344" s="23">
        <f>VLOOKUP(B1344,'[1]BASE DE DATOS'!$A$5:$E$964,5,FALSE)</f>
        <v>49900</v>
      </c>
      <c r="G1344" s="160">
        <v>1</v>
      </c>
      <c r="H1344" s="252">
        <f>IF(G1344&gt;0,(G1344*F1344*E1344),(F1344*E1344))</f>
        <v>49900</v>
      </c>
      <c r="I1344" s="914"/>
    </row>
    <row r="1345" spans="1:9" customFormat="1" ht="12.75" x14ac:dyDescent="0.2">
      <c r="A1345" s="1075"/>
      <c r="B1345" s="537" t="s">
        <v>1866</v>
      </c>
      <c r="C1345" s="151" t="s">
        <v>2123</v>
      </c>
      <c r="D1345" s="148" t="s">
        <v>411</v>
      </c>
      <c r="E1345" s="160">
        <v>1</v>
      </c>
      <c r="F1345" s="23">
        <f>VLOOKUP(B1345,'[1]BASE DE DATOS'!$A$5:$E$964,5,FALSE)</f>
        <v>32500</v>
      </c>
      <c r="G1345" s="160">
        <v>1</v>
      </c>
      <c r="H1345" s="252">
        <f t="shared" si="107"/>
        <v>32500</v>
      </c>
      <c r="I1345" s="914"/>
    </row>
    <row r="1346" spans="1:9" customFormat="1" ht="12.75" x14ac:dyDescent="0.2">
      <c r="A1346" s="1075"/>
      <c r="B1346" s="537" t="s">
        <v>2962</v>
      </c>
      <c r="C1346" s="151" t="s">
        <v>2678</v>
      </c>
      <c r="D1346" s="148" t="s">
        <v>411</v>
      </c>
      <c r="E1346" s="160">
        <v>24</v>
      </c>
      <c r="F1346" s="23">
        <f>VLOOKUP(B1346,'[1]BASE DE DATOS'!$A$5:$E$964,5,FALSE)</f>
        <v>3500</v>
      </c>
      <c r="G1346" s="160">
        <v>1</v>
      </c>
      <c r="H1346" s="252">
        <f t="shared" si="107"/>
        <v>84000</v>
      </c>
      <c r="I1346" s="914"/>
    </row>
    <row r="1347" spans="1:9" customFormat="1" ht="39.6" customHeight="1" x14ac:dyDescent="0.2">
      <c r="A1347" s="1075"/>
      <c r="B1347" s="537" t="s">
        <v>1864</v>
      </c>
      <c r="C1347" s="151" t="s">
        <v>3241</v>
      </c>
      <c r="D1347" s="148" t="s">
        <v>411</v>
      </c>
      <c r="E1347" s="160">
        <v>1</v>
      </c>
      <c r="F1347" s="23">
        <f>VLOOKUP(B1347,'[1]BASE DE DATOS'!$A$5:$E$964,5,FALSE)</f>
        <v>499900</v>
      </c>
      <c r="G1347" s="160">
        <v>1</v>
      </c>
      <c r="H1347" s="252">
        <f>IF(G1347&gt;0,(G1347*F1347*E1347),(F1347*E1347))</f>
        <v>499900</v>
      </c>
      <c r="I1347" s="914"/>
    </row>
    <row r="1348" spans="1:9" customFormat="1" x14ac:dyDescent="0.2">
      <c r="A1348" s="797" t="s">
        <v>3252</v>
      </c>
      <c r="B1348" s="537" t="s">
        <v>810</v>
      </c>
      <c r="C1348" s="151" t="s">
        <v>2097</v>
      </c>
      <c r="D1348" s="148" t="s">
        <v>1920</v>
      </c>
      <c r="E1348" s="160">
        <v>4.0000000000000001E-3</v>
      </c>
      <c r="F1348" s="23">
        <f>+[1]CONSTRUCCION!$F$90</f>
        <v>525897</v>
      </c>
      <c r="G1348" s="160">
        <v>1.05</v>
      </c>
      <c r="H1348" s="252">
        <f t="shared" si="107"/>
        <v>2208.7674000000002</v>
      </c>
      <c r="I1348" s="914"/>
    </row>
    <row r="1349" spans="1:9" customFormat="1" ht="12.75" x14ac:dyDescent="0.2">
      <c r="A1349" s="63" t="s">
        <v>294</v>
      </c>
      <c r="B1349" s="537" t="s">
        <v>252</v>
      </c>
      <c r="C1349" s="151" t="s">
        <v>396</v>
      </c>
      <c r="D1349" s="148" t="s">
        <v>585</v>
      </c>
      <c r="E1349" s="161">
        <v>1</v>
      </c>
      <c r="F1349" s="23">
        <f>VLOOKUP(B1349,'[1]BASE DE DATOS'!$A$5:$E$964,5,FALSE)</f>
        <v>319246</v>
      </c>
      <c r="G1349" s="161">
        <f>1/1.1765</f>
        <v>0.84997875053123662</v>
      </c>
      <c r="H1349" s="252">
        <f t="shared" si="107"/>
        <v>271352.31619209517</v>
      </c>
      <c r="I1349" s="914"/>
    </row>
    <row r="1350" spans="1:9" customFormat="1" ht="13.5" thickBot="1" x14ac:dyDescent="0.25">
      <c r="A1350" s="128" t="s">
        <v>293</v>
      </c>
      <c r="B1350" s="537" t="s">
        <v>269</v>
      </c>
      <c r="C1350" s="616" t="s">
        <v>284</v>
      </c>
      <c r="D1350" s="148" t="s">
        <v>2199</v>
      </c>
      <c r="E1350" s="160">
        <v>0.1</v>
      </c>
      <c r="F1350" s="845">
        <f>+H1349</f>
        <v>271352.31619209517</v>
      </c>
      <c r="G1350" s="618">
        <v>1</v>
      </c>
      <c r="H1350" s="479">
        <f t="shared" si="107"/>
        <v>27135.231619209517</v>
      </c>
      <c r="I1350" s="914"/>
    </row>
    <row r="1351" spans="1:9" s="42" customFormat="1" ht="30" x14ac:dyDescent="0.2">
      <c r="A1351" s="294" t="s">
        <v>3187</v>
      </c>
      <c r="B1351" s="876"/>
      <c r="C1351" s="300" t="s">
        <v>1221</v>
      </c>
      <c r="D1351" s="301" t="s">
        <v>411</v>
      </c>
      <c r="E1351" s="302"/>
      <c r="F1351" s="259">
        <f>ROUND(SUM(H1351:H1364),0)</f>
        <v>115138</v>
      </c>
      <c r="G1351" s="713"/>
      <c r="H1351" s="303"/>
      <c r="I1351" s="914"/>
    </row>
    <row r="1352" spans="1:9" s="33" customFormat="1" ht="12.75" x14ac:dyDescent="0.2">
      <c r="A1352" s="1083" t="s">
        <v>295</v>
      </c>
      <c r="B1352" s="537" t="s">
        <v>1862</v>
      </c>
      <c r="C1352" s="151" t="s">
        <v>2576</v>
      </c>
      <c r="D1352" s="148" t="s">
        <v>411</v>
      </c>
      <c r="E1352" s="160">
        <v>2</v>
      </c>
      <c r="F1352" s="23">
        <f>VLOOKUP(B1352,'[1]BASE DE DATOS'!$A$5:$E$964,5,FALSE)</f>
        <v>400</v>
      </c>
      <c r="G1352" s="161">
        <v>1</v>
      </c>
      <c r="H1352" s="252">
        <f>IF(G1352&gt;0,(G1352*F1352*E1352),(F1352*E1352))</f>
        <v>800</v>
      </c>
      <c r="I1352" s="915"/>
    </row>
    <row r="1353" spans="1:9" customFormat="1" ht="12.75" x14ac:dyDescent="0.2">
      <c r="A1353" s="1083"/>
      <c r="B1353" s="537" t="s">
        <v>1860</v>
      </c>
      <c r="C1353" s="151" t="s">
        <v>2830</v>
      </c>
      <c r="D1353" s="148" t="s">
        <v>405</v>
      </c>
      <c r="E1353" s="160">
        <v>13.5</v>
      </c>
      <c r="F1353" s="23">
        <f>VLOOKUP(B1353,'[1]BASE DE DATOS'!$A$5:$E$964,5,FALSE)</f>
        <v>2600</v>
      </c>
      <c r="G1353" s="161">
        <v>1.05</v>
      </c>
      <c r="H1353" s="252">
        <f>IF(G1353&gt;0,(G1353*F1353*E1353),(F1353*E1353))</f>
        <v>36855</v>
      </c>
      <c r="I1353" s="914"/>
    </row>
    <row r="1354" spans="1:9" customFormat="1" ht="12.75" x14ac:dyDescent="0.2">
      <c r="A1354" s="1083"/>
      <c r="B1354" s="537" t="s">
        <v>1861</v>
      </c>
      <c r="C1354" s="150" t="s">
        <v>2129</v>
      </c>
      <c r="D1354" s="148" t="s">
        <v>411</v>
      </c>
      <c r="E1354" s="160">
        <v>1</v>
      </c>
      <c r="F1354" s="23">
        <f>VLOOKUP(B1354,'[1]BASE DE DATOS'!$A$5:$E$964,5,FALSE)</f>
        <v>1890</v>
      </c>
      <c r="G1354" s="161">
        <v>1</v>
      </c>
      <c r="H1354" s="252">
        <f>IF(G1354&gt;0,(G1354*F1354*E1354),(F1354*E1354))</f>
        <v>1890</v>
      </c>
      <c r="I1354" s="914"/>
    </row>
    <row r="1355" spans="1:9" customFormat="1" ht="12.75" x14ac:dyDescent="0.2">
      <c r="A1355" s="1083"/>
      <c r="B1355" s="537" t="s">
        <v>1342</v>
      </c>
      <c r="C1355" s="151" t="s">
        <v>2131</v>
      </c>
      <c r="D1355" s="148" t="s">
        <v>256</v>
      </c>
      <c r="E1355" s="160">
        <v>1</v>
      </c>
      <c r="F1355" s="23">
        <f>VLOOKUP(B1355,'[1]BASE DE DATOS'!$A$5:$E$964,5,FALSE)</f>
        <v>28050</v>
      </c>
      <c r="G1355" s="161">
        <v>5.2999999999999999E-2</v>
      </c>
      <c r="H1355" s="252">
        <f>IF(G1355&gt;0,(G1355*F1355*E1355),(F1355*E1355))</f>
        <v>1486.6499999999999</v>
      </c>
      <c r="I1355" s="914"/>
    </row>
    <row r="1356" spans="1:9" customFormat="1" ht="12.75" x14ac:dyDescent="0.2">
      <c r="A1356" s="1083"/>
      <c r="B1356" s="537" t="s">
        <v>1859</v>
      </c>
      <c r="C1356" s="151" t="s">
        <v>2130</v>
      </c>
      <c r="D1356" s="148" t="s">
        <v>411</v>
      </c>
      <c r="E1356" s="160">
        <v>2</v>
      </c>
      <c r="F1356" s="23">
        <f>VLOOKUP(B1356,'[1]BASE DE DATOS'!$A$5:$E$964,5,FALSE)</f>
        <v>2350</v>
      </c>
      <c r="G1356" s="712">
        <v>1</v>
      </c>
      <c r="H1356" s="252">
        <f>IF(G1356&gt;0,(G1356*F1356*E1356),(F1356*E1356))</f>
        <v>4700</v>
      </c>
      <c r="I1356" s="914"/>
    </row>
    <row r="1357" spans="1:9" customFormat="1" ht="12.75" x14ac:dyDescent="0.2">
      <c r="A1357" s="1083"/>
      <c r="B1357" s="537" t="s">
        <v>1805</v>
      </c>
      <c r="C1357" s="151" t="s">
        <v>2127</v>
      </c>
      <c r="D1357" s="148" t="s">
        <v>411</v>
      </c>
      <c r="E1357" s="160">
        <v>1</v>
      </c>
      <c r="F1357" s="23">
        <f>VLOOKUP(B1357,'[1]BASE DE DATOS'!$A$5:$E$964,5,FALSE)</f>
        <v>1100</v>
      </c>
      <c r="G1357" s="161">
        <v>1</v>
      </c>
      <c r="H1357" s="252">
        <f t="shared" si="107"/>
        <v>1100</v>
      </c>
      <c r="I1357" s="914"/>
    </row>
    <row r="1358" spans="1:9" customFormat="1" ht="12.75" x14ac:dyDescent="0.2">
      <c r="A1358" s="1083"/>
      <c r="B1358" s="537" t="s">
        <v>1858</v>
      </c>
      <c r="C1358" s="151" t="s">
        <v>2132</v>
      </c>
      <c r="D1358" s="148" t="s">
        <v>411</v>
      </c>
      <c r="E1358" s="160">
        <v>1</v>
      </c>
      <c r="F1358" s="23">
        <f>VLOOKUP(B1358,'[1]BASE DE DATOS'!$A$5:$E$964,5,FALSE)</f>
        <v>10300</v>
      </c>
      <c r="G1358" s="161">
        <v>1</v>
      </c>
      <c r="H1358" s="252">
        <f>IF(G1358&gt;0,(G1358*F1358*E1358),(F1358*E1358))</f>
        <v>10300</v>
      </c>
      <c r="I1358" s="914"/>
    </row>
    <row r="1359" spans="1:9" customFormat="1" ht="12.75" x14ac:dyDescent="0.2">
      <c r="A1359" s="1083"/>
      <c r="B1359" s="537" t="s">
        <v>1462</v>
      </c>
      <c r="C1359" s="151" t="s">
        <v>1</v>
      </c>
      <c r="D1359" s="148" t="s">
        <v>642</v>
      </c>
      <c r="E1359" s="160">
        <v>0.25</v>
      </c>
      <c r="F1359" s="23">
        <f>VLOOKUP(B1359,'[1]BASE DE DATOS'!$A$5:$E$964,5,FALSE)</f>
        <v>46900</v>
      </c>
      <c r="G1359" s="161">
        <v>0.01</v>
      </c>
      <c r="H1359" s="252">
        <f t="shared" si="107"/>
        <v>117.25</v>
      </c>
      <c r="I1359" s="914"/>
    </row>
    <row r="1360" spans="1:9" customFormat="1" ht="12.75" x14ac:dyDescent="0.2">
      <c r="A1360" s="1083"/>
      <c r="B1360" s="537" t="s">
        <v>1701</v>
      </c>
      <c r="C1360" s="151" t="s">
        <v>2652</v>
      </c>
      <c r="D1360" s="148" t="s">
        <v>411</v>
      </c>
      <c r="E1360" s="160">
        <v>0.7</v>
      </c>
      <c r="F1360" s="23">
        <f>VLOOKUP(B1360,'[1]BASE DE DATOS'!$A$5:$E$964,5,FALSE)</f>
        <v>80900</v>
      </c>
      <c r="G1360" s="161">
        <v>0.01</v>
      </c>
      <c r="H1360" s="252">
        <f t="shared" si="107"/>
        <v>566.29999999999995</v>
      </c>
      <c r="I1360" s="914"/>
    </row>
    <row r="1361" spans="1:9" customFormat="1" ht="14.25" customHeight="1" x14ac:dyDescent="0.2">
      <c r="A1361" s="1083"/>
      <c r="B1361" s="537" t="s">
        <v>1863</v>
      </c>
      <c r="C1361" s="151" t="s">
        <v>3073</v>
      </c>
      <c r="D1361" s="148" t="s">
        <v>405</v>
      </c>
      <c r="E1361" s="160">
        <v>4.5</v>
      </c>
      <c r="F1361" s="23">
        <f>VLOOKUP(B1361,'[1]BASE DE DATOS'!$A$5:$E$964,5,FALSE)</f>
        <v>1283.3333333333333</v>
      </c>
      <c r="G1361" s="161">
        <v>1.03</v>
      </c>
      <c r="H1361" s="252">
        <f>IF(G1361&gt;0,(G1361*F1361*E1361),(F1361*E1361))</f>
        <v>5948.25</v>
      </c>
      <c r="I1361" s="914"/>
    </row>
    <row r="1362" spans="1:9" customFormat="1" x14ac:dyDescent="0.2">
      <c r="A1362" s="797" t="s">
        <v>3252</v>
      </c>
      <c r="B1362" s="537" t="s">
        <v>810</v>
      </c>
      <c r="C1362" s="151" t="s">
        <v>2097</v>
      </c>
      <c r="D1362" s="148" t="s">
        <v>1920</v>
      </c>
      <c r="E1362" s="160">
        <v>4.0000000000000001E-3</v>
      </c>
      <c r="F1362" s="23">
        <f>+[1]CONSTRUCCION!$F$90</f>
        <v>525897</v>
      </c>
      <c r="G1362" s="161">
        <v>1.05</v>
      </c>
      <c r="H1362" s="252">
        <f t="shared" ref="H1362:H1420" si="108">IF(G1362&gt;0,(G1362*F1362*E1362),(F1362*E1362))</f>
        <v>2208.7674000000002</v>
      </c>
      <c r="I1362" s="914"/>
    </row>
    <row r="1363" spans="1:9" customFormat="1" ht="12.75" x14ac:dyDescent="0.2">
      <c r="A1363" s="63" t="s">
        <v>294</v>
      </c>
      <c r="B1363" s="537" t="s">
        <v>252</v>
      </c>
      <c r="C1363" s="151" t="s">
        <v>396</v>
      </c>
      <c r="D1363" s="148" t="s">
        <v>585</v>
      </c>
      <c r="E1363" s="161">
        <v>1</v>
      </c>
      <c r="F1363" s="23">
        <f>VLOOKUP(B1363,'[1]BASE DE DATOS'!$A$5:$E$964,5,FALSE)</f>
        <v>319246</v>
      </c>
      <c r="G1363" s="161">
        <f>1/7.1426</f>
        <v>0.14000504018144652</v>
      </c>
      <c r="H1363" s="252">
        <f t="shared" si="108"/>
        <v>44696.049057766075</v>
      </c>
      <c r="I1363" s="914"/>
    </row>
    <row r="1364" spans="1:9" customFormat="1" ht="13.5" thickBot="1" x14ac:dyDescent="0.25">
      <c r="A1364" s="128" t="s">
        <v>293</v>
      </c>
      <c r="B1364" s="537" t="s">
        <v>269</v>
      </c>
      <c r="C1364" s="616" t="s">
        <v>284</v>
      </c>
      <c r="D1364" s="148" t="s">
        <v>2199</v>
      </c>
      <c r="E1364" s="160">
        <v>0.1</v>
      </c>
      <c r="F1364" s="845">
        <f>+H1363</f>
        <v>44696.049057766075</v>
      </c>
      <c r="G1364" s="618">
        <v>1</v>
      </c>
      <c r="H1364" s="479">
        <f t="shared" si="108"/>
        <v>4469.6049057766077</v>
      </c>
      <c r="I1364" s="914"/>
    </row>
    <row r="1365" spans="1:9" s="42" customFormat="1" ht="30" x14ac:dyDescent="0.2">
      <c r="A1365" s="294" t="s">
        <v>3188</v>
      </c>
      <c r="B1365" s="876"/>
      <c r="C1365" s="300" t="s">
        <v>1224</v>
      </c>
      <c r="D1365" s="301" t="s">
        <v>411</v>
      </c>
      <c r="E1365" s="302"/>
      <c r="F1365" s="259">
        <f>ROUND(SUM(H1365:H1378),0)</f>
        <v>118283</v>
      </c>
      <c r="G1365" s="713"/>
      <c r="H1365" s="303"/>
      <c r="I1365" s="914"/>
    </row>
    <row r="1366" spans="1:9" customFormat="1" ht="13.15" customHeight="1" x14ac:dyDescent="0.2">
      <c r="A1366" s="1083" t="s">
        <v>295</v>
      </c>
      <c r="B1366" s="537" t="s">
        <v>1862</v>
      </c>
      <c r="C1366" s="151" t="s">
        <v>2576</v>
      </c>
      <c r="D1366" s="148" t="s">
        <v>411</v>
      </c>
      <c r="E1366" s="160">
        <v>2</v>
      </c>
      <c r="F1366" s="23">
        <f>VLOOKUP(B1366,'[1]BASE DE DATOS'!$A$5:$E$964,5,FALSE)</f>
        <v>400</v>
      </c>
      <c r="G1366" s="161">
        <v>1</v>
      </c>
      <c r="H1366" s="252">
        <f t="shared" ref="H1366:H1372" si="109">IF(G1366&gt;0,(G1366*F1366*E1366),(F1366*E1366))</f>
        <v>800</v>
      </c>
      <c r="I1366" s="914"/>
    </row>
    <row r="1367" spans="1:9" customFormat="1" ht="12.75" x14ac:dyDescent="0.2">
      <c r="A1367" s="1083"/>
      <c r="B1367" s="537" t="s">
        <v>1857</v>
      </c>
      <c r="C1367" s="151" t="s">
        <v>2140</v>
      </c>
      <c r="D1367" s="148" t="s">
        <v>405</v>
      </c>
      <c r="E1367" s="160">
        <v>13.5</v>
      </c>
      <c r="F1367" s="23">
        <f>VLOOKUP(B1367,'[1]BASE DE DATOS'!$A$5:$E$964,5,FALSE)</f>
        <v>2900</v>
      </c>
      <c r="G1367" s="161">
        <v>1.05</v>
      </c>
      <c r="H1367" s="252">
        <f t="shared" si="109"/>
        <v>41107.5</v>
      </c>
      <c r="I1367" s="914"/>
    </row>
    <row r="1368" spans="1:9" customFormat="1" ht="12.75" x14ac:dyDescent="0.2">
      <c r="A1368" s="1083"/>
      <c r="B1368" s="537" t="s">
        <v>1861</v>
      </c>
      <c r="C1368" s="150" t="s">
        <v>2129</v>
      </c>
      <c r="D1368" s="148" t="s">
        <v>411</v>
      </c>
      <c r="E1368" s="160">
        <v>1</v>
      </c>
      <c r="F1368" s="23">
        <f>VLOOKUP(B1368,'[1]BASE DE DATOS'!$A$5:$E$964,5,FALSE)</f>
        <v>1890</v>
      </c>
      <c r="G1368" s="161">
        <v>1</v>
      </c>
      <c r="H1368" s="252">
        <f t="shared" si="109"/>
        <v>1890</v>
      </c>
      <c r="I1368" s="914"/>
    </row>
    <row r="1369" spans="1:9" customFormat="1" ht="12.75" x14ac:dyDescent="0.2">
      <c r="A1369" s="1083"/>
      <c r="B1369" s="537" t="s">
        <v>1342</v>
      </c>
      <c r="C1369" s="151" t="s">
        <v>2131</v>
      </c>
      <c r="D1369" s="148" t="s">
        <v>256</v>
      </c>
      <c r="E1369" s="160">
        <v>0.5</v>
      </c>
      <c r="F1369" s="23">
        <f>VLOOKUP(B1369,'[1]BASE DE DATOS'!$A$5:$E$964,5,FALSE)</f>
        <v>28050</v>
      </c>
      <c r="G1369" s="161">
        <v>5.2999999999999999E-2</v>
      </c>
      <c r="H1369" s="252">
        <f t="shared" si="109"/>
        <v>743.32499999999993</v>
      </c>
      <c r="I1369" s="914"/>
    </row>
    <row r="1370" spans="1:9" customFormat="1" ht="12.75" x14ac:dyDescent="0.2">
      <c r="A1370" s="1083"/>
      <c r="B1370" s="537" t="s">
        <v>1859</v>
      </c>
      <c r="C1370" s="151" t="s">
        <v>2130</v>
      </c>
      <c r="D1370" s="148" t="s">
        <v>411</v>
      </c>
      <c r="E1370" s="160">
        <v>2</v>
      </c>
      <c r="F1370" s="23">
        <f>VLOOKUP(B1370,'[1]BASE DE DATOS'!$A$5:$E$964,5,FALSE)</f>
        <v>2350</v>
      </c>
      <c r="G1370" s="712">
        <v>1</v>
      </c>
      <c r="H1370" s="252">
        <f t="shared" si="109"/>
        <v>4700</v>
      </c>
      <c r="I1370" s="914"/>
    </row>
    <row r="1371" spans="1:9" customFormat="1" ht="12.75" x14ac:dyDescent="0.2">
      <c r="A1371" s="1083"/>
      <c r="B1371" s="537" t="s">
        <v>1805</v>
      </c>
      <c r="C1371" s="151" t="s">
        <v>2127</v>
      </c>
      <c r="D1371" s="148" t="s">
        <v>411</v>
      </c>
      <c r="E1371" s="160">
        <v>1</v>
      </c>
      <c r="F1371" s="23">
        <f>VLOOKUP(B1371,'[1]BASE DE DATOS'!$A$5:$E$964,5,FALSE)</f>
        <v>1100</v>
      </c>
      <c r="G1371" s="161">
        <v>1</v>
      </c>
      <c r="H1371" s="252">
        <f t="shared" si="109"/>
        <v>1100</v>
      </c>
      <c r="I1371" s="914"/>
    </row>
    <row r="1372" spans="1:9" customFormat="1" ht="12.75" x14ac:dyDescent="0.2">
      <c r="A1372" s="1083"/>
      <c r="B1372" s="537" t="s">
        <v>1858</v>
      </c>
      <c r="C1372" s="151" t="s">
        <v>2132</v>
      </c>
      <c r="D1372" s="148" t="s">
        <v>411</v>
      </c>
      <c r="E1372" s="160">
        <v>1</v>
      </c>
      <c r="F1372" s="23">
        <f>VLOOKUP(B1372,'[1]BASE DE DATOS'!$A$5:$E$964,5,FALSE)</f>
        <v>10300</v>
      </c>
      <c r="G1372" s="161">
        <v>1</v>
      </c>
      <c r="H1372" s="252">
        <f t="shared" si="109"/>
        <v>10300</v>
      </c>
      <c r="I1372" s="914"/>
    </row>
    <row r="1373" spans="1:9" customFormat="1" ht="12.75" x14ac:dyDescent="0.2">
      <c r="A1373" s="1083"/>
      <c r="B1373" s="537" t="s">
        <v>1462</v>
      </c>
      <c r="C1373" s="151" t="s">
        <v>1</v>
      </c>
      <c r="D1373" s="148" t="s">
        <v>642</v>
      </c>
      <c r="E1373" s="160">
        <v>0.25</v>
      </c>
      <c r="F1373" s="23">
        <f>VLOOKUP(B1373,'[1]BASE DE DATOS'!$A$5:$E$964,5,FALSE)</f>
        <v>46900</v>
      </c>
      <c r="G1373" s="161">
        <v>0.01</v>
      </c>
      <c r="H1373" s="252">
        <f t="shared" si="108"/>
        <v>117.25</v>
      </c>
      <c r="I1373" s="914"/>
    </row>
    <row r="1374" spans="1:9" customFormat="1" x14ac:dyDescent="0.2">
      <c r="A1374" s="1083"/>
      <c r="B1374" s="537" t="s">
        <v>1701</v>
      </c>
      <c r="C1374" s="151" t="s">
        <v>2465</v>
      </c>
      <c r="D1374" s="148" t="s">
        <v>642</v>
      </c>
      <c r="E1374" s="160">
        <v>0.25</v>
      </c>
      <c r="F1374" s="23">
        <f>VLOOKUP(B1374,'[1]BASE DE DATOS'!$A$5:$E$964,5,FALSE)</f>
        <v>80900</v>
      </c>
      <c r="G1374" s="161">
        <v>0.01</v>
      </c>
      <c r="H1374" s="252">
        <f t="shared" si="108"/>
        <v>202.25</v>
      </c>
      <c r="I1374" s="914"/>
    </row>
    <row r="1375" spans="1:9" customFormat="1" ht="13.15" customHeight="1" x14ac:dyDescent="0.2">
      <c r="A1375" s="1083"/>
      <c r="B1375" s="537" t="s">
        <v>1863</v>
      </c>
      <c r="C1375" s="151" t="s">
        <v>3073</v>
      </c>
      <c r="D1375" s="148" t="s">
        <v>405</v>
      </c>
      <c r="E1375" s="160">
        <v>4.5</v>
      </c>
      <c r="F1375" s="23">
        <f>VLOOKUP(B1375,'[1]BASE DE DATOS'!$A$5:$E$964,5,FALSE)</f>
        <v>1283.3333333333333</v>
      </c>
      <c r="G1375" s="161">
        <v>1.03</v>
      </c>
      <c r="H1375" s="252">
        <f>IF(G1375&gt;0,(G1375*F1375*E1375),(F1375*E1375))</f>
        <v>5948.25</v>
      </c>
      <c r="I1375" s="914"/>
    </row>
    <row r="1376" spans="1:9" customFormat="1" x14ac:dyDescent="0.2">
      <c r="A1376" s="797" t="s">
        <v>3252</v>
      </c>
      <c r="B1376" s="537" t="s">
        <v>810</v>
      </c>
      <c r="C1376" s="151" t="s">
        <v>2097</v>
      </c>
      <c r="D1376" s="148" t="s">
        <v>1920</v>
      </c>
      <c r="E1376" s="160">
        <v>4.0000000000000001E-3</v>
      </c>
      <c r="F1376" s="23">
        <f>+[1]CONSTRUCCION!$F$90</f>
        <v>525897</v>
      </c>
      <c r="G1376" s="161">
        <v>1.05</v>
      </c>
      <c r="H1376" s="252">
        <f t="shared" si="108"/>
        <v>2208.7674000000002</v>
      </c>
      <c r="I1376" s="914"/>
    </row>
    <row r="1377" spans="1:9" customFormat="1" ht="12.75" x14ac:dyDescent="0.2">
      <c r="A1377" s="63" t="s">
        <v>294</v>
      </c>
      <c r="B1377" s="537" t="s">
        <v>252</v>
      </c>
      <c r="C1377" s="151" t="s">
        <v>396</v>
      </c>
      <c r="D1377" s="148" t="s">
        <v>585</v>
      </c>
      <c r="E1377" s="161">
        <v>1</v>
      </c>
      <c r="F1377" s="23">
        <f>VLOOKUP(B1377,'[1]BASE DE DATOS'!$A$5:$E$964,5,FALSE)</f>
        <v>319246</v>
      </c>
      <c r="G1377" s="161">
        <f>1/7.1426</f>
        <v>0.14000504018144652</v>
      </c>
      <c r="H1377" s="252">
        <f t="shared" si="108"/>
        <v>44696.049057766075</v>
      </c>
      <c r="I1377" s="914"/>
    </row>
    <row r="1378" spans="1:9" customFormat="1" ht="13.5" thickBot="1" x14ac:dyDescent="0.25">
      <c r="A1378" s="128" t="s">
        <v>293</v>
      </c>
      <c r="B1378" s="537" t="s">
        <v>269</v>
      </c>
      <c r="C1378" s="616" t="s">
        <v>284</v>
      </c>
      <c r="D1378" s="148" t="s">
        <v>2199</v>
      </c>
      <c r="E1378" s="160">
        <v>0.1</v>
      </c>
      <c r="F1378" s="845">
        <f>+H1377</f>
        <v>44696.049057766075</v>
      </c>
      <c r="G1378" s="618">
        <v>1</v>
      </c>
      <c r="H1378" s="479">
        <f t="shared" si="108"/>
        <v>4469.6049057766077</v>
      </c>
      <c r="I1378" s="914"/>
    </row>
    <row r="1379" spans="1:9" s="42" customFormat="1" ht="31.9" customHeight="1" x14ac:dyDescent="0.2">
      <c r="A1379" s="294" t="s">
        <v>3189</v>
      </c>
      <c r="B1379" s="876"/>
      <c r="C1379" s="300" t="s">
        <v>1226</v>
      </c>
      <c r="D1379" s="301" t="s">
        <v>411</v>
      </c>
      <c r="E1379" s="302"/>
      <c r="F1379" s="259">
        <f>ROUND(SUM(H1379:H1392),0)</f>
        <v>157594</v>
      </c>
      <c r="G1379" s="713"/>
      <c r="H1379" s="303"/>
      <c r="I1379" s="914"/>
    </row>
    <row r="1380" spans="1:9" customFormat="1" ht="12.75" x14ac:dyDescent="0.2">
      <c r="A1380" s="1083" t="s">
        <v>295</v>
      </c>
      <c r="B1380" s="537" t="s">
        <v>1862</v>
      </c>
      <c r="C1380" s="151" t="s">
        <v>2576</v>
      </c>
      <c r="D1380" s="148" t="s">
        <v>411</v>
      </c>
      <c r="E1380" s="160">
        <v>2</v>
      </c>
      <c r="F1380" s="23">
        <f>VLOOKUP(B1380,'[1]BASE DE DATOS'!$A$5:$E$964,5,FALSE)</f>
        <v>400</v>
      </c>
      <c r="G1380" s="161">
        <v>1</v>
      </c>
      <c r="H1380" s="252">
        <f>IF(G1380&gt;0,(G1380*F1380*E1380),(F1380*E1380))</f>
        <v>800</v>
      </c>
      <c r="I1380" s="914"/>
    </row>
    <row r="1381" spans="1:9" customFormat="1" ht="12.75" x14ac:dyDescent="0.2">
      <c r="A1381" s="1083"/>
      <c r="B1381" s="537" t="s">
        <v>1860</v>
      </c>
      <c r="C1381" s="151" t="s">
        <v>2830</v>
      </c>
      <c r="D1381" s="148" t="s">
        <v>405</v>
      </c>
      <c r="E1381" s="160">
        <v>27</v>
      </c>
      <c r="F1381" s="23">
        <f>VLOOKUP(B1381,'[1]BASE DE DATOS'!$A$5:$E$964,5,FALSE)</f>
        <v>2600</v>
      </c>
      <c r="G1381" s="161">
        <v>1.05</v>
      </c>
      <c r="H1381" s="252">
        <f>IF(G1381&gt;0,(G1381*F1381*E1381),(F1381*E1381))</f>
        <v>73710</v>
      </c>
      <c r="I1381" s="914"/>
    </row>
    <row r="1382" spans="1:9" customFormat="1" ht="12.75" x14ac:dyDescent="0.2">
      <c r="A1382" s="1083"/>
      <c r="B1382" s="537" t="s">
        <v>1861</v>
      </c>
      <c r="C1382" s="150" t="s">
        <v>2129</v>
      </c>
      <c r="D1382" s="148" t="s">
        <v>411</v>
      </c>
      <c r="E1382" s="160">
        <v>1</v>
      </c>
      <c r="F1382" s="23">
        <f>VLOOKUP(B1382,'[1]BASE DE DATOS'!$A$5:$E$964,5,FALSE)</f>
        <v>1890</v>
      </c>
      <c r="G1382" s="161">
        <v>1</v>
      </c>
      <c r="H1382" s="252">
        <f>IF(G1382&gt;0,(G1382*F1382*E1382),(F1382*E1382))</f>
        <v>1890</v>
      </c>
      <c r="I1382" s="914"/>
    </row>
    <row r="1383" spans="1:9" customFormat="1" ht="12.75" x14ac:dyDescent="0.2">
      <c r="A1383" s="1083"/>
      <c r="B1383" s="537" t="s">
        <v>1342</v>
      </c>
      <c r="C1383" s="151" t="s">
        <v>2131</v>
      </c>
      <c r="D1383" s="148" t="s">
        <v>256</v>
      </c>
      <c r="E1383" s="160">
        <v>0.5</v>
      </c>
      <c r="F1383" s="23">
        <f>VLOOKUP(B1383,'[1]BASE DE DATOS'!$A$5:$E$964,5,FALSE)</f>
        <v>28050</v>
      </c>
      <c r="G1383" s="161">
        <v>5.2999999999999999E-2</v>
      </c>
      <c r="H1383" s="252">
        <f>IF(G1383&gt;0,(G1383*F1383*E1383),(F1383*E1383))</f>
        <v>743.32499999999993</v>
      </c>
      <c r="I1383" s="914"/>
    </row>
    <row r="1384" spans="1:9" customFormat="1" ht="12.75" x14ac:dyDescent="0.2">
      <c r="A1384" s="1083"/>
      <c r="B1384" s="537" t="s">
        <v>1859</v>
      </c>
      <c r="C1384" s="151" t="s">
        <v>2130</v>
      </c>
      <c r="D1384" s="148" t="s">
        <v>411</v>
      </c>
      <c r="E1384" s="160">
        <v>2</v>
      </c>
      <c r="F1384" s="23">
        <f>VLOOKUP(B1384,'[1]BASE DE DATOS'!$A$5:$E$964,5,FALSE)</f>
        <v>2350</v>
      </c>
      <c r="G1384" s="712">
        <v>1</v>
      </c>
      <c r="H1384" s="252">
        <f>IF(G1384&gt;0,(G1384*F1384*E1384),(F1384*E1384))</f>
        <v>4700</v>
      </c>
      <c r="I1384" s="914"/>
    </row>
    <row r="1385" spans="1:9" customFormat="1" ht="12.75" x14ac:dyDescent="0.2">
      <c r="A1385" s="1083"/>
      <c r="B1385" s="537" t="s">
        <v>1805</v>
      </c>
      <c r="C1385" s="151" t="s">
        <v>2127</v>
      </c>
      <c r="D1385" s="148" t="s">
        <v>411</v>
      </c>
      <c r="E1385" s="160">
        <v>1</v>
      </c>
      <c r="F1385" s="23">
        <f>VLOOKUP(B1385,'[1]BASE DE DATOS'!$A$5:$E$964,5,FALSE)</f>
        <v>1100</v>
      </c>
      <c r="G1385" s="161">
        <v>1</v>
      </c>
      <c r="H1385" s="252">
        <f t="shared" si="108"/>
        <v>1100</v>
      </c>
      <c r="I1385" s="914"/>
    </row>
    <row r="1386" spans="1:9" customFormat="1" ht="12.75" x14ac:dyDescent="0.2">
      <c r="A1386" s="1083"/>
      <c r="B1386" s="537" t="s">
        <v>1856</v>
      </c>
      <c r="C1386" s="151" t="s">
        <v>3230</v>
      </c>
      <c r="D1386" s="148" t="s">
        <v>411</v>
      </c>
      <c r="E1386" s="160">
        <v>1</v>
      </c>
      <c r="F1386" s="23">
        <f>VLOOKUP(B1386,'[1]BASE DE DATOS'!$A$5:$E$964,5,FALSE)</f>
        <v>7550</v>
      </c>
      <c r="G1386" s="161">
        <v>1</v>
      </c>
      <c r="H1386" s="252">
        <f>IF(G1386&gt;0,(G1386*F1386*E1386),(F1386*E1386))</f>
        <v>7550</v>
      </c>
      <c r="I1386" s="914"/>
    </row>
    <row r="1387" spans="1:9" customFormat="1" ht="12.75" x14ac:dyDescent="0.2">
      <c r="A1387" s="1083"/>
      <c r="B1387" s="537" t="s">
        <v>1462</v>
      </c>
      <c r="C1387" s="151" t="s">
        <v>2128</v>
      </c>
      <c r="D1387" s="148" t="s">
        <v>642</v>
      </c>
      <c r="E1387" s="160">
        <v>0.25</v>
      </c>
      <c r="F1387" s="23">
        <f>VLOOKUP(B1387,'[1]BASE DE DATOS'!$A$5:$E$964,5,FALSE)</f>
        <v>46900</v>
      </c>
      <c r="G1387" s="161">
        <v>0.01</v>
      </c>
      <c r="H1387" s="252">
        <f t="shared" si="108"/>
        <v>117.25</v>
      </c>
      <c r="I1387" s="914"/>
    </row>
    <row r="1388" spans="1:9" customFormat="1" x14ac:dyDescent="0.2">
      <c r="A1388" s="1083"/>
      <c r="B1388" s="537" t="s">
        <v>1701</v>
      </c>
      <c r="C1388" s="151" t="s">
        <v>2465</v>
      </c>
      <c r="D1388" s="148" t="s">
        <v>642</v>
      </c>
      <c r="E1388" s="160">
        <v>0.25</v>
      </c>
      <c r="F1388" s="23">
        <f>VLOOKUP(B1388,'[1]BASE DE DATOS'!$A$5:$E$964,5,FALSE)</f>
        <v>80900</v>
      </c>
      <c r="G1388" s="161">
        <v>0.01</v>
      </c>
      <c r="H1388" s="252">
        <f t="shared" si="108"/>
        <v>202.25</v>
      </c>
      <c r="I1388" s="914"/>
    </row>
    <row r="1389" spans="1:9" customFormat="1" ht="13.15" customHeight="1" x14ac:dyDescent="0.2">
      <c r="A1389" s="1083"/>
      <c r="B1389" s="537" t="s">
        <v>1863</v>
      </c>
      <c r="C1389" s="151" t="s">
        <v>3073</v>
      </c>
      <c r="D1389" s="148" t="s">
        <v>405</v>
      </c>
      <c r="E1389" s="160">
        <v>9</v>
      </c>
      <c r="F1389" s="23">
        <f>VLOOKUP(B1389,'[1]BASE DE DATOS'!$A$5:$E$964,5,FALSE)</f>
        <v>1283.3333333333333</v>
      </c>
      <c r="G1389" s="161">
        <v>1.03</v>
      </c>
      <c r="H1389" s="252">
        <f>IF(G1389&gt;0,(G1389*F1389*E1389),(F1389*E1389))</f>
        <v>11896.5</v>
      </c>
      <c r="I1389" s="914"/>
    </row>
    <row r="1390" spans="1:9" customFormat="1" x14ac:dyDescent="0.2">
      <c r="A1390" s="797" t="s">
        <v>3252</v>
      </c>
      <c r="B1390" s="537" t="s">
        <v>810</v>
      </c>
      <c r="C1390" s="151" t="s">
        <v>2097</v>
      </c>
      <c r="D1390" s="148" t="s">
        <v>1920</v>
      </c>
      <c r="E1390" s="160">
        <v>4.0000000000000001E-3</v>
      </c>
      <c r="F1390" s="23">
        <f>+[1]CONSTRUCCION!$F$90</f>
        <v>525897</v>
      </c>
      <c r="G1390" s="161">
        <v>1.05</v>
      </c>
      <c r="H1390" s="252">
        <f t="shared" si="108"/>
        <v>2208.7674000000002</v>
      </c>
      <c r="I1390" s="914"/>
    </row>
    <row r="1391" spans="1:9" customFormat="1" ht="12.75" x14ac:dyDescent="0.2">
      <c r="A1391" s="63" t="s">
        <v>294</v>
      </c>
      <c r="B1391" s="537" t="s">
        <v>252</v>
      </c>
      <c r="C1391" s="151" t="s">
        <v>396</v>
      </c>
      <c r="D1391" s="148" t="s">
        <v>585</v>
      </c>
      <c r="E1391" s="161">
        <v>1</v>
      </c>
      <c r="F1391" s="23">
        <f>VLOOKUP(B1391,'[1]BASE DE DATOS'!$A$5:$E$964,5,FALSE)</f>
        <v>319246</v>
      </c>
      <c r="G1391" s="161">
        <f>1/6.66667</f>
        <v>0.1499999250000375</v>
      </c>
      <c r="H1391" s="252">
        <f t="shared" si="108"/>
        <v>47886.876056561974</v>
      </c>
      <c r="I1391" s="914"/>
    </row>
    <row r="1392" spans="1:9" customFormat="1" ht="13.5" thickBot="1" x14ac:dyDescent="0.25">
      <c r="A1392" s="128" t="s">
        <v>293</v>
      </c>
      <c r="B1392" s="537" t="s">
        <v>269</v>
      </c>
      <c r="C1392" s="616" t="s">
        <v>284</v>
      </c>
      <c r="D1392" s="148" t="s">
        <v>2199</v>
      </c>
      <c r="E1392" s="160">
        <v>0.1</v>
      </c>
      <c r="F1392" s="845">
        <f>+H1391</f>
        <v>47886.876056561974</v>
      </c>
      <c r="G1392" s="618">
        <v>1</v>
      </c>
      <c r="H1392" s="479">
        <f t="shared" si="108"/>
        <v>4788.6876056561978</v>
      </c>
      <c r="I1392" s="914"/>
    </row>
    <row r="1393" spans="1:9" s="42" customFormat="1" ht="30" x14ac:dyDescent="0.2">
      <c r="A1393" s="294" t="s">
        <v>3190</v>
      </c>
      <c r="B1393" s="876"/>
      <c r="C1393" s="300" t="s">
        <v>1227</v>
      </c>
      <c r="D1393" s="301" t="s">
        <v>411</v>
      </c>
      <c r="E1393" s="302"/>
      <c r="F1393" s="259">
        <f>ROUND(SUM(H1393:H1406),0)</f>
        <v>132597</v>
      </c>
      <c r="G1393" s="713"/>
      <c r="H1393" s="303"/>
      <c r="I1393" s="914"/>
    </row>
    <row r="1394" spans="1:9" customFormat="1" ht="13.15" customHeight="1" x14ac:dyDescent="0.2">
      <c r="A1394" s="1083" t="s">
        <v>295</v>
      </c>
      <c r="B1394" s="537" t="s">
        <v>1862</v>
      </c>
      <c r="C1394" s="52" t="s">
        <v>2576</v>
      </c>
      <c r="D1394" s="148" t="s">
        <v>411</v>
      </c>
      <c r="E1394" s="160">
        <v>2</v>
      </c>
      <c r="F1394" s="23">
        <f>VLOOKUP(B1394,'[1]BASE DE DATOS'!$A$5:$E$964,5,FALSE)</f>
        <v>400</v>
      </c>
      <c r="G1394" s="161">
        <v>1</v>
      </c>
      <c r="H1394" s="252">
        <f>IF(G1394&gt;0,(G1394*F1394*E1394),(F1394*E1394))</f>
        <v>800</v>
      </c>
      <c r="I1394" s="914"/>
    </row>
    <row r="1395" spans="1:9" customFormat="1" ht="12.75" x14ac:dyDescent="0.2">
      <c r="A1395" s="1083"/>
      <c r="B1395" s="537" t="s">
        <v>1857</v>
      </c>
      <c r="C1395" s="52" t="s">
        <v>2140</v>
      </c>
      <c r="D1395" s="148" t="s">
        <v>405</v>
      </c>
      <c r="E1395" s="160">
        <v>18</v>
      </c>
      <c r="F1395" s="23">
        <f>VLOOKUP(B1395,'[1]BASE DE DATOS'!$A$5:$E$964,5,FALSE)</f>
        <v>2900</v>
      </c>
      <c r="G1395" s="161">
        <v>1.05</v>
      </c>
      <c r="H1395" s="252">
        <f>IF(G1395&gt;0,(G1395*F1395*E1395),(F1395*E1395))</f>
        <v>54810</v>
      </c>
      <c r="I1395" s="914"/>
    </row>
    <row r="1396" spans="1:9" customFormat="1" ht="12.75" x14ac:dyDescent="0.2">
      <c r="A1396" s="1083"/>
      <c r="B1396" s="537" t="s">
        <v>1861</v>
      </c>
      <c r="C1396" s="150" t="s">
        <v>2129</v>
      </c>
      <c r="D1396" s="148" t="s">
        <v>411</v>
      </c>
      <c r="E1396" s="160">
        <v>1</v>
      </c>
      <c r="F1396" s="23">
        <f>VLOOKUP(B1396,'[1]BASE DE DATOS'!$A$5:$E$964,5,FALSE)</f>
        <v>1890</v>
      </c>
      <c r="G1396" s="161">
        <v>1</v>
      </c>
      <c r="H1396" s="252">
        <f>IF(G1396&gt;0,(G1396*F1396*E1396),(F1396*E1396))</f>
        <v>1890</v>
      </c>
      <c r="I1396" s="914"/>
    </row>
    <row r="1397" spans="1:9" customFormat="1" ht="12.75" x14ac:dyDescent="0.2">
      <c r="A1397" s="1083"/>
      <c r="B1397" s="537" t="s">
        <v>1342</v>
      </c>
      <c r="C1397" s="52" t="s">
        <v>2131</v>
      </c>
      <c r="D1397" s="148" t="s">
        <v>256</v>
      </c>
      <c r="E1397" s="160">
        <v>0.4</v>
      </c>
      <c r="F1397" s="23">
        <f>VLOOKUP(B1397,'[1]BASE DE DATOS'!$A$5:$E$964,5,FALSE)</f>
        <v>28050</v>
      </c>
      <c r="G1397" s="161">
        <v>5.2999999999999999E-2</v>
      </c>
      <c r="H1397" s="252">
        <f>IF(G1397&gt;0,(G1397*F1397*E1397),(F1397*E1397))</f>
        <v>594.66</v>
      </c>
      <c r="I1397" s="914"/>
    </row>
    <row r="1398" spans="1:9" customFormat="1" ht="12.75" x14ac:dyDescent="0.2">
      <c r="A1398" s="1083"/>
      <c r="B1398" s="537" t="s">
        <v>1859</v>
      </c>
      <c r="C1398" s="52" t="s">
        <v>2130</v>
      </c>
      <c r="D1398" s="148" t="s">
        <v>411</v>
      </c>
      <c r="E1398" s="160">
        <v>2</v>
      </c>
      <c r="F1398" s="23">
        <f>VLOOKUP(B1398,'[1]BASE DE DATOS'!$A$5:$E$964,5,FALSE)</f>
        <v>2350</v>
      </c>
      <c r="G1398" s="712">
        <v>1</v>
      </c>
      <c r="H1398" s="252">
        <f>IF(G1398&gt;0,(G1398*F1398*E1398),(F1398*E1398))</f>
        <v>4700</v>
      </c>
      <c r="I1398" s="914"/>
    </row>
    <row r="1399" spans="1:9" customFormat="1" ht="12.75" x14ac:dyDescent="0.2">
      <c r="A1399" s="1083"/>
      <c r="B1399" s="537" t="s">
        <v>1805</v>
      </c>
      <c r="C1399" s="52" t="s">
        <v>2127</v>
      </c>
      <c r="D1399" s="148" t="s">
        <v>411</v>
      </c>
      <c r="E1399" s="160">
        <v>1</v>
      </c>
      <c r="F1399" s="23">
        <f>VLOOKUP(B1399,'[1]BASE DE DATOS'!$A$5:$E$964,5,FALSE)</f>
        <v>1100</v>
      </c>
      <c r="G1399" s="161">
        <v>1</v>
      </c>
      <c r="H1399" s="252">
        <f t="shared" si="108"/>
        <v>1100</v>
      </c>
      <c r="I1399" s="914"/>
    </row>
    <row r="1400" spans="1:9" customFormat="1" ht="12.75" x14ac:dyDescent="0.2">
      <c r="A1400" s="1083"/>
      <c r="B1400" s="537" t="s">
        <v>1856</v>
      </c>
      <c r="C1400" s="52" t="s">
        <v>2133</v>
      </c>
      <c r="D1400" s="148" t="s">
        <v>411</v>
      </c>
      <c r="E1400" s="160">
        <v>1</v>
      </c>
      <c r="F1400" s="23">
        <f>VLOOKUP(B1400,'[1]BASE DE DATOS'!$A$5:$E$964,5,FALSE)</f>
        <v>7550</v>
      </c>
      <c r="G1400" s="161">
        <v>1</v>
      </c>
      <c r="H1400" s="252">
        <f>IF(G1400&gt;0,(G1400*F1400*E1400),(F1400*E1400))</f>
        <v>7550</v>
      </c>
      <c r="I1400" s="914"/>
    </row>
    <row r="1401" spans="1:9" customFormat="1" ht="12.75" x14ac:dyDescent="0.2">
      <c r="A1401" s="1083"/>
      <c r="B1401" s="537" t="s">
        <v>1462</v>
      </c>
      <c r="C1401" s="52" t="s">
        <v>2128</v>
      </c>
      <c r="D1401" s="148" t="s">
        <v>642</v>
      </c>
      <c r="E1401" s="160">
        <v>0.25</v>
      </c>
      <c r="F1401" s="23">
        <f>VLOOKUP(B1401,'[1]BASE DE DATOS'!$A$5:$E$964,5,FALSE)</f>
        <v>46900</v>
      </c>
      <c r="G1401" s="161">
        <v>0.01</v>
      </c>
      <c r="H1401" s="252">
        <f t="shared" si="108"/>
        <v>117.25</v>
      </c>
      <c r="I1401" s="914"/>
    </row>
    <row r="1402" spans="1:9" customFormat="1" ht="12.75" x14ac:dyDescent="0.2">
      <c r="A1402" s="1083"/>
      <c r="B1402" s="537" t="s">
        <v>1701</v>
      </c>
      <c r="C1402" s="151" t="s">
        <v>2652</v>
      </c>
      <c r="D1402" s="148" t="s">
        <v>642</v>
      </c>
      <c r="E1402" s="160">
        <v>0.25</v>
      </c>
      <c r="F1402" s="23">
        <f>VLOOKUP(B1402,'[1]BASE DE DATOS'!$A$5:$E$964,5,FALSE)</f>
        <v>80900</v>
      </c>
      <c r="G1402" s="161">
        <v>0.01</v>
      </c>
      <c r="H1402" s="252">
        <f t="shared" si="108"/>
        <v>202.25</v>
      </c>
      <c r="I1402" s="914"/>
    </row>
    <row r="1403" spans="1:9" customFormat="1" ht="13.15" customHeight="1" x14ac:dyDescent="0.2">
      <c r="A1403" s="1083"/>
      <c r="B1403" s="537" t="s">
        <v>1863</v>
      </c>
      <c r="C1403" s="52" t="s">
        <v>3073</v>
      </c>
      <c r="D1403" s="148" t="s">
        <v>405</v>
      </c>
      <c r="E1403" s="160">
        <v>4.5</v>
      </c>
      <c r="F1403" s="23">
        <f>VLOOKUP(B1403,'[1]BASE DE DATOS'!$A$5:$E$964,5,FALSE)</f>
        <v>1283.3333333333333</v>
      </c>
      <c r="G1403" s="161">
        <v>1.03</v>
      </c>
      <c r="H1403" s="252">
        <f>IF(G1403&gt;0,(G1403*F1403*E1403),(F1403*E1403))</f>
        <v>5948.25</v>
      </c>
      <c r="I1403" s="914"/>
    </row>
    <row r="1404" spans="1:9" customFormat="1" x14ac:dyDescent="0.2">
      <c r="A1404" s="797" t="s">
        <v>3252</v>
      </c>
      <c r="B1404" s="537" t="s">
        <v>810</v>
      </c>
      <c r="C1404" s="52" t="s">
        <v>2097</v>
      </c>
      <c r="D1404" s="148" t="s">
        <v>1920</v>
      </c>
      <c r="E1404" s="160">
        <v>4.0000000000000001E-3</v>
      </c>
      <c r="F1404" s="23">
        <f>+[1]CONSTRUCCION!$F$90</f>
        <v>525897</v>
      </c>
      <c r="G1404" s="161">
        <v>1.05</v>
      </c>
      <c r="H1404" s="252">
        <f t="shared" si="108"/>
        <v>2208.7674000000002</v>
      </c>
      <c r="I1404" s="914"/>
    </row>
    <row r="1405" spans="1:9" customFormat="1" ht="12.75" x14ac:dyDescent="0.2">
      <c r="A1405" s="63" t="s">
        <v>294</v>
      </c>
      <c r="B1405" s="537" t="s">
        <v>252</v>
      </c>
      <c r="C1405" s="151" t="s">
        <v>396</v>
      </c>
      <c r="D1405" s="148" t="s">
        <v>585</v>
      </c>
      <c r="E1405" s="161">
        <v>1</v>
      </c>
      <c r="F1405" s="23">
        <f>VLOOKUP(B1405,'[1]BASE DE DATOS'!$A$5:$E$964,5,FALSE)</f>
        <v>319246</v>
      </c>
      <c r="G1405" s="161">
        <f>1/6.66667</f>
        <v>0.1499999250000375</v>
      </c>
      <c r="H1405" s="252">
        <f t="shared" si="108"/>
        <v>47886.876056561974</v>
      </c>
      <c r="I1405" s="914"/>
    </row>
    <row r="1406" spans="1:9" customFormat="1" ht="13.5" thickBot="1" x14ac:dyDescent="0.25">
      <c r="A1406" s="128" t="s">
        <v>293</v>
      </c>
      <c r="B1406" s="537" t="s">
        <v>269</v>
      </c>
      <c r="C1406" s="851" t="s">
        <v>284</v>
      </c>
      <c r="D1406" s="148" t="s">
        <v>2199</v>
      </c>
      <c r="E1406" s="160">
        <v>0.1</v>
      </c>
      <c r="F1406" s="845">
        <f>+H1405</f>
        <v>47886.876056561974</v>
      </c>
      <c r="G1406" s="618">
        <v>1</v>
      </c>
      <c r="H1406" s="479">
        <f t="shared" si="108"/>
        <v>4788.6876056561978</v>
      </c>
      <c r="I1406" s="914"/>
    </row>
    <row r="1407" spans="1:9" s="42" customFormat="1" ht="34.9" customHeight="1" x14ac:dyDescent="0.2">
      <c r="A1407" s="294" t="s">
        <v>3191</v>
      </c>
      <c r="B1407" s="876"/>
      <c r="C1407" s="300" t="s">
        <v>1228</v>
      </c>
      <c r="D1407" s="301" t="s">
        <v>411</v>
      </c>
      <c r="E1407" s="302"/>
      <c r="F1407" s="259">
        <f>ROUND(SUM(H1407:H1420),0)</f>
        <v>145023</v>
      </c>
      <c r="G1407" s="713"/>
      <c r="H1407" s="303"/>
      <c r="I1407" s="914"/>
    </row>
    <row r="1408" spans="1:9" customFormat="1" ht="12.75" x14ac:dyDescent="0.2">
      <c r="A1408" s="1083" t="s">
        <v>295</v>
      </c>
      <c r="B1408" s="537" t="s">
        <v>1862</v>
      </c>
      <c r="C1408" s="151" t="s">
        <v>2576</v>
      </c>
      <c r="D1408" s="148" t="s">
        <v>411</v>
      </c>
      <c r="E1408" s="160">
        <v>2</v>
      </c>
      <c r="F1408" s="23">
        <f>VLOOKUP(B1408,'[1]BASE DE DATOS'!$A$5:$E$964,5,FALSE)</f>
        <v>400</v>
      </c>
      <c r="G1408" s="161">
        <v>1</v>
      </c>
      <c r="H1408" s="252">
        <f>IF(G1408&gt;0,(G1408*F1408*E1408),(F1408*E1408))</f>
        <v>800</v>
      </c>
      <c r="I1408" s="914"/>
    </row>
    <row r="1409" spans="1:9" customFormat="1" ht="12.75" x14ac:dyDescent="0.2">
      <c r="A1409" s="1083"/>
      <c r="B1409" s="537" t="s">
        <v>1860</v>
      </c>
      <c r="C1409" s="151" t="s">
        <v>2830</v>
      </c>
      <c r="D1409" s="148" t="s">
        <v>405</v>
      </c>
      <c r="E1409" s="160">
        <v>20</v>
      </c>
      <c r="F1409" s="23">
        <f>VLOOKUP(B1409,'[1]BASE DE DATOS'!$A$5:$E$964,5,FALSE)</f>
        <v>2600</v>
      </c>
      <c r="G1409" s="161">
        <v>1.05</v>
      </c>
      <c r="H1409" s="252">
        <f>IF(G1409&gt;0,(G1409*F1409*E1409),(F1409*E1409))</f>
        <v>54600</v>
      </c>
      <c r="I1409" s="914"/>
    </row>
    <row r="1410" spans="1:9" customFormat="1" ht="12.75" x14ac:dyDescent="0.2">
      <c r="A1410" s="1083"/>
      <c r="B1410" s="537" t="s">
        <v>1861</v>
      </c>
      <c r="C1410" s="150" t="s">
        <v>2129</v>
      </c>
      <c r="D1410" s="148" t="s">
        <v>411</v>
      </c>
      <c r="E1410" s="160">
        <v>1</v>
      </c>
      <c r="F1410" s="23">
        <f>VLOOKUP(B1410,'[1]BASE DE DATOS'!$A$5:$E$964,5,FALSE)</f>
        <v>1890</v>
      </c>
      <c r="G1410" s="161">
        <v>1</v>
      </c>
      <c r="H1410" s="252">
        <f>IF(G1410&gt;0,(G1410*F1410*E1410),(F1410*E1410))</f>
        <v>1890</v>
      </c>
      <c r="I1410" s="914"/>
    </row>
    <row r="1411" spans="1:9" customFormat="1" ht="12.75" x14ac:dyDescent="0.2">
      <c r="A1411" s="1083"/>
      <c r="B1411" s="537" t="s">
        <v>1342</v>
      </c>
      <c r="C1411" s="151" t="s">
        <v>2131</v>
      </c>
      <c r="D1411" s="148" t="s">
        <v>256</v>
      </c>
      <c r="E1411" s="160">
        <v>1</v>
      </c>
      <c r="F1411" s="23">
        <f>VLOOKUP(B1411,'[1]BASE DE DATOS'!$A$5:$E$964,5,FALSE)</f>
        <v>28050</v>
      </c>
      <c r="G1411" s="161">
        <v>5.2999999999999999E-2</v>
      </c>
      <c r="H1411" s="252">
        <f>IF(G1411&gt;0,(G1411*F1411*E1411),(F1411*E1411))</f>
        <v>1486.6499999999999</v>
      </c>
      <c r="I1411" s="914"/>
    </row>
    <row r="1412" spans="1:9" customFormat="1" ht="12.75" x14ac:dyDescent="0.2">
      <c r="A1412" s="1083"/>
      <c r="B1412" s="537" t="s">
        <v>1859</v>
      </c>
      <c r="C1412" s="151" t="s">
        <v>2130</v>
      </c>
      <c r="D1412" s="148" t="s">
        <v>411</v>
      </c>
      <c r="E1412" s="160">
        <v>2</v>
      </c>
      <c r="F1412" s="23">
        <f>VLOOKUP(B1412,'[1]BASE DE DATOS'!$A$5:$E$964,5,FALSE)</f>
        <v>2350</v>
      </c>
      <c r="G1412" s="712">
        <v>1</v>
      </c>
      <c r="H1412" s="252">
        <f>IF(G1412&gt;0,(G1412*F1412*E1412),(F1412*E1412))</f>
        <v>4700</v>
      </c>
      <c r="I1412" s="914"/>
    </row>
    <row r="1413" spans="1:9" customFormat="1" ht="12.75" x14ac:dyDescent="0.2">
      <c r="A1413" s="1083"/>
      <c r="B1413" s="537" t="s">
        <v>1805</v>
      </c>
      <c r="C1413" s="151" t="s">
        <v>2127</v>
      </c>
      <c r="D1413" s="148" t="s">
        <v>411</v>
      </c>
      <c r="E1413" s="160">
        <v>1</v>
      </c>
      <c r="F1413" s="23">
        <f>VLOOKUP(B1413,'[1]BASE DE DATOS'!$A$5:$E$964,5,FALSE)</f>
        <v>1100</v>
      </c>
      <c r="G1413" s="161">
        <v>1</v>
      </c>
      <c r="H1413" s="252">
        <f t="shared" si="108"/>
        <v>1100</v>
      </c>
      <c r="I1413" s="914"/>
    </row>
    <row r="1414" spans="1:9" customFormat="1" ht="12.75" x14ac:dyDescent="0.2">
      <c r="A1414" s="1083"/>
      <c r="B1414" s="537" t="s">
        <v>1876</v>
      </c>
      <c r="C1414" s="151" t="s">
        <v>2134</v>
      </c>
      <c r="D1414" s="148" t="s">
        <v>411</v>
      </c>
      <c r="E1414" s="160">
        <v>1</v>
      </c>
      <c r="F1414" s="23">
        <f>VLOOKUP(B1414,'[1]BASE DE DATOS'!$A$5:$E$964,5,FALSE)</f>
        <v>19294</v>
      </c>
      <c r="G1414" s="161">
        <v>1</v>
      </c>
      <c r="H1414" s="252">
        <f>IF(G1414&gt;0,(G1414*F1414*E1414),(F1414*E1414))</f>
        <v>19294</v>
      </c>
      <c r="I1414" s="914"/>
    </row>
    <row r="1415" spans="1:9" customFormat="1" ht="12.75" x14ac:dyDescent="0.2">
      <c r="A1415" s="1083"/>
      <c r="B1415" s="537" t="s">
        <v>1462</v>
      </c>
      <c r="C1415" s="151" t="s">
        <v>2128</v>
      </c>
      <c r="D1415" s="148" t="s">
        <v>642</v>
      </c>
      <c r="E1415" s="160">
        <v>0.25</v>
      </c>
      <c r="F1415" s="23">
        <f>VLOOKUP(B1415,'[1]BASE DE DATOS'!$A$5:$E$964,5,FALSE)</f>
        <v>46900</v>
      </c>
      <c r="G1415" s="161">
        <v>0.01</v>
      </c>
      <c r="H1415" s="252">
        <f t="shared" si="108"/>
        <v>117.25</v>
      </c>
      <c r="I1415" s="914"/>
    </row>
    <row r="1416" spans="1:9" customFormat="1" ht="12.75" x14ac:dyDescent="0.2">
      <c r="A1416" s="1083"/>
      <c r="B1416" s="537" t="s">
        <v>1701</v>
      </c>
      <c r="C1416" s="151" t="s">
        <v>2652</v>
      </c>
      <c r="D1416" s="148" t="s">
        <v>642</v>
      </c>
      <c r="E1416" s="160">
        <v>0.25</v>
      </c>
      <c r="F1416" s="23">
        <f>VLOOKUP(B1416,'[1]BASE DE DATOS'!$A$5:$E$964,5,FALSE)</f>
        <v>80900</v>
      </c>
      <c r="G1416" s="161">
        <v>0.01</v>
      </c>
      <c r="H1416" s="252">
        <f t="shared" si="108"/>
        <v>202.25</v>
      </c>
      <c r="I1416" s="914"/>
    </row>
    <row r="1417" spans="1:9" customFormat="1" ht="13.15" customHeight="1" x14ac:dyDescent="0.2">
      <c r="A1417" s="1083"/>
      <c r="B1417" s="537" t="s">
        <v>1863</v>
      </c>
      <c r="C1417" s="151" t="s">
        <v>3073</v>
      </c>
      <c r="D1417" s="148" t="s">
        <v>405</v>
      </c>
      <c r="E1417" s="160">
        <v>4.5</v>
      </c>
      <c r="F1417" s="23">
        <f>VLOOKUP(B1417,'[1]BASE DE DATOS'!$A$5:$E$964,5,FALSE)</f>
        <v>1283.3333333333333</v>
      </c>
      <c r="G1417" s="161">
        <v>1.03</v>
      </c>
      <c r="H1417" s="252">
        <f>IF(G1417&gt;0,(G1417*F1417*E1417),(F1417*E1417))</f>
        <v>5948.25</v>
      </c>
      <c r="I1417" s="914"/>
    </row>
    <row r="1418" spans="1:9" customFormat="1" x14ac:dyDescent="0.2">
      <c r="A1418" s="797" t="s">
        <v>3252</v>
      </c>
      <c r="B1418" s="537" t="s">
        <v>810</v>
      </c>
      <c r="C1418" s="151" t="s">
        <v>2097</v>
      </c>
      <c r="D1418" s="148" t="s">
        <v>1920</v>
      </c>
      <c r="E1418" s="160">
        <v>4.0000000000000001E-3</v>
      </c>
      <c r="F1418" s="23">
        <f>+[1]CONSTRUCCION!$F$90</f>
        <v>525897</v>
      </c>
      <c r="G1418" s="161">
        <v>1.05</v>
      </c>
      <c r="H1418" s="252">
        <f t="shared" si="108"/>
        <v>2208.7674000000002</v>
      </c>
      <c r="I1418" s="914"/>
    </row>
    <row r="1419" spans="1:9" customFormat="1" ht="12.75" x14ac:dyDescent="0.2">
      <c r="A1419" s="63" t="s">
        <v>294</v>
      </c>
      <c r="B1419" s="537" t="s">
        <v>252</v>
      </c>
      <c r="C1419" s="151" t="s">
        <v>396</v>
      </c>
      <c r="D1419" s="148" t="s">
        <v>585</v>
      </c>
      <c r="E1419" s="161">
        <v>1</v>
      </c>
      <c r="F1419" s="23">
        <f>VLOOKUP(B1419,'[1]BASE DE DATOS'!$A$5:$E$964,5,FALSE)</f>
        <v>319246</v>
      </c>
      <c r="G1419" s="161">
        <f>1/6.66667</f>
        <v>0.1499999250000375</v>
      </c>
      <c r="H1419" s="252">
        <f t="shared" si="108"/>
        <v>47886.876056561974</v>
      </c>
      <c r="I1419" s="914"/>
    </row>
    <row r="1420" spans="1:9" customFormat="1" ht="13.5" thickBot="1" x14ac:dyDescent="0.25">
      <c r="A1420" s="128" t="s">
        <v>293</v>
      </c>
      <c r="B1420" s="537" t="s">
        <v>269</v>
      </c>
      <c r="C1420" s="616" t="s">
        <v>284</v>
      </c>
      <c r="D1420" s="148" t="s">
        <v>2199</v>
      </c>
      <c r="E1420" s="160">
        <v>0.1</v>
      </c>
      <c r="F1420" s="845">
        <f>+H1419</f>
        <v>47886.876056561974</v>
      </c>
      <c r="G1420" s="618">
        <v>1</v>
      </c>
      <c r="H1420" s="479">
        <f t="shared" si="108"/>
        <v>4788.6876056561978</v>
      </c>
      <c r="I1420" s="914"/>
    </row>
    <row r="1421" spans="1:9" s="42" customFormat="1" ht="31.9" customHeight="1" x14ac:dyDescent="0.2">
      <c r="A1421" s="294" t="s">
        <v>3192</v>
      </c>
      <c r="B1421" s="876"/>
      <c r="C1421" s="300" t="s">
        <v>1229</v>
      </c>
      <c r="D1421" s="301" t="s">
        <v>411</v>
      </c>
      <c r="E1421" s="302"/>
      <c r="F1421" s="259">
        <f>ROUND(SUM(H1421:H1434),0)</f>
        <v>150943</v>
      </c>
      <c r="G1421" s="713"/>
      <c r="H1421" s="303"/>
      <c r="I1421" s="914"/>
    </row>
    <row r="1422" spans="1:9" customFormat="1" ht="12.75" x14ac:dyDescent="0.2">
      <c r="A1422" s="1083" t="s">
        <v>295</v>
      </c>
      <c r="B1422" s="537" t="s">
        <v>1862</v>
      </c>
      <c r="C1422" s="151" t="s">
        <v>2576</v>
      </c>
      <c r="D1422" s="148" t="s">
        <v>411</v>
      </c>
      <c r="E1422" s="160">
        <v>2</v>
      </c>
      <c r="F1422" s="23">
        <f>VLOOKUP(B1422,'[1]BASE DE DATOS'!$A$5:$E$964,5,FALSE)</f>
        <v>400</v>
      </c>
      <c r="G1422" s="161">
        <v>1</v>
      </c>
      <c r="H1422" s="252">
        <f>IF(G1422&gt;0,(G1422*F1422*E1422),(F1422*E1422))</f>
        <v>800</v>
      </c>
      <c r="I1422" s="914"/>
    </row>
    <row r="1423" spans="1:9" customFormat="1" ht="12.75" x14ac:dyDescent="0.2">
      <c r="A1423" s="1083"/>
      <c r="B1423" s="537" t="s">
        <v>1857</v>
      </c>
      <c r="C1423" s="151" t="str">
        <f>C1395</f>
        <v>Cable Cu aislado #12 HFFR LS</v>
      </c>
      <c r="D1423" s="148" t="s">
        <v>405</v>
      </c>
      <c r="E1423" s="160">
        <v>20</v>
      </c>
      <c r="F1423" s="23">
        <f>VLOOKUP(B1423,'[1]BASE DE DATOS'!$A$5:$E$964,5,FALSE)</f>
        <v>2900</v>
      </c>
      <c r="G1423" s="161">
        <v>1.05</v>
      </c>
      <c r="H1423" s="252">
        <f>IF(G1423&gt;0,(G1423*F1423*E1423),(F1423*E1423))</f>
        <v>60900</v>
      </c>
      <c r="I1423" s="914"/>
    </row>
    <row r="1424" spans="1:9" customFormat="1" ht="12.75" x14ac:dyDescent="0.2">
      <c r="A1424" s="1083"/>
      <c r="B1424" s="537" t="s">
        <v>1861</v>
      </c>
      <c r="C1424" s="150" t="s">
        <v>2129</v>
      </c>
      <c r="D1424" s="148" t="s">
        <v>411</v>
      </c>
      <c r="E1424" s="160">
        <v>1</v>
      </c>
      <c r="F1424" s="23">
        <f>VLOOKUP(B1424,'[1]BASE DE DATOS'!$A$5:$E$964,5,FALSE)</f>
        <v>1890</v>
      </c>
      <c r="G1424" s="161">
        <v>1</v>
      </c>
      <c r="H1424" s="252">
        <f>IF(G1424&gt;0,(G1424*F1424*E1424),(F1424*E1424))</f>
        <v>1890</v>
      </c>
      <c r="I1424" s="914"/>
    </row>
    <row r="1425" spans="1:9" customFormat="1" ht="12.75" x14ac:dyDescent="0.2">
      <c r="A1425" s="1083"/>
      <c r="B1425" s="537" t="s">
        <v>1859</v>
      </c>
      <c r="C1425" s="151" t="s">
        <v>2130</v>
      </c>
      <c r="D1425" s="148" t="s">
        <v>411</v>
      </c>
      <c r="E1425" s="160">
        <v>2</v>
      </c>
      <c r="F1425" s="23">
        <f>VLOOKUP(B1425,'[1]BASE DE DATOS'!$A$5:$E$964,5,FALSE)</f>
        <v>2350</v>
      </c>
      <c r="G1425" s="712">
        <v>1</v>
      </c>
      <c r="H1425" s="252">
        <f>IF(G1425&gt;0,(G1425*F1425*E1425),(F1425*E1425))</f>
        <v>4700</v>
      </c>
      <c r="I1425" s="914"/>
    </row>
    <row r="1426" spans="1:9" customFormat="1" ht="12.75" x14ac:dyDescent="0.2">
      <c r="A1426" s="1083"/>
      <c r="B1426" s="537" t="s">
        <v>1342</v>
      </c>
      <c r="C1426" s="151" t="s">
        <v>2131</v>
      </c>
      <c r="D1426" s="148" t="s">
        <v>256</v>
      </c>
      <c r="E1426" s="160">
        <v>0.5</v>
      </c>
      <c r="F1426" s="23">
        <f>VLOOKUP(B1426,'[1]BASE DE DATOS'!$A$5:$E$964,5,FALSE)</f>
        <v>28050</v>
      </c>
      <c r="G1426" s="161">
        <v>5.2999999999999999E-2</v>
      </c>
      <c r="H1426" s="252">
        <f>IF(G1426&gt;0,(G1426*F1426*E1426),(F1426*E1426))</f>
        <v>743.32499999999993</v>
      </c>
      <c r="I1426" s="914"/>
    </row>
    <row r="1427" spans="1:9" customFormat="1" ht="12.75" x14ac:dyDescent="0.2">
      <c r="A1427" s="1083"/>
      <c r="B1427" s="537" t="s">
        <v>1805</v>
      </c>
      <c r="C1427" s="151" t="s">
        <v>2127</v>
      </c>
      <c r="D1427" s="148" t="s">
        <v>411</v>
      </c>
      <c r="E1427" s="160">
        <v>1</v>
      </c>
      <c r="F1427" s="23">
        <f>VLOOKUP(B1427,'[1]BASE DE DATOS'!$A$5:$E$964,5,FALSE)</f>
        <v>1100</v>
      </c>
      <c r="G1427" s="161">
        <v>1</v>
      </c>
      <c r="H1427" s="252">
        <f t="shared" ref="H1427:H1448" si="110">IF(G1427&gt;0,(G1427*F1427*E1427),(F1427*E1427))</f>
        <v>1100</v>
      </c>
      <c r="I1427" s="914"/>
    </row>
    <row r="1428" spans="1:9" customFormat="1" ht="12.75" x14ac:dyDescent="0.2">
      <c r="A1428" s="1083"/>
      <c r="B1428" s="537" t="s">
        <v>1876</v>
      </c>
      <c r="C1428" s="151" t="s">
        <v>2134</v>
      </c>
      <c r="D1428" s="148" t="s">
        <v>411</v>
      </c>
      <c r="E1428" s="160">
        <v>1</v>
      </c>
      <c r="F1428" s="23">
        <f>VLOOKUP(B1428,'[1]BASE DE DATOS'!$A$5:$E$964,5,FALSE)</f>
        <v>19294</v>
      </c>
      <c r="G1428" s="161">
        <v>1</v>
      </c>
      <c r="H1428" s="252">
        <f>IF(G1428&gt;0,(G1428*F1428*E1428),(F1428*E1428))</f>
        <v>19294</v>
      </c>
      <c r="I1428" s="914"/>
    </row>
    <row r="1429" spans="1:9" customFormat="1" ht="12.75" x14ac:dyDescent="0.2">
      <c r="A1429" s="1083"/>
      <c r="B1429" s="537" t="s">
        <v>1462</v>
      </c>
      <c r="C1429" s="151" t="s">
        <v>1</v>
      </c>
      <c r="D1429" s="148" t="s">
        <v>642</v>
      </c>
      <c r="E1429" s="160">
        <v>0.25</v>
      </c>
      <c r="F1429" s="23">
        <f>VLOOKUP(B1429,'[1]BASE DE DATOS'!$A$5:$E$964,5,FALSE)</f>
        <v>46900</v>
      </c>
      <c r="G1429" s="161">
        <v>0.01</v>
      </c>
      <c r="H1429" s="252">
        <f t="shared" si="110"/>
        <v>117.25</v>
      </c>
      <c r="I1429" s="914"/>
    </row>
    <row r="1430" spans="1:9" customFormat="1" ht="12.75" x14ac:dyDescent="0.2">
      <c r="A1430" s="1083"/>
      <c r="B1430" s="537" t="s">
        <v>1701</v>
      </c>
      <c r="C1430" s="151" t="s">
        <v>2652</v>
      </c>
      <c r="D1430" s="148" t="s">
        <v>411</v>
      </c>
      <c r="E1430" s="160">
        <v>0.7</v>
      </c>
      <c r="F1430" s="23">
        <f>VLOOKUP(B1430,'[1]BASE DE DATOS'!$A$5:$E$964,5,FALSE)</f>
        <v>80900</v>
      </c>
      <c r="G1430" s="161">
        <v>0.01</v>
      </c>
      <c r="H1430" s="252">
        <f t="shared" si="110"/>
        <v>566.29999999999995</v>
      </c>
      <c r="I1430" s="914"/>
    </row>
    <row r="1431" spans="1:9" customFormat="1" ht="13.15" customHeight="1" x14ac:dyDescent="0.2">
      <c r="A1431" s="1083"/>
      <c r="B1431" s="537" t="s">
        <v>1863</v>
      </c>
      <c r="C1431" s="151" t="s">
        <v>3073</v>
      </c>
      <c r="D1431" s="148" t="s">
        <v>405</v>
      </c>
      <c r="E1431" s="160">
        <v>4.5</v>
      </c>
      <c r="F1431" s="23">
        <f>VLOOKUP(B1431,'[1]BASE DE DATOS'!$A$5:$E$964,5,FALSE)</f>
        <v>1283.3333333333333</v>
      </c>
      <c r="G1431" s="161">
        <v>1.03</v>
      </c>
      <c r="H1431" s="252">
        <f>IF(G1431&gt;0,(G1431*F1431*E1431),(F1431*E1431))</f>
        <v>5948.25</v>
      </c>
      <c r="I1431" s="914"/>
    </row>
    <row r="1432" spans="1:9" customFormat="1" x14ac:dyDescent="0.2">
      <c r="A1432" s="797" t="s">
        <v>3252</v>
      </c>
      <c r="B1432" s="537" t="s">
        <v>810</v>
      </c>
      <c r="C1432" s="151" t="s">
        <v>2097</v>
      </c>
      <c r="D1432" s="148" t="s">
        <v>1920</v>
      </c>
      <c r="E1432" s="160">
        <v>4.0000000000000001E-3</v>
      </c>
      <c r="F1432" s="23">
        <f>+[1]CONSTRUCCION!$F$90</f>
        <v>525897</v>
      </c>
      <c r="G1432" s="161">
        <v>1.05</v>
      </c>
      <c r="H1432" s="252">
        <f t="shared" si="110"/>
        <v>2208.7674000000002</v>
      </c>
      <c r="I1432" s="914"/>
    </row>
    <row r="1433" spans="1:9" customFormat="1" ht="12.75" x14ac:dyDescent="0.2">
      <c r="A1433" s="63" t="s">
        <v>294</v>
      </c>
      <c r="B1433" s="537" t="s">
        <v>252</v>
      </c>
      <c r="C1433" s="151" t="s">
        <v>396</v>
      </c>
      <c r="D1433" s="148" t="s">
        <v>585</v>
      </c>
      <c r="E1433" s="161">
        <v>1</v>
      </c>
      <c r="F1433" s="23">
        <f>VLOOKUP(B1433,'[1]BASE DE DATOS'!$A$5:$E$964,5,FALSE)</f>
        <v>319246</v>
      </c>
      <c r="G1433" s="161">
        <f>1/6.66667</f>
        <v>0.1499999250000375</v>
      </c>
      <c r="H1433" s="252">
        <f t="shared" si="110"/>
        <v>47886.876056561974</v>
      </c>
      <c r="I1433" s="914"/>
    </row>
    <row r="1434" spans="1:9" customFormat="1" ht="13.5" thickBot="1" x14ac:dyDescent="0.25">
      <c r="A1434" s="128" t="s">
        <v>293</v>
      </c>
      <c r="B1434" s="537" t="s">
        <v>269</v>
      </c>
      <c r="C1434" s="616" t="s">
        <v>284</v>
      </c>
      <c r="D1434" s="148" t="s">
        <v>2199</v>
      </c>
      <c r="E1434" s="160">
        <v>0.1</v>
      </c>
      <c r="F1434" s="845">
        <f>+H1433</f>
        <v>47886.876056561974</v>
      </c>
      <c r="G1434" s="618">
        <v>1</v>
      </c>
      <c r="H1434" s="479">
        <f t="shared" si="110"/>
        <v>4788.6876056561978</v>
      </c>
      <c r="I1434" s="914"/>
    </row>
    <row r="1435" spans="1:9" s="42" customFormat="1" ht="30" x14ac:dyDescent="0.2">
      <c r="A1435" s="294" t="s">
        <v>3193</v>
      </c>
      <c r="B1435" s="876"/>
      <c r="C1435" s="300" t="s">
        <v>1230</v>
      </c>
      <c r="D1435" s="301" t="s">
        <v>411</v>
      </c>
      <c r="E1435" s="302"/>
      <c r="F1435" s="259">
        <f>ROUND(SUM(H1435:H1448),0)</f>
        <v>138349</v>
      </c>
      <c r="G1435" s="713"/>
      <c r="H1435" s="303"/>
      <c r="I1435" s="914"/>
    </row>
    <row r="1436" spans="1:9" customFormat="1" ht="12.75" x14ac:dyDescent="0.2">
      <c r="A1436" s="1083" t="s">
        <v>295</v>
      </c>
      <c r="B1436" s="537" t="s">
        <v>1862</v>
      </c>
      <c r="C1436" s="151" t="s">
        <v>2576</v>
      </c>
      <c r="D1436" s="148" t="s">
        <v>411</v>
      </c>
      <c r="E1436" s="160">
        <v>2</v>
      </c>
      <c r="F1436" s="23">
        <f>VLOOKUP(B1436,'[1]BASE DE DATOS'!$A$5:$E$964,5,FALSE)</f>
        <v>400</v>
      </c>
      <c r="G1436" s="161">
        <v>1</v>
      </c>
      <c r="H1436" s="252">
        <f t="shared" ref="H1436:H1442" si="111">IF(G1436&gt;0,(G1436*F1436*E1436),(F1436*E1436))</f>
        <v>800</v>
      </c>
      <c r="I1436" s="914"/>
    </row>
    <row r="1437" spans="1:9" customFormat="1" ht="12.75" x14ac:dyDescent="0.2">
      <c r="A1437" s="1083"/>
      <c r="B1437" s="537" t="s">
        <v>1860</v>
      </c>
      <c r="C1437" s="151" t="s">
        <v>2830</v>
      </c>
      <c r="D1437" s="148" t="s">
        <v>405</v>
      </c>
      <c r="E1437" s="160">
        <v>20</v>
      </c>
      <c r="F1437" s="23">
        <f>VLOOKUP(B1437,'[1]BASE DE DATOS'!$A$5:$E$964,5,FALSE)</f>
        <v>2600</v>
      </c>
      <c r="G1437" s="161">
        <v>1.05</v>
      </c>
      <c r="H1437" s="252">
        <f t="shared" si="111"/>
        <v>54600</v>
      </c>
      <c r="I1437" s="914"/>
    </row>
    <row r="1438" spans="1:9" customFormat="1" ht="12.75" x14ac:dyDescent="0.2">
      <c r="A1438" s="1083"/>
      <c r="B1438" s="537" t="s">
        <v>1861</v>
      </c>
      <c r="C1438" s="150" t="s">
        <v>2129</v>
      </c>
      <c r="D1438" s="148" t="s">
        <v>411</v>
      </c>
      <c r="E1438" s="160">
        <v>1</v>
      </c>
      <c r="F1438" s="23">
        <f>VLOOKUP(B1438,'[1]BASE DE DATOS'!$A$5:$E$964,5,FALSE)</f>
        <v>1890</v>
      </c>
      <c r="G1438" s="161">
        <v>1</v>
      </c>
      <c r="H1438" s="252">
        <f t="shared" si="111"/>
        <v>1890</v>
      </c>
      <c r="I1438" s="914"/>
    </row>
    <row r="1439" spans="1:9" customFormat="1" ht="12.75" x14ac:dyDescent="0.2">
      <c r="A1439" s="1083"/>
      <c r="B1439" s="537" t="s">
        <v>1342</v>
      </c>
      <c r="C1439" s="151" t="s">
        <v>2131</v>
      </c>
      <c r="D1439" s="148" t="s">
        <v>256</v>
      </c>
      <c r="E1439" s="160">
        <v>0.5</v>
      </c>
      <c r="F1439" s="23">
        <f>VLOOKUP(B1439,'[1]BASE DE DATOS'!$A$5:$E$964,5,FALSE)</f>
        <v>28050</v>
      </c>
      <c r="G1439" s="161">
        <v>5.2999999999999999E-2</v>
      </c>
      <c r="H1439" s="252">
        <f t="shared" si="111"/>
        <v>743.32499999999993</v>
      </c>
      <c r="I1439" s="914"/>
    </row>
    <row r="1440" spans="1:9" customFormat="1" ht="12.75" x14ac:dyDescent="0.2">
      <c r="A1440" s="1083"/>
      <c r="B1440" s="537" t="s">
        <v>1859</v>
      </c>
      <c r="C1440" s="151" t="s">
        <v>2130</v>
      </c>
      <c r="D1440" s="148" t="s">
        <v>411</v>
      </c>
      <c r="E1440" s="160">
        <v>2</v>
      </c>
      <c r="F1440" s="23">
        <f>VLOOKUP(B1440,'[1]BASE DE DATOS'!$A$5:$E$964,5,FALSE)</f>
        <v>2350</v>
      </c>
      <c r="G1440" s="712">
        <v>1</v>
      </c>
      <c r="H1440" s="252">
        <f t="shared" si="111"/>
        <v>4700</v>
      </c>
      <c r="I1440" s="914"/>
    </row>
    <row r="1441" spans="1:9" customFormat="1" ht="12.75" x14ac:dyDescent="0.2">
      <c r="A1441" s="1083"/>
      <c r="B1441" s="537" t="s">
        <v>1805</v>
      </c>
      <c r="C1441" s="151" t="s">
        <v>2127</v>
      </c>
      <c r="D1441" s="148" t="s">
        <v>411</v>
      </c>
      <c r="E1441" s="160">
        <v>1</v>
      </c>
      <c r="F1441" s="23">
        <f>VLOOKUP(B1441,'[1]BASE DE DATOS'!$A$5:$E$964,5,FALSE)</f>
        <v>1100</v>
      </c>
      <c r="G1441" s="161">
        <v>1</v>
      </c>
      <c r="H1441" s="252">
        <f t="shared" si="111"/>
        <v>1100</v>
      </c>
      <c r="I1441" s="914"/>
    </row>
    <row r="1442" spans="1:9" customFormat="1" ht="12.75" x14ac:dyDescent="0.2">
      <c r="A1442" s="1083"/>
      <c r="B1442" s="537" t="s">
        <v>1434</v>
      </c>
      <c r="C1442" s="151" t="s">
        <v>3132</v>
      </c>
      <c r="D1442" s="148" t="s">
        <v>411</v>
      </c>
      <c r="E1442" s="160">
        <v>2</v>
      </c>
      <c r="F1442" s="23">
        <f>VLOOKUP(B1442,'[1]BASE DE DATOS'!$A$5:$E$964,5,FALSE)</f>
        <v>6500</v>
      </c>
      <c r="G1442" s="161">
        <v>1</v>
      </c>
      <c r="H1442" s="252">
        <f t="shared" si="111"/>
        <v>13000</v>
      </c>
      <c r="I1442" s="914"/>
    </row>
    <row r="1443" spans="1:9" customFormat="1" ht="12.75" x14ac:dyDescent="0.2">
      <c r="A1443" s="1083"/>
      <c r="B1443" s="537" t="s">
        <v>1462</v>
      </c>
      <c r="C1443" s="151" t="s">
        <v>1</v>
      </c>
      <c r="D1443" s="148" t="s">
        <v>642</v>
      </c>
      <c r="E1443" s="160">
        <v>0.25</v>
      </c>
      <c r="F1443" s="23">
        <f>VLOOKUP(B1443,'[1]BASE DE DATOS'!$A$5:$E$964,5,FALSE)</f>
        <v>46900</v>
      </c>
      <c r="G1443" s="161">
        <v>0.01</v>
      </c>
      <c r="H1443" s="252">
        <f t="shared" si="110"/>
        <v>117.25</v>
      </c>
      <c r="I1443" s="914"/>
    </row>
    <row r="1444" spans="1:9" customFormat="1" ht="12.75" x14ac:dyDescent="0.2">
      <c r="A1444" s="1083"/>
      <c r="B1444" s="537" t="s">
        <v>1701</v>
      </c>
      <c r="C1444" s="151" t="s">
        <v>2652</v>
      </c>
      <c r="D1444" s="148" t="s">
        <v>411</v>
      </c>
      <c r="E1444" s="160">
        <v>0.7</v>
      </c>
      <c r="F1444" s="23">
        <f>VLOOKUP(B1444,'[1]BASE DE DATOS'!$A$5:$E$964,5,FALSE)</f>
        <v>80900</v>
      </c>
      <c r="G1444" s="161">
        <v>0.01</v>
      </c>
      <c r="H1444" s="252">
        <f t="shared" si="110"/>
        <v>566.29999999999995</v>
      </c>
      <c r="I1444" s="914"/>
    </row>
    <row r="1445" spans="1:9" customFormat="1" ht="13.15" customHeight="1" x14ac:dyDescent="0.2">
      <c r="A1445" s="1083"/>
      <c r="B1445" s="537" t="s">
        <v>1863</v>
      </c>
      <c r="C1445" s="151" t="s">
        <v>3073</v>
      </c>
      <c r="D1445" s="148" t="s">
        <v>405</v>
      </c>
      <c r="E1445" s="160">
        <v>4.5</v>
      </c>
      <c r="F1445" s="23">
        <f>VLOOKUP(B1445,'[1]BASE DE DATOS'!$A$5:$E$964,5,FALSE)</f>
        <v>1283.3333333333333</v>
      </c>
      <c r="G1445" s="161">
        <v>1.03</v>
      </c>
      <c r="H1445" s="252">
        <f>IF(G1445&gt;0,(G1445*F1445*E1445),(F1445*E1445))</f>
        <v>5948.25</v>
      </c>
      <c r="I1445" s="914"/>
    </row>
    <row r="1446" spans="1:9" customFormat="1" x14ac:dyDescent="0.2">
      <c r="A1446" s="797" t="s">
        <v>3252</v>
      </c>
      <c r="B1446" s="537" t="s">
        <v>810</v>
      </c>
      <c r="C1446" s="151" t="s">
        <v>2097</v>
      </c>
      <c r="D1446" s="148" t="s">
        <v>1920</v>
      </c>
      <c r="E1446" s="160">
        <v>4.0000000000000001E-3</v>
      </c>
      <c r="F1446" s="23">
        <f>+[1]CONSTRUCCION!$F$90</f>
        <v>525897</v>
      </c>
      <c r="G1446" s="161">
        <v>1.05</v>
      </c>
      <c r="H1446" s="252">
        <f t="shared" si="110"/>
        <v>2208.7674000000002</v>
      </c>
      <c r="I1446" s="914"/>
    </row>
    <row r="1447" spans="1:9" customFormat="1" ht="12.75" x14ac:dyDescent="0.2">
      <c r="A1447" s="63" t="s">
        <v>294</v>
      </c>
      <c r="B1447" s="537" t="s">
        <v>252</v>
      </c>
      <c r="C1447" s="151" t="s">
        <v>396</v>
      </c>
      <c r="D1447" s="148" t="s">
        <v>585</v>
      </c>
      <c r="E1447" s="161">
        <v>1</v>
      </c>
      <c r="F1447" s="23">
        <f>VLOOKUP(B1447,'[1]BASE DE DATOS'!$A$5:$E$964,5,FALSE)</f>
        <v>319246</v>
      </c>
      <c r="G1447" s="161">
        <f>1/6.66667</f>
        <v>0.1499999250000375</v>
      </c>
      <c r="H1447" s="252">
        <f t="shared" si="110"/>
        <v>47886.876056561974</v>
      </c>
      <c r="I1447" s="914"/>
    </row>
    <row r="1448" spans="1:9" customFormat="1" ht="13.5" thickBot="1" x14ac:dyDescent="0.25">
      <c r="A1448" s="128" t="s">
        <v>293</v>
      </c>
      <c r="B1448" s="537" t="s">
        <v>269</v>
      </c>
      <c r="C1448" s="616" t="s">
        <v>284</v>
      </c>
      <c r="D1448" s="148" t="s">
        <v>2199</v>
      </c>
      <c r="E1448" s="160">
        <v>0.1</v>
      </c>
      <c r="F1448" s="845">
        <f>+H1447</f>
        <v>47886.876056561974</v>
      </c>
      <c r="G1448" s="618">
        <v>1</v>
      </c>
      <c r="H1448" s="479">
        <f t="shared" si="110"/>
        <v>4788.6876056561978</v>
      </c>
      <c r="I1448" s="914"/>
    </row>
    <row r="1449" spans="1:9" s="42" customFormat="1" ht="63" customHeight="1" x14ac:dyDescent="0.2">
      <c r="A1449" s="294" t="s">
        <v>3194</v>
      </c>
      <c r="B1449" s="876"/>
      <c r="C1449" s="300" t="s">
        <v>3638</v>
      </c>
      <c r="D1449" s="301" t="s">
        <v>411</v>
      </c>
      <c r="E1449" s="302"/>
      <c r="F1449" s="259">
        <f>ROUND(SUM(H1449:H1464),0)</f>
        <v>284188</v>
      </c>
      <c r="G1449" s="713"/>
      <c r="H1449" s="303"/>
      <c r="I1449" s="914"/>
    </row>
    <row r="1450" spans="1:9" customFormat="1" ht="12.75" x14ac:dyDescent="0.2">
      <c r="A1450" s="1077" t="s">
        <v>295</v>
      </c>
      <c r="B1450" s="537" t="s">
        <v>1862</v>
      </c>
      <c r="C1450" s="151" t="s">
        <v>2576</v>
      </c>
      <c r="D1450" s="148" t="s">
        <v>411</v>
      </c>
      <c r="E1450" s="160">
        <v>2</v>
      </c>
      <c r="F1450" s="23">
        <f>VLOOKUP(B1450,'[1]BASE DE DATOS'!$A$5:$E$964,5,FALSE)</f>
        <v>400</v>
      </c>
      <c r="G1450" s="712">
        <v>1</v>
      </c>
      <c r="H1450" s="252">
        <f t="shared" ref="H1450:H1497" si="112">IF(G1450&gt;0,(G1450*F1450*E1450),(F1450*E1450))</f>
        <v>800</v>
      </c>
      <c r="I1450" s="914"/>
    </row>
    <row r="1451" spans="1:9" customFormat="1" ht="12.75" x14ac:dyDescent="0.2">
      <c r="A1451" s="1077"/>
      <c r="B1451" s="537" t="s">
        <v>1860</v>
      </c>
      <c r="C1451" s="151" t="s">
        <v>2830</v>
      </c>
      <c r="D1451" s="148" t="s">
        <v>405</v>
      </c>
      <c r="E1451" s="160">
        <v>18</v>
      </c>
      <c r="F1451" s="23">
        <f>VLOOKUP(B1451,'[1]BASE DE DATOS'!$A$5:$E$964,5,FALSE)</f>
        <v>2600</v>
      </c>
      <c r="G1451" s="712">
        <v>1.4999999999999999E-2</v>
      </c>
      <c r="H1451" s="252">
        <f t="shared" si="112"/>
        <v>702</v>
      </c>
      <c r="I1451" s="914"/>
    </row>
    <row r="1452" spans="1:9" customFormat="1" ht="12.75" x14ac:dyDescent="0.2">
      <c r="A1452" s="1077"/>
      <c r="B1452" s="537" t="s">
        <v>1739</v>
      </c>
      <c r="C1452" s="150" t="s">
        <v>3122</v>
      </c>
      <c r="D1452" s="148" t="s">
        <v>405</v>
      </c>
      <c r="E1452" s="160">
        <v>1</v>
      </c>
      <c r="F1452" s="23">
        <f>VLOOKUP(B1452,'[1]BASE DE DATOS'!$A$5:$E$964,5,FALSE)</f>
        <v>10850</v>
      </c>
      <c r="G1452" s="712">
        <v>1.05</v>
      </c>
      <c r="H1452" s="252">
        <f t="shared" si="112"/>
        <v>11392.5</v>
      </c>
      <c r="I1452" s="914"/>
    </row>
    <row r="1453" spans="1:9" customFormat="1" ht="12.75" x14ac:dyDescent="0.2">
      <c r="A1453" s="1077"/>
      <c r="B1453" s="537" t="s">
        <v>1861</v>
      </c>
      <c r="C1453" s="150" t="s">
        <v>2129</v>
      </c>
      <c r="D1453" s="148" t="s">
        <v>411</v>
      </c>
      <c r="E1453" s="160">
        <v>1</v>
      </c>
      <c r="F1453" s="23">
        <f>VLOOKUP(B1453,'[1]BASE DE DATOS'!$A$5:$E$964,5,FALSE)</f>
        <v>1890</v>
      </c>
      <c r="G1453" s="712">
        <v>1</v>
      </c>
      <c r="H1453" s="252">
        <f t="shared" si="112"/>
        <v>1890</v>
      </c>
      <c r="I1453" s="914"/>
    </row>
    <row r="1454" spans="1:9" customFormat="1" ht="12.75" x14ac:dyDescent="0.2">
      <c r="A1454" s="1077"/>
      <c r="B1454" s="537" t="s">
        <v>1342</v>
      </c>
      <c r="C1454" s="151" t="s">
        <v>2131</v>
      </c>
      <c r="D1454" s="148" t="s">
        <v>256</v>
      </c>
      <c r="E1454" s="160">
        <v>1</v>
      </c>
      <c r="F1454" s="23">
        <f>VLOOKUP(B1454,'[1]BASE DE DATOS'!$A$5:$E$964,5,FALSE)</f>
        <v>28050</v>
      </c>
      <c r="G1454" s="712">
        <v>1</v>
      </c>
      <c r="H1454" s="252">
        <f t="shared" si="112"/>
        <v>28050</v>
      </c>
      <c r="I1454" s="914"/>
    </row>
    <row r="1455" spans="1:9" customFormat="1" ht="12.75" x14ac:dyDescent="0.2">
      <c r="A1455" s="1077"/>
      <c r="B1455" s="537" t="s">
        <v>1601</v>
      </c>
      <c r="C1455" s="150" t="s">
        <v>1997</v>
      </c>
      <c r="D1455" s="148" t="s">
        <v>411</v>
      </c>
      <c r="E1455" s="160">
        <v>1</v>
      </c>
      <c r="F1455" s="23">
        <f>VLOOKUP(B1455,'[1]BASE DE DATOS'!$A$5:$E$964,5,FALSE)</f>
        <v>2300</v>
      </c>
      <c r="G1455" s="712">
        <v>1</v>
      </c>
      <c r="H1455" s="252">
        <f t="shared" si="112"/>
        <v>2300</v>
      </c>
      <c r="I1455" s="914"/>
    </row>
    <row r="1456" spans="1:9" customFormat="1" ht="12.75" x14ac:dyDescent="0.2">
      <c r="A1456" s="1077"/>
      <c r="B1456" s="537" t="s">
        <v>1805</v>
      </c>
      <c r="C1456" s="151" t="s">
        <v>2127</v>
      </c>
      <c r="D1456" s="148" t="s">
        <v>411</v>
      </c>
      <c r="E1456" s="160">
        <v>1</v>
      </c>
      <c r="F1456" s="23">
        <f>VLOOKUP(B1456,'[1]BASE DE DATOS'!$A$5:$E$964,5,FALSE)</f>
        <v>1100</v>
      </c>
      <c r="G1456" s="712">
        <v>1</v>
      </c>
      <c r="H1456" s="252">
        <f t="shared" si="112"/>
        <v>1100</v>
      </c>
      <c r="I1456" s="914"/>
    </row>
    <row r="1457" spans="1:9" customFormat="1" ht="12.75" x14ac:dyDescent="0.2">
      <c r="A1457" s="1077"/>
      <c r="B1457" s="537" t="s">
        <v>1846</v>
      </c>
      <c r="C1457" s="150" t="s">
        <v>2725</v>
      </c>
      <c r="D1457" s="148" t="s">
        <v>411</v>
      </c>
      <c r="E1457" s="160">
        <v>1</v>
      </c>
      <c r="F1457" s="23">
        <f>VLOOKUP(B1457,'[1]BASE DE DATOS'!$A$5:$E$964,5,FALSE)</f>
        <v>119900</v>
      </c>
      <c r="G1457" s="712">
        <v>1</v>
      </c>
      <c r="H1457" s="252">
        <f>IF(G1457&gt;0,(G1457*F1457*E1457),(F1457*E1457))</f>
        <v>119900</v>
      </c>
      <c r="I1457" s="914"/>
    </row>
    <row r="1458" spans="1:9" customFormat="1" ht="12.75" x14ac:dyDescent="0.2">
      <c r="A1458" s="1077"/>
      <c r="B1458" s="537" t="s">
        <v>1462</v>
      </c>
      <c r="C1458" s="151" t="s">
        <v>1</v>
      </c>
      <c r="D1458" s="148" t="s">
        <v>642</v>
      </c>
      <c r="E1458" s="160">
        <v>0.25</v>
      </c>
      <c r="F1458" s="23">
        <f>VLOOKUP(B1458,'[1]BASE DE DATOS'!$A$5:$E$964,5,FALSE)</f>
        <v>46900</v>
      </c>
      <c r="G1458" s="712">
        <v>0.35000000000000003</v>
      </c>
      <c r="H1458" s="252">
        <f t="shared" si="112"/>
        <v>4103.75</v>
      </c>
      <c r="I1458" s="914"/>
    </row>
    <row r="1459" spans="1:9" customFormat="1" ht="12.75" x14ac:dyDescent="0.2">
      <c r="A1459" s="1077"/>
      <c r="B1459" s="537" t="s">
        <v>1701</v>
      </c>
      <c r="C1459" s="151" t="s">
        <v>2652</v>
      </c>
      <c r="D1459" s="148" t="s">
        <v>411</v>
      </c>
      <c r="E1459" s="160">
        <v>0.7</v>
      </c>
      <c r="F1459" s="23">
        <f>VLOOKUP(B1459,'[1]BASE DE DATOS'!$A$5:$E$964,5,FALSE)</f>
        <v>80900</v>
      </c>
      <c r="G1459" s="161">
        <v>0.01</v>
      </c>
      <c r="H1459" s="252">
        <f t="shared" si="112"/>
        <v>566.29999999999995</v>
      </c>
      <c r="I1459" s="914"/>
    </row>
    <row r="1460" spans="1:9" customFormat="1" ht="12.75" x14ac:dyDescent="0.2">
      <c r="A1460" s="1077"/>
      <c r="B1460" s="537" t="s">
        <v>1855</v>
      </c>
      <c r="C1460" s="150" t="s">
        <v>2205</v>
      </c>
      <c r="D1460" s="148" t="s">
        <v>411</v>
      </c>
      <c r="E1460" s="160">
        <v>1</v>
      </c>
      <c r="F1460" s="23">
        <f>VLOOKUP(B1460,'[1]BASE DE DATOS'!$A$5:$E$964,5,FALSE)</f>
        <v>6150</v>
      </c>
      <c r="G1460" s="712">
        <v>1</v>
      </c>
      <c r="H1460" s="252">
        <f t="shared" si="112"/>
        <v>6150</v>
      </c>
      <c r="I1460" s="914"/>
    </row>
    <row r="1461" spans="1:9" customFormat="1" ht="13.15" customHeight="1" x14ac:dyDescent="0.2">
      <c r="A1461" s="1077"/>
      <c r="B1461" s="537" t="s">
        <v>1863</v>
      </c>
      <c r="C1461" s="151" t="s">
        <v>3073</v>
      </c>
      <c r="D1461" s="148" t="s">
        <v>405</v>
      </c>
      <c r="E1461" s="160">
        <v>6</v>
      </c>
      <c r="F1461" s="23">
        <f>VLOOKUP(B1461,'[1]BASE DE DATOS'!$A$5:$E$964,5,FALSE)</f>
        <v>1283.3333333333333</v>
      </c>
      <c r="G1461" s="712">
        <v>3.1500000000000004</v>
      </c>
      <c r="H1461" s="252">
        <f>IF(G1461&gt;0,(G1461*F1461*E1461),(F1461*E1461))</f>
        <v>24255</v>
      </c>
      <c r="I1461" s="914"/>
    </row>
    <row r="1462" spans="1:9" customFormat="1" x14ac:dyDescent="0.2">
      <c r="A1462" s="797" t="s">
        <v>3252</v>
      </c>
      <c r="B1462" s="537" t="s">
        <v>810</v>
      </c>
      <c r="C1462" s="151" t="s">
        <v>2097</v>
      </c>
      <c r="D1462" s="148" t="s">
        <v>1920</v>
      </c>
      <c r="E1462" s="160">
        <v>4.0000000000000001E-3</v>
      </c>
      <c r="F1462" s="23">
        <f>+[1]CONSTRUCCION!$F$90</f>
        <v>525897</v>
      </c>
      <c r="G1462" s="161">
        <v>1.05</v>
      </c>
      <c r="H1462" s="252">
        <f t="shared" si="112"/>
        <v>2208.7674000000002</v>
      </c>
      <c r="I1462" s="914"/>
    </row>
    <row r="1463" spans="1:9" customFormat="1" ht="12.75" x14ac:dyDescent="0.2">
      <c r="A1463" s="63" t="s">
        <v>3673</v>
      </c>
      <c r="B1463" s="537" t="s">
        <v>252</v>
      </c>
      <c r="C1463" s="151" t="s">
        <v>396</v>
      </c>
      <c r="D1463" s="148" t="s">
        <v>585</v>
      </c>
      <c r="E1463" s="161">
        <v>1</v>
      </c>
      <c r="F1463" s="23">
        <f>VLOOKUP(B1463,'[1]BASE DE DATOS'!$A$5:$E$964,5,FALSE)</f>
        <v>319246</v>
      </c>
      <c r="G1463" s="712">
        <f>1/4.3478</f>
        <v>0.23000138000828002</v>
      </c>
      <c r="H1463" s="252">
        <f t="shared" si="112"/>
        <v>73427.020562123362</v>
      </c>
      <c r="I1463" s="914"/>
    </row>
    <row r="1464" spans="1:9" customFormat="1" ht="13.5" thickBot="1" x14ac:dyDescent="0.25">
      <c r="A1464" s="128" t="s">
        <v>293</v>
      </c>
      <c r="B1464" s="537" t="s">
        <v>269</v>
      </c>
      <c r="C1464" s="616" t="s">
        <v>284</v>
      </c>
      <c r="D1464" s="148" t="s">
        <v>2199</v>
      </c>
      <c r="E1464" s="160">
        <v>0.1</v>
      </c>
      <c r="F1464" s="845">
        <f>+H1463</f>
        <v>73427.020562123362</v>
      </c>
      <c r="G1464" s="725">
        <v>1</v>
      </c>
      <c r="H1464" s="479">
        <f t="shared" si="112"/>
        <v>7342.7020562123362</v>
      </c>
      <c r="I1464" s="914"/>
    </row>
    <row r="1465" spans="1:9" s="42" customFormat="1" ht="30" x14ac:dyDescent="0.2">
      <c r="A1465" s="294" t="s">
        <v>3195</v>
      </c>
      <c r="B1465" s="876"/>
      <c r="C1465" s="300" t="s">
        <v>1998</v>
      </c>
      <c r="D1465" s="301" t="s">
        <v>405</v>
      </c>
      <c r="E1465" s="302"/>
      <c r="F1465" s="259">
        <f>ROUND(SUM(H1465:H1470),0)</f>
        <v>16139</v>
      </c>
      <c r="G1465" s="713"/>
      <c r="H1465" s="303"/>
      <c r="I1465" s="914"/>
    </row>
    <row r="1466" spans="1:9" customFormat="1" ht="12.75" x14ac:dyDescent="0.2">
      <c r="A1466" s="1080" t="s">
        <v>382</v>
      </c>
      <c r="B1466" s="537" t="s">
        <v>1854</v>
      </c>
      <c r="C1466" s="151" t="s">
        <v>3200</v>
      </c>
      <c r="D1466" s="148" t="s">
        <v>3201</v>
      </c>
      <c r="E1466" s="161">
        <v>4.5999999999999999E-2</v>
      </c>
      <c r="F1466" s="23">
        <f>H1467</f>
        <v>5253.1716666666671</v>
      </c>
      <c r="G1466" s="712">
        <v>1</v>
      </c>
      <c r="H1466" s="252">
        <f>IF(G1466&gt;0,(G1466*F1466*E1466),(F1466*E1466))</f>
        <v>241.64589666666669</v>
      </c>
      <c r="I1466" s="914"/>
    </row>
    <row r="1467" spans="1:9" customFormat="1" ht="13.9" customHeight="1" x14ac:dyDescent="0.2">
      <c r="A1467" s="1080"/>
      <c r="B1467" s="537" t="s">
        <v>1845</v>
      </c>
      <c r="C1467" s="151" t="s">
        <v>2206</v>
      </c>
      <c r="D1467" s="148" t="s">
        <v>405</v>
      </c>
      <c r="E1467" s="161">
        <v>1</v>
      </c>
      <c r="F1467" s="23">
        <f>VLOOKUP(B1467,'[1]BASE DE DATOS'!$A$5:$E$964,5,FALSE)</f>
        <v>5100.166666666667</v>
      </c>
      <c r="G1467" s="712">
        <v>1.03</v>
      </c>
      <c r="H1467" s="252">
        <f t="shared" si="112"/>
        <v>5253.1716666666671</v>
      </c>
      <c r="I1467" s="914"/>
    </row>
    <row r="1468" spans="1:9" customFormat="1" ht="12.75" x14ac:dyDescent="0.2">
      <c r="A1468" s="1080"/>
      <c r="B1468" s="537" t="s">
        <v>1844</v>
      </c>
      <c r="C1468" s="151" t="s">
        <v>1999</v>
      </c>
      <c r="D1468" s="148" t="s">
        <v>411</v>
      </c>
      <c r="E1468" s="161">
        <v>1</v>
      </c>
      <c r="F1468" s="23">
        <f>VLOOKUP(B1468,'[1]BASE DE DATOS'!$A$5:$E$964,5,FALSE)</f>
        <v>5000</v>
      </c>
      <c r="G1468" s="712">
        <v>1</v>
      </c>
      <c r="H1468" s="252">
        <f t="shared" si="112"/>
        <v>5000</v>
      </c>
      <c r="I1468" s="914"/>
    </row>
    <row r="1469" spans="1:9" customFormat="1" ht="12.75" x14ac:dyDescent="0.2">
      <c r="A1469" s="63" t="s">
        <v>3673</v>
      </c>
      <c r="B1469" s="537" t="s">
        <v>253</v>
      </c>
      <c r="C1469" s="151" t="s">
        <v>395</v>
      </c>
      <c r="D1469" s="148" t="s">
        <v>585</v>
      </c>
      <c r="E1469" s="161">
        <v>1</v>
      </c>
      <c r="F1469" s="23">
        <f>VLOOKUP(B1469,'[1]BASE DE DATOS'!$A$5:$E$964,5,FALSE)</f>
        <v>461133</v>
      </c>
      <c r="G1469" s="712">
        <f>1/83.33333</f>
        <v>1.2000000480000019E-2</v>
      </c>
      <c r="H1469" s="252">
        <f t="shared" si="112"/>
        <v>5533.5962213438488</v>
      </c>
      <c r="I1469" s="914"/>
    </row>
    <row r="1470" spans="1:9" customFormat="1" ht="13.5" thickBot="1" x14ac:dyDescent="0.25">
      <c r="A1470" s="128" t="s">
        <v>293</v>
      </c>
      <c r="B1470" s="537" t="s">
        <v>269</v>
      </c>
      <c r="C1470" s="616" t="s">
        <v>284</v>
      </c>
      <c r="D1470" s="617" t="s">
        <v>586</v>
      </c>
      <c r="E1470" s="160">
        <v>0.1</v>
      </c>
      <c r="F1470" s="845">
        <f>+H1469</f>
        <v>5533.5962213438488</v>
      </c>
      <c r="G1470" s="725">
        <v>0.2</v>
      </c>
      <c r="H1470" s="479">
        <f t="shared" si="112"/>
        <v>110.671924426877</v>
      </c>
      <c r="I1470" s="914"/>
    </row>
    <row r="1471" spans="1:9" s="42" customFormat="1" ht="15" x14ac:dyDescent="0.2">
      <c r="A1471" s="294" t="s">
        <v>3196</v>
      </c>
      <c r="B1471" s="876"/>
      <c r="C1471" s="300" t="s">
        <v>2144</v>
      </c>
      <c r="D1471" s="301" t="s">
        <v>411</v>
      </c>
      <c r="E1471" s="302"/>
      <c r="F1471" s="259">
        <f>ROUND(SUM(H1471:H1478),0)</f>
        <v>130169</v>
      </c>
      <c r="G1471" s="713"/>
      <c r="H1471" s="303"/>
      <c r="I1471" s="914"/>
    </row>
    <row r="1472" spans="1:9" customFormat="1" ht="12.75" x14ac:dyDescent="0.2">
      <c r="A1472" s="1080" t="s">
        <v>382</v>
      </c>
      <c r="B1472" s="537" t="s">
        <v>1870</v>
      </c>
      <c r="C1472" s="151" t="s">
        <v>2114</v>
      </c>
      <c r="D1472" s="148" t="s">
        <v>3205</v>
      </c>
      <c r="E1472" s="160">
        <v>0.75</v>
      </c>
      <c r="F1472" s="23">
        <f>H1473</f>
        <v>19300</v>
      </c>
      <c r="G1472" s="160">
        <v>0</v>
      </c>
      <c r="H1472" s="252">
        <f>IF(G1472&gt;0,(G1472*F1472*E1472),(F1472*E1472))</f>
        <v>14475</v>
      </c>
      <c r="I1472" s="914"/>
    </row>
    <row r="1473" spans="1:9" customFormat="1" ht="12.75" x14ac:dyDescent="0.2">
      <c r="A1473" s="1080"/>
      <c r="B1473" s="537" t="s">
        <v>1839</v>
      </c>
      <c r="C1473" s="151" t="s">
        <v>2552</v>
      </c>
      <c r="D1473" s="148" t="s">
        <v>411</v>
      </c>
      <c r="E1473" s="160">
        <v>1</v>
      </c>
      <c r="F1473" s="23">
        <f>VLOOKUP(B1473,'[1]BASE DE DATOS'!$A$5:$E$964,5,FALSE)</f>
        <v>19300</v>
      </c>
      <c r="G1473" s="160">
        <v>1</v>
      </c>
      <c r="H1473" s="252">
        <f t="shared" si="112"/>
        <v>19300</v>
      </c>
      <c r="I1473" s="914"/>
    </row>
    <row r="1474" spans="1:9" customFormat="1" ht="12.75" x14ac:dyDescent="0.2">
      <c r="A1474" s="1080"/>
      <c r="B1474" s="537" t="s">
        <v>1837</v>
      </c>
      <c r="C1474" s="151" t="s">
        <v>3242</v>
      </c>
      <c r="D1474" s="148" t="s">
        <v>411</v>
      </c>
      <c r="E1474" s="160">
        <v>1</v>
      </c>
      <c r="F1474" s="23">
        <f>VLOOKUP(B1474,'[1]BASE DE DATOS'!$A$5:$E$964,5,FALSE)</f>
        <v>61250</v>
      </c>
      <c r="G1474" s="160">
        <v>1</v>
      </c>
      <c r="H1474" s="252">
        <f>IF(G1474&gt;0,(G1474*F1474*E1474),(F1474*E1474))</f>
        <v>61250</v>
      </c>
      <c r="I1474" s="914"/>
    </row>
    <row r="1475" spans="1:9" customFormat="1" ht="12.75" x14ac:dyDescent="0.2">
      <c r="A1475" s="1080"/>
      <c r="B1475" s="537" t="s">
        <v>2962</v>
      </c>
      <c r="C1475" s="151" t="s">
        <v>2678</v>
      </c>
      <c r="D1475" s="148" t="s">
        <v>411</v>
      </c>
      <c r="E1475" s="160">
        <v>1</v>
      </c>
      <c r="F1475" s="23">
        <f>VLOOKUP(B1475,'[1]BASE DE DATOS'!$A$5:$E$964,5,FALSE)</f>
        <v>3500</v>
      </c>
      <c r="G1475" s="160">
        <v>1</v>
      </c>
      <c r="H1475" s="252">
        <f>IF(G1475&gt;0,(G1475*F1475*E1475),(F1475*E1475))</f>
        <v>3500</v>
      </c>
      <c r="I1475" s="914"/>
    </row>
    <row r="1476" spans="1:9" customFormat="1" ht="13.5" thickBot="1" x14ac:dyDescent="0.25">
      <c r="A1476" s="1081"/>
      <c r="B1476" s="537" t="s">
        <v>1838</v>
      </c>
      <c r="C1476" s="151" t="s">
        <v>2207</v>
      </c>
      <c r="D1476" s="148" t="s">
        <v>411</v>
      </c>
      <c r="E1476" s="160">
        <v>1</v>
      </c>
      <c r="F1476" s="23">
        <f>VLOOKUP(B1476,'[1]BASE DE DATOS'!$A$5:$E$964,5,FALSE)</f>
        <v>3550</v>
      </c>
      <c r="G1476" s="160">
        <v>1</v>
      </c>
      <c r="H1476" s="252">
        <f t="shared" si="112"/>
        <v>3550</v>
      </c>
      <c r="I1476" s="914"/>
    </row>
    <row r="1477" spans="1:9" customFormat="1" ht="13.5" thickTop="1" x14ac:dyDescent="0.2">
      <c r="A1477" s="63" t="s">
        <v>3673</v>
      </c>
      <c r="B1477" s="537" t="s">
        <v>252</v>
      </c>
      <c r="C1477" s="151" t="s">
        <v>396</v>
      </c>
      <c r="D1477" s="148" t="s">
        <v>585</v>
      </c>
      <c r="E1477" s="161">
        <v>1</v>
      </c>
      <c r="F1477" s="23">
        <f>VLOOKUP(B1477,'[1]BASE DE DATOS'!$A$5:$E$964,5,FALSE)</f>
        <v>319246</v>
      </c>
      <c r="G1477" s="161">
        <f>1/12.5</f>
        <v>0.08</v>
      </c>
      <c r="H1477" s="252">
        <f t="shared" si="112"/>
        <v>25539.68</v>
      </c>
      <c r="I1477" s="914"/>
    </row>
    <row r="1478" spans="1:9" customFormat="1" ht="13.5" thickBot="1" x14ac:dyDescent="0.25">
      <c r="A1478" s="128" t="s">
        <v>293</v>
      </c>
      <c r="B1478" s="537" t="s">
        <v>269</v>
      </c>
      <c r="C1478" s="616" t="s">
        <v>284</v>
      </c>
      <c r="D1478" s="148" t="s">
        <v>2199</v>
      </c>
      <c r="E1478" s="160">
        <v>0.1</v>
      </c>
      <c r="F1478" s="845">
        <f>+H1477</f>
        <v>25539.68</v>
      </c>
      <c r="G1478" s="852">
        <v>1</v>
      </c>
      <c r="H1478" s="479">
        <f t="shared" si="112"/>
        <v>2553.9680000000003</v>
      </c>
      <c r="I1478" s="914"/>
    </row>
    <row r="1479" spans="1:9" s="42" customFormat="1" ht="31.5" customHeight="1" x14ac:dyDescent="0.2">
      <c r="A1479" s="294" t="s">
        <v>3197</v>
      </c>
      <c r="B1479" s="876"/>
      <c r="C1479" s="300" t="s">
        <v>2151</v>
      </c>
      <c r="D1479" s="301" t="s">
        <v>405</v>
      </c>
      <c r="E1479" s="302"/>
      <c r="F1479" s="259">
        <f>ROUND(SUM(H1479:H1484),0)</f>
        <v>61752</v>
      </c>
      <c r="G1479" s="713"/>
      <c r="H1479" s="303"/>
      <c r="I1479" s="914"/>
    </row>
    <row r="1480" spans="1:9" customFormat="1" ht="12.75" x14ac:dyDescent="0.2">
      <c r="A1480" s="804" t="s">
        <v>382</v>
      </c>
      <c r="B1480" s="537" t="s">
        <v>1843</v>
      </c>
      <c r="C1480" s="151" t="s">
        <v>4211</v>
      </c>
      <c r="D1480" s="148" t="s">
        <v>405</v>
      </c>
      <c r="E1480" s="161">
        <v>1</v>
      </c>
      <c r="F1480" s="23">
        <f>VLOOKUP(B1480,'[1]BASE DE DATOS'!$A$5:$E$964,5,FALSE)</f>
        <v>37750</v>
      </c>
      <c r="G1480" s="712">
        <v>1.03</v>
      </c>
      <c r="H1480" s="252">
        <f t="shared" si="112"/>
        <v>38882.5</v>
      </c>
      <c r="I1480" s="914"/>
    </row>
    <row r="1481" spans="1:9" customFormat="1" x14ac:dyDescent="0.2">
      <c r="A1481" s="946" t="s">
        <v>3252</v>
      </c>
      <c r="B1481" s="537" t="s">
        <v>766</v>
      </c>
      <c r="C1481" s="151" t="s">
        <v>133</v>
      </c>
      <c r="D1481" s="50" t="s">
        <v>1920</v>
      </c>
      <c r="E1481" s="161">
        <f>0.3*1*0.7</f>
        <v>0.21</v>
      </c>
      <c r="F1481" s="23">
        <f>+[1]CONSTRUCCION!$F$468</f>
        <v>43205</v>
      </c>
      <c r="G1481" s="712">
        <v>1</v>
      </c>
      <c r="H1481" s="252">
        <f t="shared" si="112"/>
        <v>9073.0499999999993</v>
      </c>
      <c r="I1481" s="914"/>
    </row>
    <row r="1482" spans="1:9" customFormat="1" x14ac:dyDescent="0.2">
      <c r="A1482" s="946"/>
      <c r="B1482" s="537">
        <v>43525</v>
      </c>
      <c r="C1482" s="151" t="s">
        <v>381</v>
      </c>
      <c r="D1482" s="50" t="s">
        <v>1920</v>
      </c>
      <c r="E1482" s="161">
        <f>0.3*1*0.7</f>
        <v>0.21</v>
      </c>
      <c r="F1482" s="23">
        <f>+[1]CONSTRUCCION!$F$563</f>
        <v>39349</v>
      </c>
      <c r="G1482" s="712">
        <v>1</v>
      </c>
      <c r="H1482" s="252">
        <f t="shared" si="112"/>
        <v>8263.2899999999991</v>
      </c>
      <c r="I1482" s="914"/>
    </row>
    <row r="1483" spans="1:9" customFormat="1" ht="12.75" x14ac:dyDescent="0.2">
      <c r="A1483" s="63" t="s">
        <v>3673</v>
      </c>
      <c r="B1483" s="537" t="s">
        <v>253</v>
      </c>
      <c r="C1483" s="151" t="s">
        <v>395</v>
      </c>
      <c r="D1483" s="148" t="s">
        <v>585</v>
      </c>
      <c r="E1483" s="161">
        <v>1</v>
      </c>
      <c r="F1483" s="23">
        <f>VLOOKUP(B1483,'[1]BASE DE DATOS'!$A$5:$E$964,5,FALSE)</f>
        <v>461133</v>
      </c>
      <c r="G1483" s="712">
        <f>1/100</f>
        <v>0.01</v>
      </c>
      <c r="H1483" s="252">
        <f t="shared" si="112"/>
        <v>4611.33</v>
      </c>
      <c r="I1483" s="914"/>
    </row>
    <row r="1484" spans="1:9" customFormat="1" ht="13.5" thickBot="1" x14ac:dyDescent="0.25">
      <c r="A1484" s="128" t="s">
        <v>293</v>
      </c>
      <c r="B1484" s="537" t="s">
        <v>269</v>
      </c>
      <c r="C1484" s="616" t="s">
        <v>284</v>
      </c>
      <c r="D1484" s="617" t="s">
        <v>586</v>
      </c>
      <c r="E1484" s="160">
        <v>1</v>
      </c>
      <c r="F1484" s="845">
        <f>+H1483</f>
        <v>4611.33</v>
      </c>
      <c r="G1484" s="725">
        <v>0.2</v>
      </c>
      <c r="H1484" s="479">
        <f t="shared" si="112"/>
        <v>922.26600000000008</v>
      </c>
      <c r="I1484" s="914"/>
    </row>
    <row r="1485" spans="1:9" s="42" customFormat="1" ht="15" x14ac:dyDescent="0.2">
      <c r="A1485" s="294" t="s">
        <v>3198</v>
      </c>
      <c r="B1485" s="876"/>
      <c r="C1485" s="300" t="s">
        <v>2561</v>
      </c>
      <c r="D1485" s="301" t="s">
        <v>411</v>
      </c>
      <c r="E1485" s="302"/>
      <c r="F1485" s="259">
        <f>ROUND(SUM(H1485:H1492),0)</f>
        <v>53691</v>
      </c>
      <c r="G1485" s="713"/>
      <c r="H1485" s="303"/>
      <c r="I1485" s="914"/>
    </row>
    <row r="1486" spans="1:9" customFormat="1" ht="12.75" x14ac:dyDescent="0.2">
      <c r="A1486" s="1082" t="s">
        <v>382</v>
      </c>
      <c r="B1486" s="537" t="s">
        <v>1825</v>
      </c>
      <c r="C1486" s="51" t="s">
        <v>1238</v>
      </c>
      <c r="D1486" s="50" t="s">
        <v>411</v>
      </c>
      <c r="E1486" s="160">
        <v>1</v>
      </c>
      <c r="F1486" s="23">
        <f>VLOOKUP(B1486,'[1]BASE DE DATOS'!$A$5:$E$964,5,FALSE)</f>
        <v>4000</v>
      </c>
      <c r="G1486" s="712">
        <v>1</v>
      </c>
      <c r="H1486" s="252">
        <f>IF(G1486&gt;0,(G1486*F1486*E1486),(F1486*E1486))</f>
        <v>4000</v>
      </c>
      <c r="I1486" s="914"/>
    </row>
    <row r="1487" spans="1:9" customFormat="1" ht="12.75" x14ac:dyDescent="0.2">
      <c r="A1487" s="1082"/>
      <c r="B1487" s="537" t="s">
        <v>2559</v>
      </c>
      <c r="C1487" s="151" t="s">
        <v>2560</v>
      </c>
      <c r="D1487" s="50" t="s">
        <v>405</v>
      </c>
      <c r="E1487" s="160">
        <v>1</v>
      </c>
      <c r="F1487" s="23">
        <f>VLOOKUP(B1487,'[1]BASE DE DATOS'!$A$5:$E$964,5,FALSE)</f>
        <v>3000</v>
      </c>
      <c r="G1487" s="712">
        <v>0.3</v>
      </c>
      <c r="H1487" s="252">
        <f>IF(G1487&gt;0,(G1487*F1487*E1487),(F1487*E1487))</f>
        <v>900</v>
      </c>
      <c r="I1487" s="914"/>
    </row>
    <row r="1488" spans="1:9" customFormat="1" ht="12.75" x14ac:dyDescent="0.2">
      <c r="A1488" s="1082"/>
      <c r="B1488" s="537" t="s">
        <v>1344</v>
      </c>
      <c r="C1488" s="151" t="s">
        <v>3836</v>
      </c>
      <c r="D1488" s="148" t="s">
        <v>405</v>
      </c>
      <c r="E1488" s="160">
        <v>0.5</v>
      </c>
      <c r="F1488" s="23">
        <f>VLOOKUP(B1488,'[1]BASE DE DATOS'!$A$5:$E$964,5,FALSE)</f>
        <v>3730</v>
      </c>
      <c r="G1488" s="712">
        <v>1</v>
      </c>
      <c r="H1488" s="252">
        <f t="shared" si="112"/>
        <v>1865</v>
      </c>
      <c r="I1488" s="914"/>
    </row>
    <row r="1489" spans="1:9" customFormat="1" ht="12.75" x14ac:dyDescent="0.2">
      <c r="A1489" s="1082"/>
      <c r="B1489" s="537" t="s">
        <v>1832</v>
      </c>
      <c r="C1489" s="151" t="s">
        <v>1236</v>
      </c>
      <c r="D1489" s="148" t="s">
        <v>411</v>
      </c>
      <c r="E1489" s="160">
        <v>1</v>
      </c>
      <c r="F1489" s="23">
        <f>VLOOKUP(B1489,'[1]BASE DE DATOS'!$A$5:$E$964,5,FALSE)</f>
        <v>959</v>
      </c>
      <c r="G1489" s="712">
        <v>1</v>
      </c>
      <c r="H1489" s="252">
        <f t="shared" si="112"/>
        <v>959</v>
      </c>
      <c r="I1489" s="914"/>
    </row>
    <row r="1490" spans="1:9" customFormat="1" ht="13.9" customHeight="1" x14ac:dyDescent="0.2">
      <c r="A1490" s="1082"/>
      <c r="B1490" s="537" t="s">
        <v>1826</v>
      </c>
      <c r="C1490" s="51" t="s">
        <v>1237</v>
      </c>
      <c r="D1490" s="50" t="s">
        <v>411</v>
      </c>
      <c r="E1490" s="160">
        <v>1</v>
      </c>
      <c r="F1490" s="23">
        <f>VLOOKUP(B1490,'[1]BASE DE DATOS'!$A$5:$E$964,5,FALSE)</f>
        <v>10850</v>
      </c>
      <c r="G1490" s="712">
        <v>1</v>
      </c>
      <c r="H1490" s="252">
        <f>IF(G1490&gt;0,(G1490*F1490*E1490),(F1490*E1490))</f>
        <v>10850</v>
      </c>
      <c r="I1490" s="914"/>
    </row>
    <row r="1491" spans="1:9" customFormat="1" ht="12.75" x14ac:dyDescent="0.2">
      <c r="A1491" s="63" t="s">
        <v>294</v>
      </c>
      <c r="B1491" s="537" t="s">
        <v>252</v>
      </c>
      <c r="C1491" s="51" t="s">
        <v>396</v>
      </c>
      <c r="D1491" s="50" t="s">
        <v>585</v>
      </c>
      <c r="E1491" s="160">
        <v>1</v>
      </c>
      <c r="F1491" s="23">
        <f>VLOOKUP(B1491,'[1]BASE DE DATOS'!$A$5:$E$964,5,FALSE)</f>
        <v>319246</v>
      </c>
      <c r="G1491" s="712">
        <f>1/10</f>
        <v>0.1</v>
      </c>
      <c r="H1491" s="252">
        <f t="shared" si="112"/>
        <v>31924.600000000002</v>
      </c>
      <c r="I1491" s="914"/>
    </row>
    <row r="1492" spans="1:9" customFormat="1" ht="13.5" thickBot="1" x14ac:dyDescent="0.25">
      <c r="A1492" s="128" t="s">
        <v>293</v>
      </c>
      <c r="B1492" s="615" t="s">
        <v>269</v>
      </c>
      <c r="C1492" s="853" t="s">
        <v>284</v>
      </c>
      <c r="D1492" s="617" t="s">
        <v>586</v>
      </c>
      <c r="E1492" s="618">
        <v>0.1</v>
      </c>
      <c r="F1492" s="845">
        <f>H1491</f>
        <v>31924.600000000002</v>
      </c>
      <c r="G1492" s="725">
        <v>1</v>
      </c>
      <c r="H1492" s="479">
        <f t="shared" si="112"/>
        <v>3192.4600000000005</v>
      </c>
      <c r="I1492" s="914"/>
    </row>
    <row r="1493" spans="1:9" s="42" customFormat="1" ht="24" customHeight="1" x14ac:dyDescent="0.2">
      <c r="A1493" s="294" t="s">
        <v>3199</v>
      </c>
      <c r="B1493" s="875"/>
      <c r="C1493" s="295" t="s">
        <v>2201</v>
      </c>
      <c r="D1493" s="296" t="s">
        <v>411</v>
      </c>
      <c r="E1493" s="304"/>
      <c r="F1493" s="259">
        <f>ROUND(SUM(H1493:H1497),0)</f>
        <v>51749</v>
      </c>
      <c r="G1493" s="722"/>
      <c r="H1493" s="303"/>
      <c r="I1493" s="914"/>
    </row>
    <row r="1494" spans="1:9" customFormat="1" ht="12.75" x14ac:dyDescent="0.2">
      <c r="A1494" s="1079" t="s">
        <v>382</v>
      </c>
      <c r="B1494" s="537" t="s">
        <v>1342</v>
      </c>
      <c r="C1494" s="51" t="s">
        <v>2131</v>
      </c>
      <c r="D1494" s="50" t="s">
        <v>256</v>
      </c>
      <c r="E1494" s="160">
        <v>1</v>
      </c>
      <c r="F1494" s="23">
        <f>VLOOKUP(B1494,'[1]BASE DE DATOS'!$A$5:$E$964,5,FALSE)</f>
        <v>28050</v>
      </c>
      <c r="G1494" s="161">
        <v>0.1</v>
      </c>
      <c r="H1494" s="252">
        <f>IF(G1494&gt;0,(G1494*F1494*E1494),(F1494*E1494))</f>
        <v>2805</v>
      </c>
      <c r="I1494" s="914"/>
    </row>
    <row r="1495" spans="1:9" customFormat="1" ht="13.9" customHeight="1" x14ac:dyDescent="0.2">
      <c r="A1495" s="1079"/>
      <c r="B1495" s="537" t="s">
        <v>1824</v>
      </c>
      <c r="C1495" s="51" t="s">
        <v>1239</v>
      </c>
      <c r="D1495" s="50" t="s">
        <v>411</v>
      </c>
      <c r="E1495" s="160">
        <v>1</v>
      </c>
      <c r="F1495" s="23">
        <f>VLOOKUP(B1495,'[1]BASE DE DATOS'!$A$5:$E$964,5,FALSE)</f>
        <v>19680</v>
      </c>
      <c r="G1495" s="712">
        <v>1</v>
      </c>
      <c r="H1495" s="252">
        <f t="shared" si="112"/>
        <v>19680</v>
      </c>
      <c r="I1495" s="914"/>
    </row>
    <row r="1496" spans="1:9" customFormat="1" ht="12.75" x14ac:dyDescent="0.2">
      <c r="A1496" s="63" t="s">
        <v>3673</v>
      </c>
      <c r="B1496" s="537" t="s">
        <v>398</v>
      </c>
      <c r="C1496" s="51" t="s">
        <v>399</v>
      </c>
      <c r="D1496" s="50" t="s">
        <v>585</v>
      </c>
      <c r="E1496" s="160">
        <v>1</v>
      </c>
      <c r="F1496" s="23">
        <f>VLOOKUP(B1496,'[1]BASE DE DATOS'!$A$5:$E$964,5,FALSE)</f>
        <v>177359</v>
      </c>
      <c r="G1496" s="712">
        <f>1/6.66667</f>
        <v>0.1499999250000375</v>
      </c>
      <c r="H1496" s="252">
        <f t="shared" si="112"/>
        <v>26603.83669808165</v>
      </c>
      <c r="I1496" s="914"/>
    </row>
    <row r="1497" spans="1:9" customFormat="1" ht="13.5" thickBot="1" x14ac:dyDescent="0.25">
      <c r="A1497" s="129" t="s">
        <v>293</v>
      </c>
      <c r="B1497" s="615" t="s">
        <v>269</v>
      </c>
      <c r="C1497" s="853" t="s">
        <v>284</v>
      </c>
      <c r="D1497" s="854" t="s">
        <v>586</v>
      </c>
      <c r="E1497" s="618">
        <v>0.1</v>
      </c>
      <c r="F1497" s="855">
        <f>+H1496</f>
        <v>26603.83669808165</v>
      </c>
      <c r="G1497" s="725">
        <v>1</v>
      </c>
      <c r="H1497" s="479">
        <f t="shared" si="112"/>
        <v>2660.383669808165</v>
      </c>
      <c r="I1497" s="914"/>
    </row>
    <row r="1498" spans="1:9" s="42" customFormat="1" ht="15" x14ac:dyDescent="0.2">
      <c r="A1498" s="294" t="s">
        <v>3203</v>
      </c>
      <c r="B1498" s="875"/>
      <c r="C1498" s="295" t="s">
        <v>2202</v>
      </c>
      <c r="D1498" s="296" t="s">
        <v>405</v>
      </c>
      <c r="E1498" s="304"/>
      <c r="F1498" s="259">
        <f>ROUND(SUM(H1498:H1501),0)</f>
        <v>56256</v>
      </c>
      <c r="G1498" s="722"/>
      <c r="H1498" s="303"/>
      <c r="I1498" s="914"/>
    </row>
    <row r="1499" spans="1:9" customFormat="1" ht="12.75" x14ac:dyDescent="0.2">
      <c r="A1499" s="802" t="s">
        <v>382</v>
      </c>
      <c r="B1499" s="537" t="s">
        <v>1823</v>
      </c>
      <c r="C1499" s="51" t="s">
        <v>2203</v>
      </c>
      <c r="D1499" s="50" t="s">
        <v>405</v>
      </c>
      <c r="E1499" s="160">
        <v>1</v>
      </c>
      <c r="F1499" s="23">
        <f>VLOOKUP(B1499,'[1]BASE DE DATOS'!$A$5:$E$964,5,FALSE)</f>
        <v>25150</v>
      </c>
      <c r="G1499" s="712">
        <v>1.05</v>
      </c>
      <c r="H1499" s="252">
        <f t="shared" ref="H1499:H1501" si="113">IF(G1499&gt;0,(G1499*F1499*E1499),(F1499*E1499))</f>
        <v>26407.5</v>
      </c>
      <c r="I1499" s="914"/>
    </row>
    <row r="1500" spans="1:9" customFormat="1" ht="12.75" x14ac:dyDescent="0.2">
      <c r="A1500" s="63" t="s">
        <v>3673</v>
      </c>
      <c r="B1500" s="537" t="s">
        <v>252</v>
      </c>
      <c r="C1500" s="151" t="s">
        <v>396</v>
      </c>
      <c r="D1500" s="148" t="s">
        <v>585</v>
      </c>
      <c r="E1500" s="160">
        <v>1</v>
      </c>
      <c r="F1500" s="23">
        <f>VLOOKUP(B1500,'[1]BASE DE DATOS'!$A$5:$E$964,5,FALSE)</f>
        <v>319246</v>
      </c>
      <c r="G1500" s="161">
        <f>1/11.765</f>
        <v>8.4997875053123673E-2</v>
      </c>
      <c r="H1500" s="252">
        <f t="shared" si="113"/>
        <v>27135.23161920952</v>
      </c>
      <c r="I1500" s="914"/>
    </row>
    <row r="1501" spans="1:9" customFormat="1" ht="13.5" thickBot="1" x14ac:dyDescent="0.25">
      <c r="A1501" s="128" t="s">
        <v>293</v>
      </c>
      <c r="B1501" s="615" t="s">
        <v>269</v>
      </c>
      <c r="C1501" s="616" t="s">
        <v>284</v>
      </c>
      <c r="D1501" s="617" t="s">
        <v>586</v>
      </c>
      <c r="E1501" s="618">
        <v>0.1</v>
      </c>
      <c r="F1501" s="845">
        <f>+H1500</f>
        <v>27135.23161920952</v>
      </c>
      <c r="G1501" s="618">
        <v>1</v>
      </c>
      <c r="H1501" s="479">
        <f t="shared" si="113"/>
        <v>2713.5231619209521</v>
      </c>
      <c r="I1501" s="914"/>
    </row>
    <row r="1502" spans="1:9" s="42" customFormat="1" ht="45" x14ac:dyDescent="0.2">
      <c r="A1502" s="294" t="s">
        <v>3206</v>
      </c>
      <c r="B1502" s="875"/>
      <c r="C1502" s="305" t="s">
        <v>2000</v>
      </c>
      <c r="D1502" s="296" t="s">
        <v>411</v>
      </c>
      <c r="E1502" s="304"/>
      <c r="F1502" s="259">
        <f>ROUND(SUM(H1502:H1512),0)</f>
        <v>928980</v>
      </c>
      <c r="G1502" s="722"/>
      <c r="H1502" s="303"/>
      <c r="I1502" s="914"/>
    </row>
    <row r="1503" spans="1:9" customFormat="1" ht="25.5" x14ac:dyDescent="0.2">
      <c r="A1503" s="1078" t="s">
        <v>295</v>
      </c>
      <c r="B1503" s="537" t="s">
        <v>2714</v>
      </c>
      <c r="C1503" s="151" t="s">
        <v>2701</v>
      </c>
      <c r="D1503" s="148" t="s">
        <v>411</v>
      </c>
      <c r="E1503" s="160">
        <v>1</v>
      </c>
      <c r="F1503" s="23">
        <f>VLOOKUP(B1503,'[1]BASE DE DATOS'!$A$5:$E$964,5,FALSE)</f>
        <v>234500</v>
      </c>
      <c r="G1503" s="161">
        <v>1</v>
      </c>
      <c r="H1503" s="252">
        <f>IF(G1503&gt;0,(G1503*F1503*E1503),(F1503*E1503))</f>
        <v>234500</v>
      </c>
      <c r="I1503" s="914"/>
    </row>
    <row r="1504" spans="1:9" customFormat="1" ht="12.75" x14ac:dyDescent="0.2">
      <c r="A1504" s="1078"/>
      <c r="B1504" s="537" t="s">
        <v>1819</v>
      </c>
      <c r="C1504" s="151" t="s">
        <v>2705</v>
      </c>
      <c r="D1504" s="148" t="s">
        <v>411</v>
      </c>
      <c r="E1504" s="160">
        <v>2</v>
      </c>
      <c r="F1504" s="23">
        <f>VLOOKUP(B1504,'[1]BASE DE DATOS'!$A$5:$E$964,5,FALSE)</f>
        <v>4050</v>
      </c>
      <c r="G1504" s="712">
        <v>1</v>
      </c>
      <c r="H1504" s="252">
        <f>IF(G1504&gt;0,(G1504*F1504*E1504),(F1504*E1504))</f>
        <v>8100</v>
      </c>
      <c r="I1504" s="914"/>
    </row>
    <row r="1505" spans="1:9" customFormat="1" ht="12.75" x14ac:dyDescent="0.2">
      <c r="A1505" s="1078"/>
      <c r="B1505" s="537" t="s">
        <v>1815</v>
      </c>
      <c r="C1505" s="151" t="s">
        <v>1242</v>
      </c>
      <c r="D1505" s="148" t="s">
        <v>411</v>
      </c>
      <c r="E1505" s="160">
        <v>2</v>
      </c>
      <c r="F1505" s="23">
        <f>VLOOKUP(B1505,'[1]BASE DE DATOS'!$A$5:$E$964,5,FALSE)</f>
        <v>4750</v>
      </c>
      <c r="G1505" s="712">
        <v>1</v>
      </c>
      <c r="H1505" s="252">
        <f>IF(G1505&gt;0,(G1505*F1505*E1505),(F1505*E1505))</f>
        <v>9500</v>
      </c>
      <c r="I1505" s="914"/>
    </row>
    <row r="1506" spans="1:9" customFormat="1" ht="12.75" x14ac:dyDescent="0.2">
      <c r="A1506" s="1078"/>
      <c r="B1506" s="537" t="s">
        <v>1816</v>
      </c>
      <c r="C1506" s="51" t="s">
        <v>2001</v>
      </c>
      <c r="D1506" s="50" t="s">
        <v>405</v>
      </c>
      <c r="E1506" s="160">
        <v>1</v>
      </c>
      <c r="F1506" s="23">
        <f>VLOOKUP(B1506,'[1]BASE DE DATOS'!$A$5:$E$964,5,FALSE)</f>
        <v>12495</v>
      </c>
      <c r="G1506" s="712">
        <v>1</v>
      </c>
      <c r="H1506" s="252">
        <f>IF(G1506&gt;0,(G1506*F1506*E1506),(F1506*E1506))</f>
        <v>12495</v>
      </c>
      <c r="I1506" s="914"/>
    </row>
    <row r="1507" spans="1:9" customFormat="1" ht="26.45" customHeight="1" x14ac:dyDescent="0.2">
      <c r="A1507" s="1078"/>
      <c r="B1507" s="537" t="s">
        <v>2679</v>
      </c>
      <c r="C1507" s="51" t="s">
        <v>2680</v>
      </c>
      <c r="D1507" s="50" t="s">
        <v>411</v>
      </c>
      <c r="E1507" s="160">
        <v>1</v>
      </c>
      <c r="F1507" s="23">
        <f>VLOOKUP(B1507,'[1]BASE DE DATOS'!$A$5:$E$964,5,FALSE)</f>
        <v>260000</v>
      </c>
      <c r="G1507" s="712">
        <v>1</v>
      </c>
      <c r="H1507" s="252">
        <f t="shared" ref="H1507:H1512" si="114">IF(G1507&gt;0,(G1507*F1507*E1507),(F1507*E1507))</f>
        <v>260000</v>
      </c>
      <c r="I1507" s="914"/>
    </row>
    <row r="1508" spans="1:9" customFormat="1" ht="12.75" x14ac:dyDescent="0.2">
      <c r="A1508" s="1078"/>
      <c r="B1508" s="537" t="s">
        <v>1820</v>
      </c>
      <c r="C1508" s="51" t="s">
        <v>1240</v>
      </c>
      <c r="D1508" s="50" t="s">
        <v>411</v>
      </c>
      <c r="E1508" s="160">
        <v>1</v>
      </c>
      <c r="F1508" s="23">
        <f>VLOOKUP(B1508,'[1]BASE DE DATOS'!$A$5:$E$964,5,FALSE)</f>
        <v>67400</v>
      </c>
      <c r="G1508" s="712">
        <v>1</v>
      </c>
      <c r="H1508" s="252">
        <f t="shared" si="114"/>
        <v>67400</v>
      </c>
      <c r="I1508" s="914"/>
    </row>
    <row r="1509" spans="1:9" customFormat="1" ht="12.75" x14ac:dyDescent="0.2">
      <c r="A1509" s="1078"/>
      <c r="B1509" s="537" t="s">
        <v>1818</v>
      </c>
      <c r="C1509" s="51" t="s">
        <v>3068</v>
      </c>
      <c r="D1509" s="50" t="s">
        <v>405</v>
      </c>
      <c r="E1509" s="160">
        <v>6</v>
      </c>
      <c r="F1509" s="23">
        <f>VLOOKUP(B1509,'[1]BASE DE DATOS'!$A$5:$E$964,5,FALSE)</f>
        <v>26150</v>
      </c>
      <c r="G1509" s="712">
        <v>1</v>
      </c>
      <c r="H1509" s="252">
        <f>IF(G1509&gt;0,(G1509*F1509*E1509),(F1509*E1509))</f>
        <v>156900</v>
      </c>
      <c r="I1509" s="914"/>
    </row>
    <row r="1510" spans="1:9" customFormat="1" ht="12.75" x14ac:dyDescent="0.2">
      <c r="A1510" s="1078"/>
      <c r="B1510" s="537" t="s">
        <v>2653</v>
      </c>
      <c r="C1510" s="151" t="s">
        <v>1241</v>
      </c>
      <c r="D1510" s="148" t="s">
        <v>411</v>
      </c>
      <c r="E1510" s="160">
        <v>2</v>
      </c>
      <c r="F1510" s="23">
        <f>VLOOKUP(B1510,'[1]BASE DE DATOS'!$A$5:$E$964,5,FALSE)</f>
        <v>2250</v>
      </c>
      <c r="G1510" s="712">
        <v>1</v>
      </c>
      <c r="H1510" s="252">
        <f>IF(G1510&gt;0,(G1510*F1510*E1510),(F1510*E1510))</f>
        <v>4500</v>
      </c>
      <c r="I1510" s="914"/>
    </row>
    <row r="1511" spans="1:9" customFormat="1" ht="12.75" x14ac:dyDescent="0.2">
      <c r="A1511" s="63" t="s">
        <v>3673</v>
      </c>
      <c r="B1511" s="537" t="s">
        <v>252</v>
      </c>
      <c r="C1511" s="151" t="s">
        <v>396</v>
      </c>
      <c r="D1511" s="148" t="s">
        <v>585</v>
      </c>
      <c r="E1511" s="160">
        <v>1</v>
      </c>
      <c r="F1511" s="23">
        <f>VLOOKUP(B1511,'[1]BASE DE DATOS'!$A$5:$E$964,5,FALSE)</f>
        <v>319246</v>
      </c>
      <c r="G1511" s="161">
        <f>1/2</f>
        <v>0.5</v>
      </c>
      <c r="H1511" s="252">
        <f t="shared" si="114"/>
        <v>159623</v>
      </c>
      <c r="I1511" s="914"/>
    </row>
    <row r="1512" spans="1:9" customFormat="1" ht="13.5" thickBot="1" x14ac:dyDescent="0.25">
      <c r="A1512" s="128" t="s">
        <v>293</v>
      </c>
      <c r="B1512" s="537" t="s">
        <v>269</v>
      </c>
      <c r="C1512" s="151" t="s">
        <v>284</v>
      </c>
      <c r="D1512" s="617" t="s">
        <v>586</v>
      </c>
      <c r="E1512" s="160">
        <v>0.1</v>
      </c>
      <c r="F1512" s="149">
        <f>H1511</f>
        <v>159623</v>
      </c>
      <c r="G1512" s="160">
        <v>1</v>
      </c>
      <c r="H1512" s="479">
        <f t="shared" si="114"/>
        <v>15962.300000000001</v>
      </c>
      <c r="I1512" s="914"/>
    </row>
    <row r="1513" spans="1:9" s="42" customFormat="1" ht="15" x14ac:dyDescent="0.2">
      <c r="A1513" s="294" t="s">
        <v>3207</v>
      </c>
      <c r="B1513" s="876"/>
      <c r="C1513" s="300" t="s">
        <v>2002</v>
      </c>
      <c r="D1513" s="301" t="s">
        <v>405</v>
      </c>
      <c r="E1513" s="302"/>
      <c r="F1513" s="259">
        <f>ROUND(SUM(H1513:H1519),0)</f>
        <v>15398</v>
      </c>
      <c r="G1513" s="713"/>
      <c r="H1513" s="303"/>
      <c r="I1513" s="914"/>
    </row>
    <row r="1514" spans="1:9" customFormat="1" ht="12.75" x14ac:dyDescent="0.2">
      <c r="A1514" s="1079" t="s">
        <v>382</v>
      </c>
      <c r="B1514" s="537" t="s">
        <v>1462</v>
      </c>
      <c r="C1514" s="151" t="s">
        <v>1</v>
      </c>
      <c r="D1514" s="148" t="s">
        <v>642</v>
      </c>
      <c r="E1514" s="160">
        <v>0.25</v>
      </c>
      <c r="F1514" s="23">
        <f>VLOOKUP(B1514,'[1]BASE DE DATOS'!$A$5:$E$964,5,FALSE)</f>
        <v>46900</v>
      </c>
      <c r="G1514" s="160">
        <v>2.5000000000000001E-3</v>
      </c>
      <c r="H1514" s="252">
        <f t="shared" ref="H1514:H1581" si="115">IF(G1514&gt;0,(G1514*F1514*E1514),(F1514*E1514))</f>
        <v>29.3125</v>
      </c>
      <c r="I1514" s="914"/>
    </row>
    <row r="1515" spans="1:9" customFormat="1" ht="12.75" x14ac:dyDescent="0.2">
      <c r="A1515" s="1079"/>
      <c r="B1515" s="537" t="s">
        <v>1701</v>
      </c>
      <c r="C1515" s="856" t="s">
        <v>2652</v>
      </c>
      <c r="D1515" s="148" t="s">
        <v>411</v>
      </c>
      <c r="E1515" s="160">
        <v>0.7</v>
      </c>
      <c r="F1515" s="23">
        <v>89900</v>
      </c>
      <c r="G1515" s="160">
        <v>2.5000000000000001E-3</v>
      </c>
      <c r="H1515" s="252">
        <f t="shared" si="115"/>
        <v>157.32499999999999</v>
      </c>
      <c r="I1515" s="914"/>
    </row>
    <row r="1516" spans="1:9" customFormat="1" ht="13.9" customHeight="1" x14ac:dyDescent="0.2">
      <c r="A1516" s="1079"/>
      <c r="B1516" s="537" t="s">
        <v>2654</v>
      </c>
      <c r="C1516" s="151" t="s">
        <v>2748</v>
      </c>
      <c r="D1516" s="148" t="s">
        <v>405</v>
      </c>
      <c r="E1516" s="160">
        <v>1</v>
      </c>
      <c r="F1516" s="23">
        <f>VLOOKUP(B1516,'[1]BASE DE DATOS'!$A$5:$E$964,5,FALSE)</f>
        <v>2350</v>
      </c>
      <c r="G1516" s="160">
        <v>1.05</v>
      </c>
      <c r="H1516" s="252">
        <f>IF(G1516&gt;0,(G1516*F1516*E1516),(F1516*E1516))</f>
        <v>2467.5</v>
      </c>
      <c r="I1516" s="914"/>
    </row>
    <row r="1517" spans="1:9" customFormat="1" x14ac:dyDescent="0.2">
      <c r="A1517" s="797" t="s">
        <v>3252</v>
      </c>
      <c r="B1517" s="537" t="s">
        <v>810</v>
      </c>
      <c r="C1517" s="151" t="s">
        <v>2097</v>
      </c>
      <c r="D1517" s="148" t="s">
        <v>1920</v>
      </c>
      <c r="E1517" s="160">
        <v>4.0000000000000001E-3</v>
      </c>
      <c r="F1517" s="23">
        <f>+[1]CONSTRUCCION!$F$90</f>
        <v>525897</v>
      </c>
      <c r="G1517" s="160">
        <v>1.05</v>
      </c>
      <c r="H1517" s="252">
        <f t="shared" si="115"/>
        <v>2208.7674000000002</v>
      </c>
      <c r="I1517" s="914"/>
    </row>
    <row r="1518" spans="1:9" customFormat="1" ht="12.75" x14ac:dyDescent="0.2">
      <c r="A1518" s="63" t="s">
        <v>3673</v>
      </c>
      <c r="B1518" s="537" t="s">
        <v>252</v>
      </c>
      <c r="C1518" s="151" t="s">
        <v>396</v>
      </c>
      <c r="D1518" s="148" t="s">
        <v>585</v>
      </c>
      <c r="E1518" s="161">
        <v>1</v>
      </c>
      <c r="F1518" s="23">
        <f>VLOOKUP(B1518,'[1]BASE DE DATOS'!$A$5:$E$964,5,FALSE)</f>
        <v>319246</v>
      </c>
      <c r="G1518" s="161">
        <f>1/33.33333</f>
        <v>3.0000003000000303E-2</v>
      </c>
      <c r="H1518" s="252">
        <f t="shared" si="115"/>
        <v>9577.3809577380962</v>
      </c>
      <c r="I1518" s="914"/>
    </row>
    <row r="1519" spans="1:9" customFormat="1" ht="13.5" thickBot="1" x14ac:dyDescent="0.25">
      <c r="A1519" s="128" t="s">
        <v>293</v>
      </c>
      <c r="B1519" s="537" t="s">
        <v>269</v>
      </c>
      <c r="C1519" s="616" t="s">
        <v>284</v>
      </c>
      <c r="D1519" s="617" t="s">
        <v>586</v>
      </c>
      <c r="E1519" s="160">
        <v>0.1</v>
      </c>
      <c r="F1519" s="845">
        <f>H1518</f>
        <v>9577.3809577380962</v>
      </c>
      <c r="G1519" s="618">
        <v>1</v>
      </c>
      <c r="H1519" s="479">
        <f t="shared" si="115"/>
        <v>957.73809577380962</v>
      </c>
      <c r="I1519" s="914"/>
    </row>
    <row r="1520" spans="1:9" s="42" customFormat="1" ht="15" x14ac:dyDescent="0.2">
      <c r="A1520" s="294" t="s">
        <v>3208</v>
      </c>
      <c r="B1520" s="876"/>
      <c r="C1520" s="300" t="s">
        <v>4212</v>
      </c>
      <c r="D1520" s="301" t="s">
        <v>405</v>
      </c>
      <c r="E1520" s="302"/>
      <c r="F1520" s="259">
        <f>ROUND(SUM(H1520:H1524),0)</f>
        <v>28146</v>
      </c>
      <c r="G1520" s="713"/>
      <c r="H1520" s="303"/>
      <c r="I1520" s="914"/>
    </row>
    <row r="1521" spans="1:9" customFormat="1" ht="12.75" x14ac:dyDescent="0.2">
      <c r="A1521" s="1079" t="s">
        <v>382</v>
      </c>
      <c r="B1521" s="537" t="s">
        <v>1813</v>
      </c>
      <c r="C1521" s="151" t="s">
        <v>1243</v>
      </c>
      <c r="D1521" s="148" t="s">
        <v>405</v>
      </c>
      <c r="E1521" s="160">
        <v>3</v>
      </c>
      <c r="F1521" s="23">
        <f>VLOOKUP(B1521,'[1]BASE DE DATOS'!$A$5:$E$964,5,FALSE)</f>
        <v>6950</v>
      </c>
      <c r="G1521" s="160">
        <v>1.03</v>
      </c>
      <c r="H1521" s="252">
        <f t="shared" si="115"/>
        <v>21475.5</v>
      </c>
      <c r="I1521" s="914"/>
    </row>
    <row r="1522" spans="1:9" customFormat="1" ht="12.75" x14ac:dyDescent="0.2">
      <c r="A1522" s="1079"/>
      <c r="B1522" s="537" t="s">
        <v>1342</v>
      </c>
      <c r="C1522" s="51" t="s">
        <v>2131</v>
      </c>
      <c r="D1522" s="50" t="s">
        <v>256</v>
      </c>
      <c r="E1522" s="160">
        <v>0.5</v>
      </c>
      <c r="F1522" s="23">
        <f>VLOOKUP(B1522,'[1]BASE DE DATOS'!$A$5:$E$964,5,FALSE)</f>
        <v>28050</v>
      </c>
      <c r="G1522" s="161">
        <v>0.1</v>
      </c>
      <c r="H1522" s="252">
        <f t="shared" si="115"/>
        <v>1402.5</v>
      </c>
      <c r="I1522" s="914"/>
    </row>
    <row r="1523" spans="1:9" customFormat="1" ht="12.75" x14ac:dyDescent="0.2">
      <c r="A1523" s="63" t="s">
        <v>3673</v>
      </c>
      <c r="B1523" s="537" t="s">
        <v>252</v>
      </c>
      <c r="C1523" s="151" t="s">
        <v>396</v>
      </c>
      <c r="D1523" s="148" t="s">
        <v>585</v>
      </c>
      <c r="E1523" s="161">
        <v>1</v>
      </c>
      <c r="F1523" s="23">
        <f>VLOOKUP(B1523,'[1]BASE DE DATOS'!$A$5:$E$964,5,FALSE)</f>
        <v>319246</v>
      </c>
      <c r="G1523" s="161">
        <f>1/66.66667</f>
        <v>1.4999999250000038E-2</v>
      </c>
      <c r="H1523" s="252">
        <f t="shared" si="115"/>
        <v>4788.6897605655122</v>
      </c>
      <c r="I1523" s="914"/>
    </row>
    <row r="1524" spans="1:9" customFormat="1" ht="13.5" thickBot="1" x14ac:dyDescent="0.25">
      <c r="A1524" s="128" t="s">
        <v>293</v>
      </c>
      <c r="B1524" s="537" t="s">
        <v>269</v>
      </c>
      <c r="C1524" s="616" t="s">
        <v>284</v>
      </c>
      <c r="D1524" s="617" t="s">
        <v>586</v>
      </c>
      <c r="E1524" s="160">
        <v>0.1</v>
      </c>
      <c r="F1524" s="845">
        <f>H1523</f>
        <v>4788.6897605655122</v>
      </c>
      <c r="G1524" s="618">
        <v>1</v>
      </c>
      <c r="H1524" s="479">
        <f t="shared" si="115"/>
        <v>478.86897605655122</v>
      </c>
      <c r="I1524" s="914"/>
    </row>
    <row r="1525" spans="1:9" s="42" customFormat="1" ht="15" x14ac:dyDescent="0.2">
      <c r="A1525" s="294" t="s">
        <v>3209</v>
      </c>
      <c r="B1525" s="876"/>
      <c r="C1525" s="300" t="s">
        <v>2003</v>
      </c>
      <c r="D1525" s="301" t="s">
        <v>405</v>
      </c>
      <c r="E1525" s="302"/>
      <c r="F1525" s="259">
        <f>ROUND(SUM(H1525:H1531),0)</f>
        <v>8974</v>
      </c>
      <c r="G1525" s="713"/>
      <c r="H1525" s="303"/>
      <c r="I1525" s="914"/>
    </row>
    <row r="1526" spans="1:9" customFormat="1" ht="12.75" x14ac:dyDescent="0.2">
      <c r="A1526" s="1079" t="s">
        <v>382</v>
      </c>
      <c r="B1526" s="537" t="s">
        <v>1462</v>
      </c>
      <c r="C1526" s="151" t="s">
        <v>1</v>
      </c>
      <c r="D1526" s="148" t="s">
        <v>642</v>
      </c>
      <c r="E1526" s="160">
        <v>0.25</v>
      </c>
      <c r="F1526" s="23">
        <f>VLOOKUP(B1526,'[1]BASE DE DATOS'!$A$5:$E$964,5,FALSE)</f>
        <v>46900</v>
      </c>
      <c r="G1526" s="160">
        <v>2.2000000000000001E-3</v>
      </c>
      <c r="H1526" s="252">
        <f t="shared" si="115"/>
        <v>25.795000000000002</v>
      </c>
      <c r="I1526" s="914"/>
    </row>
    <row r="1527" spans="1:9" customFormat="1" ht="12.75" x14ac:dyDescent="0.2">
      <c r="A1527" s="1079"/>
      <c r="B1527" s="537" t="s">
        <v>1701</v>
      </c>
      <c r="C1527" s="856" t="s">
        <v>2652</v>
      </c>
      <c r="D1527" s="148" t="s">
        <v>411</v>
      </c>
      <c r="E1527" s="160">
        <v>0.7</v>
      </c>
      <c r="F1527" s="23">
        <f>VLOOKUP(B1527,'[1]BASE DE DATOS'!$A$5:$E$964,5,FALSE)</f>
        <v>80900</v>
      </c>
      <c r="G1527" s="160">
        <v>2.2000000000000001E-3</v>
      </c>
      <c r="H1527" s="252">
        <f t="shared" si="115"/>
        <v>124.586</v>
      </c>
      <c r="I1527" s="914"/>
    </row>
    <row r="1528" spans="1:9" customFormat="1" ht="13.9" customHeight="1" x14ac:dyDescent="0.2">
      <c r="A1528" s="1079"/>
      <c r="B1528" s="537" t="s">
        <v>1863</v>
      </c>
      <c r="C1528" s="151" t="s">
        <v>3073</v>
      </c>
      <c r="D1528" s="148" t="s">
        <v>405</v>
      </c>
      <c r="E1528" s="160">
        <v>1</v>
      </c>
      <c r="F1528" s="23">
        <f>VLOOKUP(B1528,'[1]BASE DE DATOS'!$A$5:$E$964,5,FALSE)</f>
        <v>1283.3333333333333</v>
      </c>
      <c r="G1528" s="160">
        <v>1.05</v>
      </c>
      <c r="H1528" s="252">
        <f>IF(G1528&gt;0,(G1528*F1528*E1528),(F1528*E1528))</f>
        <v>1347.5</v>
      </c>
      <c r="I1528" s="914"/>
    </row>
    <row r="1529" spans="1:9" customFormat="1" x14ac:dyDescent="0.2">
      <c r="A1529" s="797" t="s">
        <v>3252</v>
      </c>
      <c r="B1529" s="537" t="s">
        <v>810</v>
      </c>
      <c r="C1529" s="151" t="s">
        <v>2097</v>
      </c>
      <c r="D1529" s="148" t="s">
        <v>1920</v>
      </c>
      <c r="E1529" s="160">
        <v>4.0000000000000001E-3</v>
      </c>
      <c r="F1529" s="23">
        <f>+[1]CONSTRUCCION!$F$90</f>
        <v>525897</v>
      </c>
      <c r="G1529" s="160">
        <v>1.05</v>
      </c>
      <c r="H1529" s="252">
        <f t="shared" si="115"/>
        <v>2208.7674000000002</v>
      </c>
      <c r="I1529" s="914"/>
    </row>
    <row r="1530" spans="1:9" customFormat="1" ht="12.75" x14ac:dyDescent="0.2">
      <c r="A1530" s="63" t="s">
        <v>3673</v>
      </c>
      <c r="B1530" s="537" t="s">
        <v>252</v>
      </c>
      <c r="C1530" s="151" t="s">
        <v>396</v>
      </c>
      <c r="D1530" s="148" t="s">
        <v>585</v>
      </c>
      <c r="E1530" s="161">
        <v>1</v>
      </c>
      <c r="F1530" s="23">
        <f>VLOOKUP(B1530,'[1]BASE DE DATOS'!$A$5:$E$964,5,FALSE)</f>
        <v>319246</v>
      </c>
      <c r="G1530" s="161">
        <f>1/66.66667</f>
        <v>1.4999999250000038E-2</v>
      </c>
      <c r="H1530" s="252">
        <f t="shared" si="115"/>
        <v>4788.6897605655122</v>
      </c>
      <c r="I1530" s="914"/>
    </row>
    <row r="1531" spans="1:9" customFormat="1" ht="13.5" thickBot="1" x14ac:dyDescent="0.25">
      <c r="A1531" s="128" t="s">
        <v>293</v>
      </c>
      <c r="B1531" s="537" t="s">
        <v>269</v>
      </c>
      <c r="C1531" s="616" t="s">
        <v>284</v>
      </c>
      <c r="D1531" s="617" t="s">
        <v>586</v>
      </c>
      <c r="E1531" s="160">
        <v>0.1</v>
      </c>
      <c r="F1531" s="845">
        <f>+H1530</f>
        <v>4788.6897605655122</v>
      </c>
      <c r="G1531" s="618">
        <v>1</v>
      </c>
      <c r="H1531" s="479">
        <f t="shared" si="115"/>
        <v>478.86897605655122</v>
      </c>
      <c r="I1531" s="914"/>
    </row>
    <row r="1532" spans="1:9" s="42" customFormat="1" ht="15" x14ac:dyDescent="0.2">
      <c r="A1532" s="294" t="s">
        <v>3210</v>
      </c>
      <c r="B1532" s="876"/>
      <c r="C1532" s="300" t="s">
        <v>2200</v>
      </c>
      <c r="D1532" s="301" t="s">
        <v>405</v>
      </c>
      <c r="E1532" s="302"/>
      <c r="F1532" s="259">
        <f>ROUND(SUM(H1532:H1536),0)</f>
        <v>14578</v>
      </c>
      <c r="G1532" s="713"/>
      <c r="H1532" s="303"/>
      <c r="I1532" s="914"/>
    </row>
    <row r="1533" spans="1:9" customFormat="1" ht="12.75" x14ac:dyDescent="0.2">
      <c r="A1533" s="1079" t="s">
        <v>382</v>
      </c>
      <c r="B1533" s="537" t="s">
        <v>1857</v>
      </c>
      <c r="C1533" s="151" t="s">
        <v>1244</v>
      </c>
      <c r="D1533" s="148" t="s">
        <v>405</v>
      </c>
      <c r="E1533" s="160">
        <v>3</v>
      </c>
      <c r="F1533" s="23">
        <f>VLOOKUP(B1533,'[1]BASE DE DATOS'!$A$5:$E$964,5,FALSE)</f>
        <v>2900</v>
      </c>
      <c r="G1533" s="160">
        <v>1.03</v>
      </c>
      <c r="H1533" s="252">
        <f t="shared" si="115"/>
        <v>8961</v>
      </c>
      <c r="I1533" s="914"/>
    </row>
    <row r="1534" spans="1:9" customFormat="1" ht="12.75" x14ac:dyDescent="0.2">
      <c r="A1534" s="1079"/>
      <c r="B1534" s="537" t="s">
        <v>1342</v>
      </c>
      <c r="C1534" s="51" t="s">
        <v>2131</v>
      </c>
      <c r="D1534" s="50" t="s">
        <v>256</v>
      </c>
      <c r="E1534" s="160">
        <v>0.5</v>
      </c>
      <c r="F1534" s="23">
        <f>VLOOKUP(B1534,'[1]BASE DE DATOS'!$A$5:$E$964,5,FALSE)</f>
        <v>28050</v>
      </c>
      <c r="G1534" s="161">
        <v>0.1</v>
      </c>
      <c r="H1534" s="252">
        <f t="shared" si="115"/>
        <v>1402.5</v>
      </c>
      <c r="I1534" s="914"/>
    </row>
    <row r="1535" spans="1:9" customFormat="1" ht="12.75" x14ac:dyDescent="0.2">
      <c r="A1535" s="63" t="s">
        <v>3673</v>
      </c>
      <c r="B1535" s="537" t="s">
        <v>252</v>
      </c>
      <c r="C1535" s="151" t="s">
        <v>396</v>
      </c>
      <c r="D1535" s="148" t="s">
        <v>585</v>
      </c>
      <c r="E1535" s="161">
        <v>1</v>
      </c>
      <c r="F1535" s="23">
        <f>VLOOKUP(B1535,'[1]BASE DE DATOS'!$A$5:$E$964,5,FALSE)</f>
        <v>319246</v>
      </c>
      <c r="G1535" s="161">
        <f>1/83.33333</f>
        <v>1.2000000480000019E-2</v>
      </c>
      <c r="H1535" s="252">
        <f t="shared" si="115"/>
        <v>3830.9521532380863</v>
      </c>
      <c r="I1535" s="914"/>
    </row>
    <row r="1536" spans="1:9" customFormat="1" ht="13.5" thickBot="1" x14ac:dyDescent="0.25">
      <c r="A1536" s="128" t="s">
        <v>293</v>
      </c>
      <c r="B1536" s="537" t="s">
        <v>269</v>
      </c>
      <c r="C1536" s="616" t="s">
        <v>284</v>
      </c>
      <c r="D1536" s="617" t="s">
        <v>586</v>
      </c>
      <c r="E1536" s="160">
        <v>0.1</v>
      </c>
      <c r="F1536" s="845">
        <f>H1535</f>
        <v>3830.9521532380863</v>
      </c>
      <c r="G1536" s="618">
        <v>1</v>
      </c>
      <c r="H1536" s="479">
        <f t="shared" si="115"/>
        <v>383.09521532380865</v>
      </c>
      <c r="I1536" s="914"/>
    </row>
    <row r="1537" spans="1:9" s="42" customFormat="1" ht="15" x14ac:dyDescent="0.2">
      <c r="A1537" s="294" t="s">
        <v>3211</v>
      </c>
      <c r="B1537" s="876"/>
      <c r="C1537" s="300" t="s">
        <v>3231</v>
      </c>
      <c r="D1537" s="301" t="s">
        <v>405</v>
      </c>
      <c r="E1537" s="302"/>
      <c r="F1537" s="259">
        <f>ROUND(SUM(H1537:H1542),0)</f>
        <v>9806</v>
      </c>
      <c r="G1537" s="713"/>
      <c r="H1537" s="303"/>
      <c r="I1537" s="914"/>
    </row>
    <row r="1538" spans="1:9" customFormat="1" ht="12.75" x14ac:dyDescent="0.2">
      <c r="A1538" s="1079" t="s">
        <v>382</v>
      </c>
      <c r="B1538" s="537" t="s">
        <v>1462</v>
      </c>
      <c r="C1538" s="151" t="s">
        <v>1</v>
      </c>
      <c r="D1538" s="148" t="s">
        <v>642</v>
      </c>
      <c r="E1538" s="160">
        <v>0.25</v>
      </c>
      <c r="F1538" s="23">
        <f>VLOOKUP(B1538,'[1]BASE DE DATOS'!$A$5:$E$964,5,FALSE)</f>
        <v>46900</v>
      </c>
      <c r="G1538" s="160">
        <v>2.2000000000000001E-3</v>
      </c>
      <c r="H1538" s="252">
        <f t="shared" si="115"/>
        <v>25.795000000000002</v>
      </c>
      <c r="I1538" s="914"/>
    </row>
    <row r="1539" spans="1:9" customFormat="1" ht="12.75" x14ac:dyDescent="0.2">
      <c r="A1539" s="1079"/>
      <c r="B1539" s="537" t="s">
        <v>1701</v>
      </c>
      <c r="C1539" s="856" t="s">
        <v>2652</v>
      </c>
      <c r="D1539" s="148" t="s">
        <v>411</v>
      </c>
      <c r="E1539" s="160">
        <v>0.34499999999999997</v>
      </c>
      <c r="F1539" s="23">
        <f>VLOOKUP(B1539,'[1]BASE DE DATOS'!$A$5:$E$964,5,FALSE)</f>
        <v>80900</v>
      </c>
      <c r="G1539" s="160">
        <v>2.2000000000000001E-3</v>
      </c>
      <c r="H1539" s="252">
        <f t="shared" si="115"/>
        <v>61.403100000000002</v>
      </c>
      <c r="I1539" s="914"/>
    </row>
    <row r="1540" spans="1:9" customFormat="1" ht="13.9" customHeight="1" x14ac:dyDescent="0.2">
      <c r="A1540" s="1079"/>
      <c r="B1540" s="537" t="s">
        <v>1878</v>
      </c>
      <c r="C1540" s="151" t="s">
        <v>3161</v>
      </c>
      <c r="D1540" s="148" t="s">
        <v>405</v>
      </c>
      <c r="E1540" s="160">
        <v>1</v>
      </c>
      <c r="F1540" s="23">
        <f>VLOOKUP(B1540,'[1]BASE DE DATOS'!$A$5:$E$964,5,FALSE)</f>
        <v>2566.6666666666665</v>
      </c>
      <c r="G1540" s="160">
        <v>1.05</v>
      </c>
      <c r="H1540" s="252">
        <f>IF(G1540&gt;0,(G1540*F1540*E1540),(F1540*E1540))</f>
        <v>2695</v>
      </c>
      <c r="I1540" s="914"/>
    </row>
    <row r="1541" spans="1:9" customFormat="1" ht="12.75" x14ac:dyDescent="0.2">
      <c r="A1541" s="63" t="s">
        <v>3673</v>
      </c>
      <c r="B1541" s="537" t="s">
        <v>252</v>
      </c>
      <c r="C1541" s="151" t="s">
        <v>396</v>
      </c>
      <c r="D1541" s="148" t="s">
        <v>585</v>
      </c>
      <c r="E1541" s="161">
        <v>1</v>
      </c>
      <c r="F1541" s="23">
        <f>VLOOKUP(B1541,'[1]BASE DE DATOS'!$A$5:$E$964,5,FALSE)</f>
        <v>319246</v>
      </c>
      <c r="G1541" s="161">
        <f>1/50</f>
        <v>0.02</v>
      </c>
      <c r="H1541" s="252">
        <f t="shared" si="115"/>
        <v>6384.92</v>
      </c>
      <c r="I1541" s="914"/>
    </row>
    <row r="1542" spans="1:9" customFormat="1" ht="13.5" thickBot="1" x14ac:dyDescent="0.25">
      <c r="A1542" s="128" t="s">
        <v>293</v>
      </c>
      <c r="B1542" s="537" t="s">
        <v>269</v>
      </c>
      <c r="C1542" s="616" t="s">
        <v>284</v>
      </c>
      <c r="D1542" s="617" t="s">
        <v>586</v>
      </c>
      <c r="E1542" s="160">
        <v>0.1</v>
      </c>
      <c r="F1542" s="845">
        <f>+H1541</f>
        <v>6384.92</v>
      </c>
      <c r="G1542" s="618">
        <v>1</v>
      </c>
      <c r="H1542" s="479">
        <f t="shared" si="115"/>
        <v>638.49200000000008</v>
      </c>
      <c r="I1542" s="914"/>
    </row>
    <row r="1543" spans="1:9" s="42" customFormat="1" ht="30" x14ac:dyDescent="0.2">
      <c r="A1543" s="294" t="s">
        <v>3212</v>
      </c>
      <c r="B1543" s="876"/>
      <c r="C1543" s="300" t="s">
        <v>1245</v>
      </c>
      <c r="D1543" s="301" t="s">
        <v>411</v>
      </c>
      <c r="E1543" s="302"/>
      <c r="F1543" s="259">
        <f>ROUND(SUM(H1543:H1557),0)</f>
        <v>147313</v>
      </c>
      <c r="G1543" s="713"/>
      <c r="H1543" s="303"/>
      <c r="I1543" s="914"/>
    </row>
    <row r="1544" spans="1:9" customFormat="1" ht="12.75" x14ac:dyDescent="0.2">
      <c r="A1544" s="1078" t="s">
        <v>295</v>
      </c>
      <c r="B1544" s="537" t="s">
        <v>1862</v>
      </c>
      <c r="C1544" s="151" t="s">
        <v>2576</v>
      </c>
      <c r="D1544" s="148" t="s">
        <v>411</v>
      </c>
      <c r="E1544" s="160">
        <v>2</v>
      </c>
      <c r="F1544" s="23">
        <f>VLOOKUP(B1544,'[1]BASE DE DATOS'!$A$5:$E$964,5,FALSE)</f>
        <v>400</v>
      </c>
      <c r="G1544" s="161">
        <v>1</v>
      </c>
      <c r="H1544" s="252">
        <f>IF(G1544&gt;0,(G1544*F1544*E1544),(F1544*E1544))</f>
        <v>800</v>
      </c>
      <c r="I1544" s="914"/>
    </row>
    <row r="1545" spans="1:9" customFormat="1" ht="12.75" x14ac:dyDescent="0.2">
      <c r="A1545" s="1078"/>
      <c r="B1545" s="537" t="s">
        <v>2553</v>
      </c>
      <c r="C1545" s="151" t="s">
        <v>1225</v>
      </c>
      <c r="D1545" s="148" t="s">
        <v>405</v>
      </c>
      <c r="E1545" s="160">
        <v>18</v>
      </c>
      <c r="F1545" s="23">
        <f>VLOOKUP(B1545,'[1]BASE DE DATOS'!$A$5:$E$964,5,FALSE)</f>
        <v>2900</v>
      </c>
      <c r="G1545" s="161">
        <v>1.05</v>
      </c>
      <c r="H1545" s="252">
        <f>IF(G1545&gt;0,(G1545*F1545*E1545),(F1545*E1545))</f>
        <v>54810</v>
      </c>
      <c r="I1545" s="914"/>
    </row>
    <row r="1546" spans="1:9" customFormat="1" ht="12.75" x14ac:dyDescent="0.2">
      <c r="A1546" s="1078"/>
      <c r="B1546" s="537" t="s">
        <v>1861</v>
      </c>
      <c r="C1546" s="150" t="s">
        <v>2129</v>
      </c>
      <c r="D1546" s="148" t="s">
        <v>411</v>
      </c>
      <c r="E1546" s="160">
        <v>1</v>
      </c>
      <c r="F1546" s="23">
        <f>VLOOKUP(B1546,'[1]BASE DE DATOS'!$A$5:$E$964,5,FALSE)</f>
        <v>1890</v>
      </c>
      <c r="G1546" s="161">
        <v>1</v>
      </c>
      <c r="H1546" s="252">
        <f>IF(G1546&gt;0,(G1546*F1546*E1546),(F1546*E1546))</f>
        <v>1890</v>
      </c>
      <c r="I1546" s="914"/>
    </row>
    <row r="1547" spans="1:9" customFormat="1" ht="12.75" x14ac:dyDescent="0.2">
      <c r="A1547" s="1078"/>
      <c r="B1547" s="537" t="s">
        <v>1342</v>
      </c>
      <c r="C1547" s="151" t="s">
        <v>2131</v>
      </c>
      <c r="D1547" s="148" t="s">
        <v>256</v>
      </c>
      <c r="E1547" s="160">
        <v>1</v>
      </c>
      <c r="F1547" s="23">
        <f>VLOOKUP(B1547,'[1]BASE DE DATOS'!$A$5:$E$964,5,FALSE)</f>
        <v>28050</v>
      </c>
      <c r="G1547" s="161">
        <v>5.2999999999999999E-2</v>
      </c>
      <c r="H1547" s="252">
        <f>IF(G1547&gt;0,(G1547*F1547*E1547),(F1547*E1547))</f>
        <v>1486.6499999999999</v>
      </c>
      <c r="I1547" s="914"/>
    </row>
    <row r="1548" spans="1:9" customFormat="1" ht="12.75" x14ac:dyDescent="0.2">
      <c r="A1548" s="1078"/>
      <c r="B1548" s="537" t="s">
        <v>1859</v>
      </c>
      <c r="C1548" s="151" t="s">
        <v>1222</v>
      </c>
      <c r="D1548" s="148" t="s">
        <v>411</v>
      </c>
      <c r="E1548" s="160">
        <v>3</v>
      </c>
      <c r="F1548" s="23">
        <f>VLOOKUP(B1548,'[1]BASE DE DATOS'!$A$5:$E$964,5,FALSE)</f>
        <v>2350</v>
      </c>
      <c r="G1548" s="712">
        <v>1</v>
      </c>
      <c r="H1548" s="252">
        <f>IF(G1548&gt;0,(G1548*F1548*E1548),(F1548*E1548))</f>
        <v>7050</v>
      </c>
      <c r="I1548" s="914"/>
    </row>
    <row r="1549" spans="1:9" customFormat="1" ht="12.75" x14ac:dyDescent="0.2">
      <c r="A1549" s="1078"/>
      <c r="B1549" s="537" t="s">
        <v>1805</v>
      </c>
      <c r="C1549" s="151" t="s">
        <v>2127</v>
      </c>
      <c r="D1549" s="148" t="s">
        <v>411</v>
      </c>
      <c r="E1549" s="160">
        <v>1</v>
      </c>
      <c r="F1549" s="23">
        <f>VLOOKUP(B1549,'[1]BASE DE DATOS'!$A$5:$E$964,5,FALSE)</f>
        <v>1100</v>
      </c>
      <c r="G1549" s="161">
        <v>1</v>
      </c>
      <c r="H1549" s="252">
        <f t="shared" si="115"/>
        <v>1100</v>
      </c>
      <c r="I1549" s="914"/>
    </row>
    <row r="1550" spans="1:9" customFormat="1" ht="12.75" x14ac:dyDescent="0.2">
      <c r="A1550" s="1078"/>
      <c r="B1550" s="537" t="s">
        <v>1462</v>
      </c>
      <c r="C1550" s="151" t="s">
        <v>1</v>
      </c>
      <c r="D1550" s="148" t="s">
        <v>642</v>
      </c>
      <c r="E1550" s="160">
        <v>0.25</v>
      </c>
      <c r="F1550" s="23">
        <f>VLOOKUP(B1550,'[1]BASE DE DATOS'!$A$5:$E$964,5,FALSE)</f>
        <v>46900</v>
      </c>
      <c r="G1550" s="161">
        <v>0.01</v>
      </c>
      <c r="H1550" s="252">
        <f t="shared" si="115"/>
        <v>117.25</v>
      </c>
      <c r="I1550" s="914"/>
    </row>
    <row r="1551" spans="1:9" customFormat="1" ht="12.75" x14ac:dyDescent="0.2">
      <c r="A1551" s="1078"/>
      <c r="B1551" s="537" t="s">
        <v>2962</v>
      </c>
      <c r="C1551" s="151" t="s">
        <v>2678</v>
      </c>
      <c r="D1551" s="148" t="s">
        <v>411</v>
      </c>
      <c r="E1551" s="160">
        <v>1</v>
      </c>
      <c r="F1551" s="23">
        <f>VLOOKUP(B1551,'[1]BASE DE DATOS'!$A$5:$E$964,5,FALSE)</f>
        <v>3500</v>
      </c>
      <c r="G1551" s="161">
        <v>1</v>
      </c>
      <c r="H1551" s="252">
        <f>IF(G1551&gt;0,(G1551*F1551*E1551),(F1551*E1551))</f>
        <v>3500</v>
      </c>
      <c r="I1551" s="914"/>
    </row>
    <row r="1552" spans="1:9" customFormat="1" ht="12.75" x14ac:dyDescent="0.2">
      <c r="A1552" s="1078"/>
      <c r="B1552" s="537" t="s">
        <v>1701</v>
      </c>
      <c r="C1552" s="856" t="s">
        <v>2652</v>
      </c>
      <c r="D1552" s="148" t="s">
        <v>411</v>
      </c>
      <c r="E1552" s="160">
        <v>0.7</v>
      </c>
      <c r="F1552" s="23">
        <f>VLOOKUP(B1552,'[1]BASE DE DATOS'!$A$5:$E$964,5,FALSE)</f>
        <v>80900</v>
      </c>
      <c r="G1552" s="161">
        <v>0.01</v>
      </c>
      <c r="H1552" s="252">
        <f t="shared" si="115"/>
        <v>566.29999999999995</v>
      </c>
      <c r="I1552" s="914"/>
    </row>
    <row r="1553" spans="1:9" customFormat="1" ht="12.75" x14ac:dyDescent="0.2">
      <c r="A1553" s="1078"/>
      <c r="B1553" s="537" t="s">
        <v>1855</v>
      </c>
      <c r="C1553" s="150" t="s">
        <v>2205</v>
      </c>
      <c r="D1553" s="148" t="s">
        <v>411</v>
      </c>
      <c r="E1553" s="160">
        <v>1</v>
      </c>
      <c r="F1553" s="23">
        <f>VLOOKUP(B1553,'[1]BASE DE DATOS'!$A$5:$E$964,5,FALSE)</f>
        <v>6150</v>
      </c>
      <c r="G1553" s="161">
        <v>1</v>
      </c>
      <c r="H1553" s="252">
        <f t="shared" si="115"/>
        <v>6150</v>
      </c>
      <c r="I1553" s="914"/>
    </row>
    <row r="1554" spans="1:9" customFormat="1" ht="13.15" customHeight="1" x14ac:dyDescent="0.2">
      <c r="A1554" s="1078"/>
      <c r="B1554" s="537" t="s">
        <v>1863</v>
      </c>
      <c r="C1554" s="151" t="s">
        <v>3073</v>
      </c>
      <c r="D1554" s="148" t="s">
        <v>405</v>
      </c>
      <c r="E1554" s="160">
        <v>6</v>
      </c>
      <c r="F1554" s="23">
        <f>VLOOKUP(B1554,'[1]BASE DE DATOS'!$A$5:$E$964,5,FALSE)</f>
        <v>1283.3333333333333</v>
      </c>
      <c r="G1554" s="161">
        <v>1.03</v>
      </c>
      <c r="H1554" s="252">
        <f>IF(G1554&gt;0,(G1554*F1554*E1554),(F1554*E1554))</f>
        <v>7931</v>
      </c>
      <c r="I1554" s="914"/>
    </row>
    <row r="1555" spans="1:9" customFormat="1" x14ac:dyDescent="0.2">
      <c r="A1555" s="797" t="s">
        <v>3252</v>
      </c>
      <c r="B1555" s="537" t="s">
        <v>810</v>
      </c>
      <c r="C1555" s="151" t="s">
        <v>2097</v>
      </c>
      <c r="D1555" s="148" t="s">
        <v>1920</v>
      </c>
      <c r="E1555" s="160">
        <v>4.0000000000000001E-3</v>
      </c>
      <c r="F1555" s="23">
        <f>+[1]CONSTRUCCION!$F$90</f>
        <v>525897</v>
      </c>
      <c r="G1555" s="161">
        <v>1.05</v>
      </c>
      <c r="H1555" s="252">
        <f t="shared" si="115"/>
        <v>2208.7674000000002</v>
      </c>
      <c r="I1555" s="914"/>
    </row>
    <row r="1556" spans="1:9" customFormat="1" ht="12.75" x14ac:dyDescent="0.2">
      <c r="A1556" s="63" t="s">
        <v>3673</v>
      </c>
      <c r="B1556" s="537" t="s">
        <v>252</v>
      </c>
      <c r="C1556" s="151" t="s">
        <v>396</v>
      </c>
      <c r="D1556" s="148" t="s">
        <v>585</v>
      </c>
      <c r="E1556" s="161">
        <v>1</v>
      </c>
      <c r="F1556" s="23">
        <f>VLOOKUP(B1556,'[1]BASE DE DATOS'!$A$5:$E$964,5,FALSE)</f>
        <v>319246</v>
      </c>
      <c r="G1556" s="161">
        <f>1/5.882</f>
        <v>0.17001020061203673</v>
      </c>
      <c r="H1556" s="252">
        <f t="shared" si="115"/>
        <v>54275.076504590274</v>
      </c>
      <c r="I1556" s="914"/>
    </row>
    <row r="1557" spans="1:9" customFormat="1" ht="13.5" thickBot="1" x14ac:dyDescent="0.25">
      <c r="A1557" s="128" t="s">
        <v>293</v>
      </c>
      <c r="B1557" s="537" t="s">
        <v>269</v>
      </c>
      <c r="C1557" s="616" t="s">
        <v>284</v>
      </c>
      <c r="D1557" s="617" t="s">
        <v>586</v>
      </c>
      <c r="E1557" s="160">
        <v>0.1</v>
      </c>
      <c r="F1557" s="845">
        <f>+H1556</f>
        <v>54275.076504590274</v>
      </c>
      <c r="G1557" s="618">
        <v>1</v>
      </c>
      <c r="H1557" s="479">
        <f t="shared" si="115"/>
        <v>5427.5076504590279</v>
      </c>
      <c r="I1557" s="914"/>
    </row>
    <row r="1558" spans="1:9" s="42" customFormat="1" ht="30" x14ac:dyDescent="0.2">
      <c r="A1558" s="294" t="s">
        <v>3213</v>
      </c>
      <c r="B1558" s="876"/>
      <c r="C1558" s="300" t="s">
        <v>1246</v>
      </c>
      <c r="D1558" s="301" t="s">
        <v>411</v>
      </c>
      <c r="E1558" s="302"/>
      <c r="F1558" s="259">
        <f>ROUND(SUM(H1558:H1572),0)</f>
        <v>181334</v>
      </c>
      <c r="G1558" s="713"/>
      <c r="H1558" s="303"/>
      <c r="I1558" s="914"/>
    </row>
    <row r="1559" spans="1:9" customFormat="1" ht="12.75" x14ac:dyDescent="0.2">
      <c r="A1559" s="1078" t="s">
        <v>295</v>
      </c>
      <c r="B1559" s="537" t="s">
        <v>1862</v>
      </c>
      <c r="C1559" s="151" t="s">
        <v>2576</v>
      </c>
      <c r="D1559" s="148" t="s">
        <v>411</v>
      </c>
      <c r="E1559" s="160">
        <v>2</v>
      </c>
      <c r="F1559" s="23">
        <f>VLOOKUP(B1559,'[1]BASE DE DATOS'!$A$5:$E$964,5,FALSE)</f>
        <v>400</v>
      </c>
      <c r="G1559" s="161">
        <v>1</v>
      </c>
      <c r="H1559" s="252">
        <f>IF(G1559&gt;0,(G1559*F1559*E1559),(F1559*E1559))</f>
        <v>800</v>
      </c>
      <c r="I1559" s="914"/>
    </row>
    <row r="1560" spans="1:9" customFormat="1" ht="12.75" x14ac:dyDescent="0.2">
      <c r="A1560" s="1078"/>
      <c r="B1560" s="537" t="s">
        <v>2553</v>
      </c>
      <c r="C1560" s="151" t="s">
        <v>1225</v>
      </c>
      <c r="D1560" s="148" t="s">
        <v>405</v>
      </c>
      <c r="E1560" s="160">
        <v>18</v>
      </c>
      <c r="F1560" s="23">
        <f>VLOOKUP(B1560,'[1]BASE DE DATOS'!$A$5:$E$964,5,FALSE)</f>
        <v>2900</v>
      </c>
      <c r="G1560" s="161">
        <v>1.05</v>
      </c>
      <c r="H1560" s="252">
        <f>IF(G1560&gt;0,(G1560*F1560*E1560),(F1560*E1560))</f>
        <v>54810</v>
      </c>
      <c r="I1560" s="914"/>
    </row>
    <row r="1561" spans="1:9" customFormat="1" ht="12.75" x14ac:dyDescent="0.2">
      <c r="A1561" s="1078"/>
      <c r="B1561" s="537" t="s">
        <v>1861</v>
      </c>
      <c r="C1561" s="150" t="s">
        <v>2129</v>
      </c>
      <c r="D1561" s="148" t="s">
        <v>411</v>
      </c>
      <c r="E1561" s="160">
        <v>1</v>
      </c>
      <c r="F1561" s="23">
        <f>VLOOKUP(B1561,'[1]BASE DE DATOS'!$A$5:$E$964,5,FALSE)</f>
        <v>1890</v>
      </c>
      <c r="G1561" s="161">
        <v>1</v>
      </c>
      <c r="H1561" s="252">
        <f>IF(G1561&gt;0,(G1561*F1561*E1561),(F1561*E1561))</f>
        <v>1890</v>
      </c>
      <c r="I1561" s="914"/>
    </row>
    <row r="1562" spans="1:9" customFormat="1" ht="12.75" x14ac:dyDescent="0.2">
      <c r="A1562" s="1078"/>
      <c r="B1562" s="537" t="s">
        <v>1342</v>
      </c>
      <c r="C1562" s="151" t="s">
        <v>2131</v>
      </c>
      <c r="D1562" s="148" t="s">
        <v>256</v>
      </c>
      <c r="E1562" s="160">
        <v>1</v>
      </c>
      <c r="F1562" s="23">
        <f>VLOOKUP(B1562,'[1]BASE DE DATOS'!$A$5:$E$964,5,FALSE)</f>
        <v>28050</v>
      </c>
      <c r="G1562" s="161">
        <v>5.2999999999999999E-2</v>
      </c>
      <c r="H1562" s="252">
        <f>IF(G1562&gt;0,(G1562*F1562*E1562),(F1562*E1562))</f>
        <v>1486.6499999999999</v>
      </c>
      <c r="I1562" s="914"/>
    </row>
    <row r="1563" spans="1:9" customFormat="1" ht="12.75" x14ac:dyDescent="0.2">
      <c r="A1563" s="1078"/>
      <c r="B1563" s="537" t="s">
        <v>1859</v>
      </c>
      <c r="C1563" s="151" t="s">
        <v>1222</v>
      </c>
      <c r="D1563" s="148" t="s">
        <v>411</v>
      </c>
      <c r="E1563" s="160">
        <v>3</v>
      </c>
      <c r="F1563" s="23">
        <f>VLOOKUP(B1563,'[1]BASE DE DATOS'!$A$5:$E$964,5,FALSE)</f>
        <v>2350</v>
      </c>
      <c r="G1563" s="712">
        <v>1</v>
      </c>
      <c r="H1563" s="252">
        <f>IF(G1563&gt;0,(G1563*F1563*E1563),(F1563*E1563))</f>
        <v>7050</v>
      </c>
      <c r="I1563" s="914"/>
    </row>
    <row r="1564" spans="1:9" customFormat="1" ht="12.75" x14ac:dyDescent="0.2">
      <c r="A1564" s="1078"/>
      <c r="B1564" s="537" t="s">
        <v>1805</v>
      </c>
      <c r="C1564" s="151" t="s">
        <v>2127</v>
      </c>
      <c r="D1564" s="148" t="s">
        <v>411</v>
      </c>
      <c r="E1564" s="160">
        <v>1</v>
      </c>
      <c r="F1564" s="23">
        <f>VLOOKUP(B1564,'[1]BASE DE DATOS'!$A$5:$E$964,5,FALSE)</f>
        <v>1100</v>
      </c>
      <c r="G1564" s="161">
        <v>1</v>
      </c>
      <c r="H1564" s="252">
        <f t="shared" si="115"/>
        <v>1100</v>
      </c>
      <c r="I1564" s="914"/>
    </row>
    <row r="1565" spans="1:9" customFormat="1" ht="12.75" x14ac:dyDescent="0.2">
      <c r="A1565" s="1078"/>
      <c r="B1565" s="537" t="s">
        <v>1462</v>
      </c>
      <c r="C1565" s="151" t="s">
        <v>1</v>
      </c>
      <c r="D1565" s="148" t="s">
        <v>642</v>
      </c>
      <c r="E1565" s="160">
        <v>0.25</v>
      </c>
      <c r="F1565" s="23">
        <f>VLOOKUP(B1565,'[1]BASE DE DATOS'!$A$5:$E$964,5,FALSE)</f>
        <v>46900</v>
      </c>
      <c r="G1565" s="161">
        <v>0.01</v>
      </c>
      <c r="H1565" s="252">
        <f t="shared" si="115"/>
        <v>117.25</v>
      </c>
      <c r="I1565" s="914"/>
    </row>
    <row r="1566" spans="1:9" customFormat="1" ht="12.75" x14ac:dyDescent="0.2">
      <c r="A1566" s="1078"/>
      <c r="B1566" s="537" t="s">
        <v>2962</v>
      </c>
      <c r="C1566" s="151" t="s">
        <v>2678</v>
      </c>
      <c r="D1566" s="148" t="s">
        <v>411</v>
      </c>
      <c r="E1566" s="160">
        <v>1</v>
      </c>
      <c r="F1566" s="23">
        <f>VLOOKUP(B1566,'[1]BASE DE DATOS'!$A$5:$E$964,5,FALSE)</f>
        <v>3500</v>
      </c>
      <c r="G1566" s="161">
        <v>0</v>
      </c>
      <c r="H1566" s="252">
        <f>IF(G1566&gt;0,(G1566*F1566*E1566),(F1566*E1566))</f>
        <v>3500</v>
      </c>
      <c r="I1566" s="914"/>
    </row>
    <row r="1567" spans="1:9" customFormat="1" ht="12.75" x14ac:dyDescent="0.2">
      <c r="A1567" s="1078"/>
      <c r="B1567" s="537" t="s">
        <v>1701</v>
      </c>
      <c r="C1567" s="856" t="s">
        <v>2652</v>
      </c>
      <c r="D1567" s="148" t="s">
        <v>411</v>
      </c>
      <c r="E1567" s="160">
        <v>0.7</v>
      </c>
      <c r="F1567" s="23">
        <f>VLOOKUP(B1567,'[1]BASE DE DATOS'!$A$5:$E$964,5,FALSE)</f>
        <v>80900</v>
      </c>
      <c r="G1567" s="161">
        <v>0.01</v>
      </c>
      <c r="H1567" s="252">
        <f t="shared" si="115"/>
        <v>566.29999999999995</v>
      </c>
      <c r="I1567" s="914"/>
    </row>
    <row r="1568" spans="1:9" customFormat="1" ht="12.75" x14ac:dyDescent="0.2">
      <c r="A1568" s="1078"/>
      <c r="B1568" s="537" t="s">
        <v>1850</v>
      </c>
      <c r="C1568" s="150" t="s">
        <v>1234</v>
      </c>
      <c r="D1568" s="148" t="s">
        <v>411</v>
      </c>
      <c r="E1568" s="160">
        <v>1</v>
      </c>
      <c r="F1568" s="23">
        <f>VLOOKUP(B1568,'[1]BASE DE DATOS'!$A$5:$E$964,5,FALSE)</f>
        <v>33150</v>
      </c>
      <c r="G1568" s="161">
        <v>1</v>
      </c>
      <c r="H1568" s="252">
        <f t="shared" si="115"/>
        <v>33150</v>
      </c>
      <c r="I1568" s="914"/>
    </row>
    <row r="1569" spans="1:9" customFormat="1" ht="13.15" customHeight="1" x14ac:dyDescent="0.2">
      <c r="A1569" s="1078"/>
      <c r="B1569" s="537" t="s">
        <v>1863</v>
      </c>
      <c r="C1569" s="151" t="s">
        <v>3073</v>
      </c>
      <c r="D1569" s="148" t="s">
        <v>405</v>
      </c>
      <c r="E1569" s="160">
        <v>6</v>
      </c>
      <c r="F1569" s="23">
        <f>VLOOKUP(B1569,'[1]BASE DE DATOS'!$A$5:$E$964,5,FALSE)</f>
        <v>1283.3333333333333</v>
      </c>
      <c r="G1569" s="161">
        <v>1.03</v>
      </c>
      <c r="H1569" s="252">
        <f>IF(G1569&gt;0,(G1569*F1569*E1569),(F1569*E1569))</f>
        <v>7931</v>
      </c>
      <c r="I1569" s="914"/>
    </row>
    <row r="1570" spans="1:9" customFormat="1" x14ac:dyDescent="0.2">
      <c r="A1570" s="797" t="s">
        <v>3252</v>
      </c>
      <c r="B1570" s="537" t="s">
        <v>810</v>
      </c>
      <c r="C1570" s="151" t="s">
        <v>2097</v>
      </c>
      <c r="D1570" s="148" t="s">
        <v>1920</v>
      </c>
      <c r="E1570" s="160">
        <v>4.0000000000000001E-3</v>
      </c>
      <c r="F1570" s="23">
        <f>+[1]CONSTRUCCION!$F$90</f>
        <v>525897</v>
      </c>
      <c r="G1570" s="161">
        <v>1.05</v>
      </c>
      <c r="H1570" s="252">
        <f t="shared" si="115"/>
        <v>2208.7674000000002</v>
      </c>
      <c r="I1570" s="914"/>
    </row>
    <row r="1571" spans="1:9" customFormat="1" ht="12.75" x14ac:dyDescent="0.2">
      <c r="A1571" s="63" t="s">
        <v>3673</v>
      </c>
      <c r="B1571" s="537" t="s">
        <v>252</v>
      </c>
      <c r="C1571" s="151" t="s">
        <v>396</v>
      </c>
      <c r="D1571" s="148" t="s">
        <v>585</v>
      </c>
      <c r="E1571" s="161">
        <v>1</v>
      </c>
      <c r="F1571" s="23">
        <f>VLOOKUP(B1571,'[1]BASE DE DATOS'!$A$5:$E$964,5,FALSE)</f>
        <v>319246</v>
      </c>
      <c r="G1571" s="161">
        <f>1/5.263</f>
        <v>0.19000570017100513</v>
      </c>
      <c r="H1571" s="252">
        <f t="shared" si="115"/>
        <v>60658.559756792703</v>
      </c>
      <c r="I1571" s="914"/>
    </row>
    <row r="1572" spans="1:9" customFormat="1" ht="13.5" thickBot="1" x14ac:dyDescent="0.25">
      <c r="A1572" s="128" t="s">
        <v>293</v>
      </c>
      <c r="B1572" s="537" t="s">
        <v>269</v>
      </c>
      <c r="C1572" s="616" t="s">
        <v>284</v>
      </c>
      <c r="D1572" s="617" t="s">
        <v>586</v>
      </c>
      <c r="E1572" s="160">
        <v>0.1</v>
      </c>
      <c r="F1572" s="845">
        <f>+H1571</f>
        <v>60658.559756792703</v>
      </c>
      <c r="G1572" s="618">
        <v>1</v>
      </c>
      <c r="H1572" s="479">
        <f t="shared" si="115"/>
        <v>6065.8559756792711</v>
      </c>
      <c r="I1572" s="914"/>
    </row>
    <row r="1573" spans="1:9" s="42" customFormat="1" ht="30" x14ac:dyDescent="0.2">
      <c r="A1573" s="294" t="s">
        <v>3214</v>
      </c>
      <c r="B1573" s="876"/>
      <c r="C1573" s="300" t="s">
        <v>1224</v>
      </c>
      <c r="D1573" s="301" t="s">
        <v>411</v>
      </c>
      <c r="E1573" s="302"/>
      <c r="F1573" s="259">
        <f>ROUND(SUM(H1573:H1586),0)</f>
        <v>119388</v>
      </c>
      <c r="G1573" s="713"/>
      <c r="H1573" s="303"/>
      <c r="I1573" s="914"/>
    </row>
    <row r="1574" spans="1:9" customFormat="1" ht="12.75" x14ac:dyDescent="0.2">
      <c r="A1574" s="1078" t="s">
        <v>295</v>
      </c>
      <c r="B1574" s="537" t="s">
        <v>1862</v>
      </c>
      <c r="C1574" s="151" t="s">
        <v>2576</v>
      </c>
      <c r="D1574" s="148" t="s">
        <v>411</v>
      </c>
      <c r="E1574" s="160">
        <v>2</v>
      </c>
      <c r="F1574" s="23">
        <f>VLOOKUP(B1574,'[1]BASE DE DATOS'!$A$5:$E$964,5,FALSE)</f>
        <v>400</v>
      </c>
      <c r="G1574" s="161">
        <v>1</v>
      </c>
      <c r="H1574" s="252">
        <f>IF(G1574&gt;0,(G1574*F1574*E1574),(F1574*E1574))</f>
        <v>800</v>
      </c>
      <c r="I1574" s="914"/>
    </row>
    <row r="1575" spans="1:9" customFormat="1" ht="12.75" x14ac:dyDescent="0.2">
      <c r="A1575" s="1078"/>
      <c r="B1575" s="537" t="s">
        <v>2553</v>
      </c>
      <c r="C1575" s="151" t="s">
        <v>1225</v>
      </c>
      <c r="D1575" s="148" t="s">
        <v>405</v>
      </c>
      <c r="E1575" s="160">
        <v>13.5</v>
      </c>
      <c r="F1575" s="23">
        <f>VLOOKUP(B1575,'[1]BASE DE DATOS'!$A$5:$E$964,5,FALSE)</f>
        <v>2900</v>
      </c>
      <c r="G1575" s="161">
        <v>1.05</v>
      </c>
      <c r="H1575" s="252">
        <f>IF(G1575&gt;0,(G1575*F1575*E1575),(F1575*E1575))</f>
        <v>41107.5</v>
      </c>
      <c r="I1575" s="914"/>
    </row>
    <row r="1576" spans="1:9" customFormat="1" ht="12.75" x14ac:dyDescent="0.2">
      <c r="A1576" s="1078"/>
      <c r="B1576" s="537" t="s">
        <v>1861</v>
      </c>
      <c r="C1576" s="150" t="s">
        <v>2129</v>
      </c>
      <c r="D1576" s="148" t="s">
        <v>411</v>
      </c>
      <c r="E1576" s="160">
        <v>1</v>
      </c>
      <c r="F1576" s="23">
        <f>VLOOKUP(B1576,'[1]BASE DE DATOS'!$A$5:$E$964,5,FALSE)</f>
        <v>1890</v>
      </c>
      <c r="G1576" s="161">
        <v>1</v>
      </c>
      <c r="H1576" s="252">
        <f>IF(G1576&gt;0,(G1576*F1576*E1576),(F1576*E1576))</f>
        <v>1890</v>
      </c>
      <c r="I1576" s="914"/>
    </row>
    <row r="1577" spans="1:9" customFormat="1" ht="12.75" x14ac:dyDescent="0.2">
      <c r="A1577" s="1078"/>
      <c r="B1577" s="537" t="s">
        <v>1342</v>
      </c>
      <c r="C1577" s="151" t="s">
        <v>2131</v>
      </c>
      <c r="D1577" s="148" t="s">
        <v>256</v>
      </c>
      <c r="E1577" s="160">
        <v>1</v>
      </c>
      <c r="F1577" s="23">
        <f>VLOOKUP(B1577,'[1]BASE DE DATOS'!$A$5:$E$964,5,FALSE)</f>
        <v>28050</v>
      </c>
      <c r="G1577" s="161">
        <v>5.2999999999999999E-2</v>
      </c>
      <c r="H1577" s="252">
        <f>IF(G1577&gt;0,(G1577*F1577*E1577),(F1577*E1577))</f>
        <v>1486.6499999999999</v>
      </c>
      <c r="I1577" s="914"/>
    </row>
    <row r="1578" spans="1:9" customFormat="1" ht="12.75" x14ac:dyDescent="0.2">
      <c r="A1578" s="1078"/>
      <c r="B1578" s="537" t="s">
        <v>1859</v>
      </c>
      <c r="C1578" s="151" t="s">
        <v>1222</v>
      </c>
      <c r="D1578" s="148" t="s">
        <v>411</v>
      </c>
      <c r="E1578" s="160">
        <v>2</v>
      </c>
      <c r="F1578" s="23">
        <f>VLOOKUP(B1578,'[1]BASE DE DATOS'!$A$5:$E$964,5,FALSE)</f>
        <v>2350</v>
      </c>
      <c r="G1578" s="712">
        <v>1</v>
      </c>
      <c r="H1578" s="252">
        <f>IF(G1578&gt;0,(G1578*F1578*E1578),(F1578*E1578))</f>
        <v>4700</v>
      </c>
      <c r="I1578" s="914"/>
    </row>
    <row r="1579" spans="1:9" customFormat="1" ht="12.75" x14ac:dyDescent="0.2">
      <c r="A1579" s="1078"/>
      <c r="B1579" s="537" t="s">
        <v>1805</v>
      </c>
      <c r="C1579" s="151" t="s">
        <v>2127</v>
      </c>
      <c r="D1579" s="148" t="s">
        <v>411</v>
      </c>
      <c r="E1579" s="160">
        <v>1</v>
      </c>
      <c r="F1579" s="23">
        <f>VLOOKUP(B1579,'[1]BASE DE DATOS'!$A$5:$E$964,5,FALSE)</f>
        <v>1100</v>
      </c>
      <c r="G1579" s="161">
        <v>1</v>
      </c>
      <c r="H1579" s="252">
        <f t="shared" si="115"/>
        <v>1100</v>
      </c>
      <c r="I1579" s="914"/>
    </row>
    <row r="1580" spans="1:9" customFormat="1" ht="12.75" x14ac:dyDescent="0.2">
      <c r="A1580" s="1078"/>
      <c r="B1580" s="537" t="s">
        <v>1858</v>
      </c>
      <c r="C1580" s="151" t="s">
        <v>1223</v>
      </c>
      <c r="D1580" s="148" t="s">
        <v>411</v>
      </c>
      <c r="E1580" s="160">
        <v>1</v>
      </c>
      <c r="F1580" s="23">
        <f>VLOOKUP(B1580,'[1]BASE DE DATOS'!$A$5:$E$964,5,FALSE)</f>
        <v>10300</v>
      </c>
      <c r="G1580" s="161">
        <v>1</v>
      </c>
      <c r="H1580" s="252">
        <f>IF(G1580&gt;0,(G1580*F1580*E1580),(F1580*E1580))</f>
        <v>10300</v>
      </c>
      <c r="I1580" s="914"/>
    </row>
    <row r="1581" spans="1:9" customFormat="1" ht="12.75" x14ac:dyDescent="0.2">
      <c r="A1581" s="1078"/>
      <c r="B1581" s="537" t="s">
        <v>1462</v>
      </c>
      <c r="C1581" s="151" t="s">
        <v>1</v>
      </c>
      <c r="D1581" s="148" t="s">
        <v>642</v>
      </c>
      <c r="E1581" s="160">
        <v>0.25</v>
      </c>
      <c r="F1581" s="23">
        <f>VLOOKUP(B1581,'[1]BASE DE DATOS'!$A$5:$E$964,5,FALSE)</f>
        <v>46900</v>
      </c>
      <c r="G1581" s="161">
        <v>0.01</v>
      </c>
      <c r="H1581" s="252">
        <f t="shared" si="115"/>
        <v>117.25</v>
      </c>
      <c r="I1581" s="914"/>
    </row>
    <row r="1582" spans="1:9" customFormat="1" ht="12.75" x14ac:dyDescent="0.2">
      <c r="A1582" s="1078"/>
      <c r="B1582" s="537" t="s">
        <v>1701</v>
      </c>
      <c r="C1582" s="856" t="s">
        <v>2652</v>
      </c>
      <c r="D1582" s="148" t="s">
        <v>411</v>
      </c>
      <c r="E1582" s="160">
        <v>0.7</v>
      </c>
      <c r="F1582" s="23">
        <f>VLOOKUP(B1582,'[1]BASE DE DATOS'!$A$5:$E$964,5,FALSE)</f>
        <v>80900</v>
      </c>
      <c r="G1582" s="161">
        <v>0.01</v>
      </c>
      <c r="H1582" s="252">
        <f t="shared" ref="H1582:H1622" si="116">IF(G1582&gt;0,(G1582*F1582*E1582),(F1582*E1582))</f>
        <v>566.29999999999995</v>
      </c>
      <c r="I1582" s="914"/>
    </row>
    <row r="1583" spans="1:9" customFormat="1" ht="13.15" customHeight="1" x14ac:dyDescent="0.2">
      <c r="A1583" s="1078"/>
      <c r="B1583" s="537" t="s">
        <v>1863</v>
      </c>
      <c r="C1583" s="151" t="s">
        <v>3073</v>
      </c>
      <c r="D1583" s="148" t="s">
        <v>405</v>
      </c>
      <c r="E1583" s="160">
        <v>4.5</v>
      </c>
      <c r="F1583" s="23">
        <f>VLOOKUP(B1583,'[1]BASE DE DATOS'!$A$5:$E$964,5,FALSE)</f>
        <v>1283.3333333333333</v>
      </c>
      <c r="G1583" s="161">
        <v>1.03</v>
      </c>
      <c r="H1583" s="252">
        <f>IF(G1583&gt;0,(G1583*F1583*E1583),(F1583*E1583))</f>
        <v>5948.25</v>
      </c>
      <c r="I1583" s="914"/>
    </row>
    <row r="1584" spans="1:9" customFormat="1" x14ac:dyDescent="0.2">
      <c r="A1584" s="797" t="s">
        <v>3252</v>
      </c>
      <c r="B1584" s="537" t="s">
        <v>810</v>
      </c>
      <c r="C1584" s="151" t="s">
        <v>2097</v>
      </c>
      <c r="D1584" s="148" t="s">
        <v>1920</v>
      </c>
      <c r="E1584" s="160">
        <v>4.0000000000000001E-3</v>
      </c>
      <c r="F1584" s="23">
        <f>+[1]CONSTRUCCION!$F$90</f>
        <v>525897</v>
      </c>
      <c r="G1584" s="161">
        <v>1.05</v>
      </c>
      <c r="H1584" s="252">
        <f t="shared" si="116"/>
        <v>2208.7674000000002</v>
      </c>
      <c r="I1584" s="914"/>
    </row>
    <row r="1585" spans="1:9" customFormat="1" ht="12.75" x14ac:dyDescent="0.2">
      <c r="A1585" s="63" t="s">
        <v>3673</v>
      </c>
      <c r="B1585" s="537" t="s">
        <v>252</v>
      </c>
      <c r="C1585" s="151" t="s">
        <v>396</v>
      </c>
      <c r="D1585" s="148" t="s">
        <v>585</v>
      </c>
      <c r="E1585" s="161">
        <v>1</v>
      </c>
      <c r="F1585" s="23">
        <f>VLOOKUP(B1585,'[1]BASE DE DATOS'!$A$5:$E$964,5,FALSE)</f>
        <v>319246</v>
      </c>
      <c r="G1585" s="161">
        <f>1/7.143</f>
        <v>0.13999720005599889</v>
      </c>
      <c r="H1585" s="252">
        <f t="shared" si="116"/>
        <v>44693.546129077418</v>
      </c>
      <c r="I1585" s="914"/>
    </row>
    <row r="1586" spans="1:9" customFormat="1" ht="13.5" thickBot="1" x14ac:dyDescent="0.25">
      <c r="A1586" s="128" t="s">
        <v>293</v>
      </c>
      <c r="B1586" s="537" t="s">
        <v>269</v>
      </c>
      <c r="C1586" s="616" t="s">
        <v>284</v>
      </c>
      <c r="D1586" s="617" t="s">
        <v>586</v>
      </c>
      <c r="E1586" s="852">
        <v>0.1</v>
      </c>
      <c r="F1586" s="845">
        <f>+H1585</f>
        <v>44693.546129077418</v>
      </c>
      <c r="G1586" s="618">
        <v>1</v>
      </c>
      <c r="H1586" s="479">
        <f t="shared" si="116"/>
        <v>4469.3546129077422</v>
      </c>
      <c r="I1586" s="914"/>
    </row>
    <row r="1587" spans="1:9" s="42" customFormat="1" ht="60" x14ac:dyDescent="0.2">
      <c r="A1587" s="294" t="s">
        <v>3215</v>
      </c>
      <c r="B1587" s="876"/>
      <c r="C1587" s="300" t="s">
        <v>3640</v>
      </c>
      <c r="D1587" s="301" t="s">
        <v>411</v>
      </c>
      <c r="E1587" s="302"/>
      <c r="F1587" s="259">
        <f>ROUND(SUM(H1587:H1602),0)</f>
        <v>304429</v>
      </c>
      <c r="G1587" s="713"/>
      <c r="H1587" s="303"/>
      <c r="I1587" s="914"/>
    </row>
    <row r="1588" spans="1:9" customFormat="1" ht="12.75" x14ac:dyDescent="0.2">
      <c r="A1588" s="1078" t="s">
        <v>295</v>
      </c>
      <c r="B1588" s="537" t="s">
        <v>1862</v>
      </c>
      <c r="C1588" s="151" t="s">
        <v>2576</v>
      </c>
      <c r="D1588" s="148" t="s">
        <v>411</v>
      </c>
      <c r="E1588" s="160">
        <v>2</v>
      </c>
      <c r="F1588" s="23">
        <f>VLOOKUP(B1588,'[1]BASE DE DATOS'!$A$5:$E$964,5,FALSE)</f>
        <v>400</v>
      </c>
      <c r="G1588" s="712">
        <v>1</v>
      </c>
      <c r="H1588" s="252">
        <f t="shared" ref="H1588:H1593" si="117">IF(G1588&gt;0,(G1588*F1588*E1588),(F1588*E1588))</f>
        <v>800</v>
      </c>
      <c r="I1588" s="914"/>
    </row>
    <row r="1589" spans="1:9" customFormat="1" ht="12.75" x14ac:dyDescent="0.2">
      <c r="A1589" s="1078"/>
      <c r="B1589" s="537" t="s">
        <v>2553</v>
      </c>
      <c r="C1589" s="151" t="s">
        <v>1225</v>
      </c>
      <c r="D1589" s="148" t="s">
        <v>405</v>
      </c>
      <c r="E1589" s="160">
        <v>18</v>
      </c>
      <c r="F1589" s="23">
        <f>VLOOKUP(B1589,'[1]BASE DE DATOS'!$A$5:$E$964,5,FALSE)</f>
        <v>2900</v>
      </c>
      <c r="G1589" s="712">
        <v>1.4999999999999999E-2</v>
      </c>
      <c r="H1589" s="252">
        <f t="shared" si="117"/>
        <v>783</v>
      </c>
      <c r="I1589" s="914"/>
    </row>
    <row r="1590" spans="1:9" customFormat="1" ht="12.75" x14ac:dyDescent="0.2">
      <c r="A1590" s="1078"/>
      <c r="B1590" s="537" t="s">
        <v>1739</v>
      </c>
      <c r="C1590" s="150" t="s">
        <v>3122</v>
      </c>
      <c r="D1590" s="148" t="s">
        <v>405</v>
      </c>
      <c r="E1590" s="160">
        <v>1</v>
      </c>
      <c r="F1590" s="23">
        <f>VLOOKUP(B1590,'[1]BASE DE DATOS'!$A$5:$E$964,5,FALSE)</f>
        <v>10850</v>
      </c>
      <c r="G1590" s="712">
        <v>1.05</v>
      </c>
      <c r="H1590" s="252">
        <f t="shared" si="117"/>
        <v>11392.5</v>
      </c>
      <c r="I1590" s="914"/>
    </row>
    <row r="1591" spans="1:9" customFormat="1" ht="12.75" x14ac:dyDescent="0.2">
      <c r="A1591" s="1078"/>
      <c r="B1591" s="537" t="s">
        <v>1861</v>
      </c>
      <c r="C1591" s="150" t="s">
        <v>2129</v>
      </c>
      <c r="D1591" s="148" t="s">
        <v>411</v>
      </c>
      <c r="E1591" s="160">
        <v>1</v>
      </c>
      <c r="F1591" s="23">
        <f>VLOOKUP(B1591,'[1]BASE DE DATOS'!$A$5:$E$964,5,FALSE)</f>
        <v>1890</v>
      </c>
      <c r="G1591" s="712">
        <v>1</v>
      </c>
      <c r="H1591" s="252">
        <f t="shared" si="117"/>
        <v>1890</v>
      </c>
      <c r="I1591" s="914"/>
    </row>
    <row r="1592" spans="1:9" customFormat="1" ht="12.75" x14ac:dyDescent="0.2">
      <c r="A1592" s="1078"/>
      <c r="B1592" s="537" t="s">
        <v>1342</v>
      </c>
      <c r="C1592" s="151" t="s">
        <v>2131</v>
      </c>
      <c r="D1592" s="148" t="s">
        <v>256</v>
      </c>
      <c r="E1592" s="160">
        <v>1</v>
      </c>
      <c r="F1592" s="23">
        <f>VLOOKUP(B1592,'[1]BASE DE DATOS'!$A$5:$E$964,5,FALSE)</f>
        <v>28050</v>
      </c>
      <c r="G1592" s="712">
        <v>1</v>
      </c>
      <c r="H1592" s="252">
        <f t="shared" si="117"/>
        <v>28050</v>
      </c>
      <c r="I1592" s="914"/>
    </row>
    <row r="1593" spans="1:9" customFormat="1" ht="12.75" x14ac:dyDescent="0.2">
      <c r="A1593" s="1078"/>
      <c r="B1593" s="537" t="s">
        <v>1601</v>
      </c>
      <c r="C1593" s="150" t="s">
        <v>1997</v>
      </c>
      <c r="D1593" s="148" t="s">
        <v>411</v>
      </c>
      <c r="E1593" s="160">
        <v>1</v>
      </c>
      <c r="F1593" s="23">
        <f>VLOOKUP(B1593,'[1]BASE DE DATOS'!$A$5:$E$964,5,FALSE)</f>
        <v>2300</v>
      </c>
      <c r="G1593" s="712">
        <v>1</v>
      </c>
      <c r="H1593" s="252">
        <f t="shared" si="117"/>
        <v>2300</v>
      </c>
      <c r="I1593" s="914"/>
    </row>
    <row r="1594" spans="1:9" customFormat="1" ht="12.75" x14ac:dyDescent="0.2">
      <c r="A1594" s="1078"/>
      <c r="B1594" s="537" t="s">
        <v>1805</v>
      </c>
      <c r="C1594" s="151" t="s">
        <v>2127</v>
      </c>
      <c r="D1594" s="148" t="s">
        <v>411</v>
      </c>
      <c r="E1594" s="160">
        <v>1</v>
      </c>
      <c r="F1594" s="23">
        <f>VLOOKUP(B1594,'[1]BASE DE DATOS'!$A$5:$E$964,5,FALSE)</f>
        <v>1100</v>
      </c>
      <c r="G1594" s="712">
        <v>1</v>
      </c>
      <c r="H1594" s="252">
        <f t="shared" si="116"/>
        <v>1100</v>
      </c>
      <c r="I1594" s="914"/>
    </row>
    <row r="1595" spans="1:9" customFormat="1" ht="25.5" x14ac:dyDescent="0.2">
      <c r="A1595" s="1078"/>
      <c r="B1595" s="537" t="s">
        <v>2677</v>
      </c>
      <c r="C1595" s="150" t="s">
        <v>2726</v>
      </c>
      <c r="D1595" s="148" t="s">
        <v>411</v>
      </c>
      <c r="E1595" s="160">
        <v>1</v>
      </c>
      <c r="F1595" s="23">
        <f>VLOOKUP(B1595,'[1]BASE DE DATOS'!$A$5:$E$964,5,FALSE)</f>
        <v>84000</v>
      </c>
      <c r="G1595" s="712">
        <v>1</v>
      </c>
      <c r="H1595" s="252">
        <f>IF(G1595&gt;0,(G1595*F1595*E1595),(F1595*E1595))</f>
        <v>84000</v>
      </c>
      <c r="I1595" s="914"/>
    </row>
    <row r="1596" spans="1:9" customFormat="1" ht="12.75" x14ac:dyDescent="0.2">
      <c r="A1596" s="1078"/>
      <c r="B1596" s="537" t="s">
        <v>1462</v>
      </c>
      <c r="C1596" s="151" t="s">
        <v>1</v>
      </c>
      <c r="D1596" s="148" t="s">
        <v>642</v>
      </c>
      <c r="E1596" s="160">
        <v>0.25</v>
      </c>
      <c r="F1596" s="23">
        <f>VLOOKUP(B1596,'[1]BASE DE DATOS'!$A$5:$E$964,5,FALSE)</f>
        <v>46900</v>
      </c>
      <c r="G1596" s="712">
        <v>0.35000000000000003</v>
      </c>
      <c r="H1596" s="252">
        <f t="shared" si="116"/>
        <v>4103.75</v>
      </c>
      <c r="I1596" s="914"/>
    </row>
    <row r="1597" spans="1:9" customFormat="1" ht="12.75" x14ac:dyDescent="0.2">
      <c r="A1597" s="1078"/>
      <c r="B1597" s="537" t="s">
        <v>1701</v>
      </c>
      <c r="C1597" s="856" t="s">
        <v>2652</v>
      </c>
      <c r="D1597" s="148" t="s">
        <v>411</v>
      </c>
      <c r="E1597" s="160">
        <v>0.7</v>
      </c>
      <c r="F1597" s="23">
        <f>VLOOKUP(B1597,'[1]BASE DE DATOS'!$A$5:$E$964,5,FALSE)</f>
        <v>80900</v>
      </c>
      <c r="G1597" s="712">
        <v>1</v>
      </c>
      <c r="H1597" s="252">
        <f t="shared" si="116"/>
        <v>56630</v>
      </c>
      <c r="I1597" s="914"/>
    </row>
    <row r="1598" spans="1:9" customFormat="1" ht="12.75" x14ac:dyDescent="0.2">
      <c r="A1598" s="1078"/>
      <c r="B1598" s="537" t="s">
        <v>1855</v>
      </c>
      <c r="C1598" s="150" t="s">
        <v>3232</v>
      </c>
      <c r="D1598" s="148" t="s">
        <v>411</v>
      </c>
      <c r="E1598" s="160">
        <v>1</v>
      </c>
      <c r="F1598" s="23">
        <f>VLOOKUP(B1598,'[1]BASE DE DATOS'!$A$5:$E$964,5,FALSE)</f>
        <v>6150</v>
      </c>
      <c r="G1598" s="712">
        <v>1</v>
      </c>
      <c r="H1598" s="252">
        <f t="shared" si="116"/>
        <v>6150</v>
      </c>
      <c r="I1598" s="914"/>
    </row>
    <row r="1599" spans="1:9" customFormat="1" ht="13.15" customHeight="1" x14ac:dyDescent="0.2">
      <c r="A1599" s="1078"/>
      <c r="B1599" s="537" t="s">
        <v>1863</v>
      </c>
      <c r="C1599" s="151" t="s">
        <v>3073</v>
      </c>
      <c r="D1599" s="148" t="s">
        <v>405</v>
      </c>
      <c r="E1599" s="160">
        <v>6</v>
      </c>
      <c r="F1599" s="23">
        <f>VLOOKUP(B1599,'[1]BASE DE DATOS'!$A$5:$E$964,5,FALSE)</f>
        <v>1283.3333333333333</v>
      </c>
      <c r="G1599" s="712">
        <v>3.1500000000000004</v>
      </c>
      <c r="H1599" s="252">
        <f>IF(G1599&gt;0,(G1599*F1599*E1599),(F1599*E1599))</f>
        <v>24255</v>
      </c>
      <c r="I1599" s="914"/>
    </row>
    <row r="1600" spans="1:9" customFormat="1" x14ac:dyDescent="0.2">
      <c r="A1600" s="797" t="s">
        <v>3252</v>
      </c>
      <c r="B1600" s="537" t="s">
        <v>810</v>
      </c>
      <c r="C1600" s="151" t="s">
        <v>2097</v>
      </c>
      <c r="D1600" s="148" t="s">
        <v>1920</v>
      </c>
      <c r="E1600" s="160">
        <v>4.0000000000000001E-3</v>
      </c>
      <c r="F1600" s="23">
        <f>+[1]CONSTRUCCION!$F$90</f>
        <v>525897</v>
      </c>
      <c r="G1600" s="161">
        <v>1.05</v>
      </c>
      <c r="H1600" s="252">
        <f t="shared" si="116"/>
        <v>2208.7674000000002</v>
      </c>
      <c r="I1600" s="914"/>
    </row>
    <row r="1601" spans="1:9" customFormat="1" ht="12.75" x14ac:dyDescent="0.2">
      <c r="A1601" s="63" t="s">
        <v>3673</v>
      </c>
      <c r="B1601" s="537" t="s">
        <v>252</v>
      </c>
      <c r="C1601" s="151" t="s">
        <v>396</v>
      </c>
      <c r="D1601" s="148" t="s">
        <v>585</v>
      </c>
      <c r="E1601" s="161">
        <v>1</v>
      </c>
      <c r="F1601" s="23">
        <f>VLOOKUP(B1601,'[1]BASE DE DATOS'!$A$5:$E$964,5,FALSE)</f>
        <v>319246</v>
      </c>
      <c r="G1601" s="712">
        <f>1/4.348</f>
        <v>0.22999080036798528</v>
      </c>
      <c r="H1601" s="252">
        <f t="shared" si="116"/>
        <v>73423.643054277825</v>
      </c>
      <c r="I1601" s="914"/>
    </row>
    <row r="1602" spans="1:9" customFormat="1" ht="13.5" thickBot="1" x14ac:dyDescent="0.25">
      <c r="A1602" s="128" t="s">
        <v>293</v>
      </c>
      <c r="B1602" s="615" t="s">
        <v>269</v>
      </c>
      <c r="C1602" s="616" t="s">
        <v>284</v>
      </c>
      <c r="D1602" s="617" t="s">
        <v>586</v>
      </c>
      <c r="E1602" s="852">
        <v>0.1</v>
      </c>
      <c r="F1602" s="845">
        <f>H1601</f>
        <v>73423.643054277825</v>
      </c>
      <c r="G1602" s="725">
        <v>1</v>
      </c>
      <c r="H1602" s="479">
        <f t="shared" si="116"/>
        <v>7342.3643054277827</v>
      </c>
      <c r="I1602" s="914"/>
    </row>
    <row r="1603" spans="1:9" s="42" customFormat="1" ht="45" x14ac:dyDescent="0.2">
      <c r="A1603" s="458" t="s">
        <v>3216</v>
      </c>
      <c r="B1603" s="568"/>
      <c r="C1603" s="388" t="s">
        <v>78</v>
      </c>
      <c r="D1603" s="389" t="s">
        <v>411</v>
      </c>
      <c r="E1603" s="395"/>
      <c r="F1603" s="391">
        <f>ROUND(SUM(H1603:H1613),0)</f>
        <v>238945</v>
      </c>
      <c r="G1603" s="392"/>
      <c r="H1603" s="393"/>
      <c r="I1603" s="914"/>
    </row>
    <row r="1604" spans="1:9" customFormat="1" ht="12.75" x14ac:dyDescent="0.2">
      <c r="A1604" s="936" t="s">
        <v>382</v>
      </c>
      <c r="B1604" s="241" t="s">
        <v>1286</v>
      </c>
      <c r="C1604" s="3" t="s">
        <v>664</v>
      </c>
      <c r="D1604" s="2" t="s">
        <v>405</v>
      </c>
      <c r="E1604" s="114">
        <v>2.4</v>
      </c>
      <c r="F1604" s="23">
        <f>VLOOKUP(B1604,'[1]BASE DE DATOS'!$A$5:$E$964,5,FALSE)</f>
        <v>6817</v>
      </c>
      <c r="G1604" s="104">
        <v>0</v>
      </c>
      <c r="H1604" s="252">
        <f t="shared" si="116"/>
        <v>16360.8</v>
      </c>
      <c r="I1604" s="914"/>
    </row>
    <row r="1605" spans="1:9" customFormat="1" ht="12.75" x14ac:dyDescent="0.2">
      <c r="A1605" s="936"/>
      <c r="B1605" s="241" t="s">
        <v>1463</v>
      </c>
      <c r="C1605" s="3" t="s">
        <v>593</v>
      </c>
      <c r="D1605" s="2" t="s">
        <v>405</v>
      </c>
      <c r="E1605" s="114">
        <v>2.5</v>
      </c>
      <c r="F1605" s="23">
        <f>VLOOKUP(B1605,'[1]BASE DE DATOS'!$A$5:$E$964,5,FALSE)</f>
        <v>4704</v>
      </c>
      <c r="G1605" s="104">
        <f>1/3</f>
        <v>0.33333333333333331</v>
      </c>
      <c r="H1605" s="252">
        <f t="shared" si="116"/>
        <v>3920</v>
      </c>
      <c r="I1605" s="914"/>
    </row>
    <row r="1606" spans="1:9" customFormat="1" ht="12.75" x14ac:dyDescent="0.2">
      <c r="A1606" s="936"/>
      <c r="B1606" s="241" t="s">
        <v>1558</v>
      </c>
      <c r="C1606" s="3" t="s">
        <v>603</v>
      </c>
      <c r="D1606" s="2" t="s">
        <v>590</v>
      </c>
      <c r="E1606" s="114">
        <v>0.15</v>
      </c>
      <c r="F1606" s="23">
        <f>VLOOKUP(B1606,'[1]BASE DE DATOS'!$A$5:$E$964,5,FALSE)</f>
        <v>5650</v>
      </c>
      <c r="G1606" s="104">
        <v>0</v>
      </c>
      <c r="H1606" s="252">
        <f t="shared" si="116"/>
        <v>847.5</v>
      </c>
      <c r="I1606" s="914"/>
    </row>
    <row r="1607" spans="1:9" customFormat="1" ht="12.75" x14ac:dyDescent="0.2">
      <c r="A1607" s="936"/>
      <c r="B1607" s="241" t="s">
        <v>1711</v>
      </c>
      <c r="C1607" s="3" t="s">
        <v>632</v>
      </c>
      <c r="D1607" s="2" t="s">
        <v>405</v>
      </c>
      <c r="E1607" s="114">
        <v>2.5</v>
      </c>
      <c r="F1607" s="23">
        <f>VLOOKUP(B1607,'[1]BASE DE DATOS'!$A$5:$E$964,5,FALSE)</f>
        <v>10991</v>
      </c>
      <c r="G1607" s="104">
        <f>1/3</f>
        <v>0.33333333333333331</v>
      </c>
      <c r="H1607" s="252">
        <f t="shared" si="116"/>
        <v>9159.1666666666661</v>
      </c>
      <c r="I1607" s="914"/>
    </row>
    <row r="1608" spans="1:9" customFormat="1" x14ac:dyDescent="0.2">
      <c r="A1608" s="936"/>
      <c r="B1608" s="244" t="s">
        <v>1611</v>
      </c>
      <c r="C1608" s="20" t="s">
        <v>3732</v>
      </c>
      <c r="D1608" s="19" t="s">
        <v>285</v>
      </c>
      <c r="E1608" s="194">
        <v>0.01</v>
      </c>
      <c r="F1608" s="23">
        <f>VLOOKUP(B1608,'[1]BASE DE DATOS'!$A$5:$E$964,5,FALSE)</f>
        <v>74972.5</v>
      </c>
      <c r="G1608" s="58">
        <v>1.1000000000000001</v>
      </c>
      <c r="H1608" s="252">
        <f t="shared" si="116"/>
        <v>824.69749999999999</v>
      </c>
      <c r="I1608" s="914"/>
    </row>
    <row r="1609" spans="1:9" customFormat="1" x14ac:dyDescent="0.2">
      <c r="A1609" s="946" t="s">
        <v>3252</v>
      </c>
      <c r="B1609" s="241" t="s">
        <v>798</v>
      </c>
      <c r="C1609" s="3" t="s">
        <v>2095</v>
      </c>
      <c r="D1609" s="2" t="s">
        <v>285</v>
      </c>
      <c r="E1609" s="114">
        <v>0.12</v>
      </c>
      <c r="F1609" s="23">
        <f>+[1]CONSTRUCCION!F26</f>
        <v>456694</v>
      </c>
      <c r="G1609" s="104">
        <v>1.05</v>
      </c>
      <c r="H1609" s="252">
        <f t="shared" si="116"/>
        <v>57543.443999999996</v>
      </c>
      <c r="I1609" s="914"/>
    </row>
    <row r="1610" spans="1:9" customFormat="1" x14ac:dyDescent="0.2">
      <c r="A1610" s="946"/>
      <c r="B1610" s="241" t="s">
        <v>799</v>
      </c>
      <c r="C1610" s="3" t="s">
        <v>2089</v>
      </c>
      <c r="D1610" s="2" t="s">
        <v>285</v>
      </c>
      <c r="E1610" s="114">
        <v>8.0000000000000002E-3</v>
      </c>
      <c r="F1610" s="23">
        <f>+[1]CONSTRUCCION!F34</f>
        <v>482282</v>
      </c>
      <c r="G1610" s="104">
        <v>1.05</v>
      </c>
      <c r="H1610" s="252">
        <f t="shared" si="116"/>
        <v>4051.1688000000004</v>
      </c>
      <c r="I1610" s="914"/>
    </row>
    <row r="1611" spans="1:9" customFormat="1" ht="12.75" x14ac:dyDescent="0.2">
      <c r="A1611" s="946"/>
      <c r="B1611" s="241" t="s">
        <v>814</v>
      </c>
      <c r="C1611" s="11" t="s">
        <v>2018</v>
      </c>
      <c r="D1611" s="2" t="s">
        <v>406</v>
      </c>
      <c r="E1611" s="114">
        <v>1.3</v>
      </c>
      <c r="F1611" s="23">
        <f>+[1]CONSTRUCCION!F118</f>
        <v>7440</v>
      </c>
      <c r="G1611" s="104">
        <v>0</v>
      </c>
      <c r="H1611" s="252">
        <f t="shared" si="116"/>
        <v>9672</v>
      </c>
      <c r="I1611" s="914"/>
    </row>
    <row r="1612" spans="1:9" customFormat="1" ht="12.75" x14ac:dyDescent="0.2">
      <c r="A1612" s="799" t="s">
        <v>2555</v>
      </c>
      <c r="B1612" s="241" t="s">
        <v>644</v>
      </c>
      <c r="C1612" s="3" t="s">
        <v>645</v>
      </c>
      <c r="D1612" s="2" t="s">
        <v>585</v>
      </c>
      <c r="E1612" s="114">
        <v>1</v>
      </c>
      <c r="F1612" s="23">
        <f>VLOOKUP(B1612,'[1]BASE DE DATOS'!$A$5:$E$964,5,FALSE)</f>
        <v>248302</v>
      </c>
      <c r="G1612" s="104">
        <f>1/2</f>
        <v>0.5</v>
      </c>
      <c r="H1612" s="252">
        <f t="shared" si="116"/>
        <v>124151</v>
      </c>
      <c r="I1612" s="914"/>
    </row>
    <row r="1613" spans="1:9" customFormat="1" ht="13.5" thickBot="1" x14ac:dyDescent="0.25">
      <c r="A1613" s="796" t="s">
        <v>293</v>
      </c>
      <c r="B1613" s="530" t="s">
        <v>269</v>
      </c>
      <c r="C1613" s="88" t="s">
        <v>284</v>
      </c>
      <c r="D1613" s="89" t="s">
        <v>586</v>
      </c>
      <c r="E1613" s="193">
        <v>0.1</v>
      </c>
      <c r="F1613" s="90">
        <f>H1612</f>
        <v>124151</v>
      </c>
      <c r="G1613" s="153">
        <v>0</v>
      </c>
      <c r="H1613" s="479">
        <f t="shared" si="116"/>
        <v>12415.1</v>
      </c>
      <c r="I1613" s="914"/>
    </row>
    <row r="1614" spans="1:9" s="42" customFormat="1" ht="45" x14ac:dyDescent="0.2">
      <c r="A1614" s="458" t="s">
        <v>3217</v>
      </c>
      <c r="B1614" s="374"/>
      <c r="C1614" s="399" t="s">
        <v>69</v>
      </c>
      <c r="D1614" s="326" t="s">
        <v>411</v>
      </c>
      <c r="E1614" s="400"/>
      <c r="F1614" s="401">
        <f>ROUND(SUM(H1614:H1622),0)</f>
        <v>416174</v>
      </c>
      <c r="G1614" s="402"/>
      <c r="H1614" s="330"/>
      <c r="I1614" s="914"/>
    </row>
    <row r="1615" spans="1:9" customFormat="1" ht="12.75" x14ac:dyDescent="0.2">
      <c r="A1615" s="936" t="s">
        <v>382</v>
      </c>
      <c r="B1615" s="244" t="s">
        <v>1757</v>
      </c>
      <c r="C1615" s="20" t="s">
        <v>144</v>
      </c>
      <c r="D1615" s="19" t="s">
        <v>405</v>
      </c>
      <c r="E1615" s="194">
        <v>5.6</v>
      </c>
      <c r="F1615" s="23">
        <f>VLOOKUP(B1615,'[1]BASE DE DATOS'!$A$5:$E$964,5,FALSE)</f>
        <v>15817</v>
      </c>
      <c r="G1615" s="58">
        <v>1.05</v>
      </c>
      <c r="H1615" s="252">
        <f t="shared" si="116"/>
        <v>93003.96</v>
      </c>
      <c r="I1615" s="914"/>
    </row>
    <row r="1616" spans="1:9" customFormat="1" ht="12.75" x14ac:dyDescent="0.2">
      <c r="A1616" s="936"/>
      <c r="B1616" s="244" t="s">
        <v>1443</v>
      </c>
      <c r="C1616" s="20" t="s">
        <v>665</v>
      </c>
      <c r="D1616" s="19" t="s">
        <v>411</v>
      </c>
      <c r="E1616" s="194">
        <v>72</v>
      </c>
      <c r="F1616" s="23">
        <f>VLOOKUP(B1616,'[1]BASE DE DATOS'!$A$5:$E$964,5,FALSE)</f>
        <v>800</v>
      </c>
      <c r="G1616" s="58">
        <v>1.03</v>
      </c>
      <c r="H1616" s="252">
        <f t="shared" si="116"/>
        <v>59328</v>
      </c>
      <c r="I1616" s="914"/>
    </row>
    <row r="1617" spans="1:9" customFormat="1" x14ac:dyDescent="0.2">
      <c r="A1617" s="948" t="s">
        <v>3252</v>
      </c>
      <c r="B1617" s="244" t="s">
        <v>798</v>
      </c>
      <c r="C1617" s="20" t="s">
        <v>2095</v>
      </c>
      <c r="D1617" s="19" t="s">
        <v>285</v>
      </c>
      <c r="E1617" s="194">
        <v>9.6000000000000002E-2</v>
      </c>
      <c r="F1617" s="23">
        <f>+[1]CONSTRUCCION!$F$26</f>
        <v>456694</v>
      </c>
      <c r="G1617" s="58">
        <v>1.05</v>
      </c>
      <c r="H1617" s="252">
        <f t="shared" si="116"/>
        <v>46034.7552</v>
      </c>
      <c r="I1617" s="914"/>
    </row>
    <row r="1618" spans="1:9" customFormat="1" x14ac:dyDescent="0.2">
      <c r="A1618" s="948"/>
      <c r="B1618" s="244" t="s">
        <v>799</v>
      </c>
      <c r="C1618" s="20" t="s">
        <v>2089</v>
      </c>
      <c r="D1618" s="19" t="s">
        <v>285</v>
      </c>
      <c r="E1618" s="194">
        <v>2.4E-2</v>
      </c>
      <c r="F1618" s="23">
        <f>+[1]CONSTRUCCION!$F$34</f>
        <v>482282</v>
      </c>
      <c r="G1618" s="58">
        <v>1.05</v>
      </c>
      <c r="H1618" s="252">
        <f t="shared" si="116"/>
        <v>12153.5064</v>
      </c>
      <c r="I1618" s="914"/>
    </row>
    <row r="1619" spans="1:9" customFormat="1" x14ac:dyDescent="0.2">
      <c r="A1619" s="948"/>
      <c r="B1619" s="244" t="s">
        <v>810</v>
      </c>
      <c r="C1619" s="20" t="s">
        <v>2097</v>
      </c>
      <c r="D1619" s="19" t="s">
        <v>285</v>
      </c>
      <c r="E1619" s="194">
        <v>8.2000000000000003E-2</v>
      </c>
      <c r="F1619" s="23">
        <f>[1]CONSTRUCCION!$F$90</f>
        <v>525897</v>
      </c>
      <c r="G1619" s="58">
        <v>1.05</v>
      </c>
      <c r="H1619" s="252">
        <f>IF(G1619&gt;0,(G1619*F1619*E1619),(F1619*E1619))</f>
        <v>45279.731699999997</v>
      </c>
      <c r="I1619" s="914"/>
    </row>
    <row r="1620" spans="1:9" customFormat="1" ht="12.75" x14ac:dyDescent="0.2">
      <c r="A1620" s="948"/>
      <c r="B1620" s="244" t="s">
        <v>814</v>
      </c>
      <c r="C1620" s="20" t="s">
        <v>2024</v>
      </c>
      <c r="D1620" s="19" t="s">
        <v>406</v>
      </c>
      <c r="E1620" s="194">
        <v>3.2</v>
      </c>
      <c r="F1620" s="23">
        <f>+[1]CONSTRUCCION!$F$118</f>
        <v>7440</v>
      </c>
      <c r="G1620" s="58">
        <v>0</v>
      </c>
      <c r="H1620" s="252">
        <f t="shared" si="116"/>
        <v>23808</v>
      </c>
      <c r="I1620" s="914"/>
    </row>
    <row r="1621" spans="1:9" customFormat="1" ht="12.75" x14ac:dyDescent="0.2">
      <c r="A1621" s="799" t="s">
        <v>2555</v>
      </c>
      <c r="B1621" s="244" t="s">
        <v>644</v>
      </c>
      <c r="C1621" s="20" t="s">
        <v>645</v>
      </c>
      <c r="D1621" s="19" t="s">
        <v>585</v>
      </c>
      <c r="E1621" s="194">
        <v>1</v>
      </c>
      <c r="F1621" s="23">
        <f>VLOOKUP(B1621,'[1]BASE DE DATOS'!$A$5:$E$964,5,FALSE)</f>
        <v>248302</v>
      </c>
      <c r="G1621" s="58">
        <f>1/2</f>
        <v>0.5</v>
      </c>
      <c r="H1621" s="252">
        <f t="shared" si="116"/>
        <v>124151</v>
      </c>
      <c r="I1621" s="914"/>
    </row>
    <row r="1622" spans="1:9" customFormat="1" ht="13.5" thickBot="1" x14ac:dyDescent="0.25">
      <c r="A1622" s="796" t="s">
        <v>293</v>
      </c>
      <c r="B1622" s="531" t="s">
        <v>269</v>
      </c>
      <c r="C1622" s="70" t="s">
        <v>284</v>
      </c>
      <c r="D1622" s="49" t="s">
        <v>586</v>
      </c>
      <c r="E1622" s="195">
        <v>0.1</v>
      </c>
      <c r="F1622" s="100">
        <f>H1621</f>
        <v>124151</v>
      </c>
      <c r="G1622" s="154">
        <v>0</v>
      </c>
      <c r="H1622" s="479">
        <f t="shared" si="116"/>
        <v>12415.1</v>
      </c>
      <c r="I1622" s="914"/>
    </row>
    <row r="1623" spans="1:9" s="42" customFormat="1" ht="45" x14ac:dyDescent="0.2">
      <c r="A1623" s="294" t="s">
        <v>3218</v>
      </c>
      <c r="B1623" s="881"/>
      <c r="C1623" s="295" t="s">
        <v>3635</v>
      </c>
      <c r="D1623" s="296" t="s">
        <v>411</v>
      </c>
      <c r="E1623" s="297"/>
      <c r="F1623" s="298">
        <f>ROUND(SUM(H1623:H1631),0)</f>
        <v>187964</v>
      </c>
      <c r="G1623" s="722"/>
      <c r="H1623" s="299"/>
      <c r="I1623" s="914"/>
    </row>
    <row r="1624" spans="1:9" customFormat="1" ht="12.75" x14ac:dyDescent="0.2">
      <c r="A1624" s="1075" t="s">
        <v>295</v>
      </c>
      <c r="B1624" s="537" t="s">
        <v>1873</v>
      </c>
      <c r="C1624" s="151" t="s">
        <v>2114</v>
      </c>
      <c r="D1624" s="148" t="s">
        <v>2648</v>
      </c>
      <c r="E1624" s="160">
        <v>4.6249999999999999E-2</v>
      </c>
      <c r="F1624" s="23">
        <f>H1628</f>
        <v>45000</v>
      </c>
      <c r="G1624" s="160">
        <v>0</v>
      </c>
      <c r="H1624" s="252">
        <f>IF(G1624&gt;0,(G1624*F1624*E1624),(F1624*E1624))</f>
        <v>2081.25</v>
      </c>
      <c r="I1624" s="914"/>
    </row>
    <row r="1625" spans="1:9" customFormat="1" x14ac:dyDescent="0.2">
      <c r="A1625" s="1075"/>
      <c r="B1625" s="537" t="s">
        <v>1609</v>
      </c>
      <c r="C1625" s="151" t="s">
        <v>2464</v>
      </c>
      <c r="D1625" s="148" t="s">
        <v>1996</v>
      </c>
      <c r="E1625" s="160">
        <v>1</v>
      </c>
      <c r="F1625" s="23">
        <f>VLOOKUP(B1625,'[1]BASE DE DATOS'!$A$5:$E$964,5,FALSE)</f>
        <v>48660</v>
      </c>
      <c r="G1625" s="160">
        <v>0.1</v>
      </c>
      <c r="H1625" s="252">
        <f>IF(G1625&gt;0,(G1625*F1625*E1625),(F1625*E1625))</f>
        <v>4866</v>
      </c>
      <c r="I1625" s="914"/>
    </row>
    <row r="1626" spans="1:9" customFormat="1" ht="12.75" x14ac:dyDescent="0.2">
      <c r="A1626" s="1075"/>
      <c r="B1626" s="537" t="s">
        <v>1874</v>
      </c>
      <c r="C1626" s="151" t="s">
        <v>2113</v>
      </c>
      <c r="D1626" s="148" t="s">
        <v>411</v>
      </c>
      <c r="E1626" s="160">
        <v>1</v>
      </c>
      <c r="F1626" s="23">
        <f>VLOOKUP(B1626,'[1]BASE DE DATOS'!$A$5:$E$964,5,FALSE)</f>
        <v>18000</v>
      </c>
      <c r="G1626" s="160">
        <v>1</v>
      </c>
      <c r="H1626" s="252">
        <f>IF(G1626&gt;0,(G1626*F1626*E1626),(F1626*E1626))</f>
        <v>18000</v>
      </c>
      <c r="I1626" s="914"/>
    </row>
    <row r="1627" spans="1:9" customFormat="1" ht="12.75" x14ac:dyDescent="0.2">
      <c r="A1627" s="1075"/>
      <c r="B1627" s="537" t="s">
        <v>2962</v>
      </c>
      <c r="C1627" s="151" t="s">
        <v>2678</v>
      </c>
      <c r="D1627" s="148" t="s">
        <v>411</v>
      </c>
      <c r="E1627" s="160">
        <v>6</v>
      </c>
      <c r="F1627" s="23">
        <f>VLOOKUP(B1627,'[1]BASE DE DATOS'!$A$5:$E$964,5,FALSE)</f>
        <v>3500</v>
      </c>
      <c r="G1627" s="160">
        <v>1</v>
      </c>
      <c r="H1627" s="252">
        <f>IF(G1627&gt;0,(G1627*F1627*E1627),(F1627*E1627))</f>
        <v>21000</v>
      </c>
      <c r="I1627" s="914"/>
    </row>
    <row r="1628" spans="1:9" customFormat="1" ht="39.6" customHeight="1" x14ac:dyDescent="0.2">
      <c r="A1628" s="1075"/>
      <c r="B1628" s="537" t="s">
        <v>4110</v>
      </c>
      <c r="C1628" s="151" t="s">
        <v>4111</v>
      </c>
      <c r="D1628" s="148" t="s">
        <v>411</v>
      </c>
      <c r="E1628" s="160">
        <v>1</v>
      </c>
      <c r="F1628" s="23">
        <f>VLOOKUP(B1628,'[1]BASE DE DATOS'!$A$5:$E$964,5,FALSE)</f>
        <v>45000</v>
      </c>
      <c r="G1628" s="160">
        <v>1</v>
      </c>
      <c r="H1628" s="252">
        <f t="shared" ref="H1628:H1631" si="118">IF(G1628&gt;0,(G1628*F1628*E1628),(F1628*E1628))</f>
        <v>45000</v>
      </c>
      <c r="I1628" s="914"/>
    </row>
    <row r="1629" spans="1:9" customFormat="1" x14ac:dyDescent="0.2">
      <c r="A1629" s="797" t="s">
        <v>3252</v>
      </c>
      <c r="B1629" s="537" t="s">
        <v>810</v>
      </c>
      <c r="C1629" s="151" t="s">
        <v>2097</v>
      </c>
      <c r="D1629" s="148" t="s">
        <v>1920</v>
      </c>
      <c r="E1629" s="160">
        <v>4.0000000000000001E-3</v>
      </c>
      <c r="F1629" s="23">
        <f>+[1]CONSTRUCCION!$F$90</f>
        <v>525897</v>
      </c>
      <c r="G1629" s="160">
        <v>1.05</v>
      </c>
      <c r="H1629" s="252">
        <f t="shared" si="118"/>
        <v>2208.7674000000002</v>
      </c>
      <c r="I1629" s="914"/>
    </row>
    <row r="1630" spans="1:9" customFormat="1" ht="12.75" x14ac:dyDescent="0.2">
      <c r="A1630" s="63" t="s">
        <v>3673</v>
      </c>
      <c r="B1630" s="537" t="s">
        <v>252</v>
      </c>
      <c r="C1630" s="151" t="s">
        <v>396</v>
      </c>
      <c r="D1630" s="148" t="s">
        <v>585</v>
      </c>
      <c r="E1630" s="161">
        <v>1</v>
      </c>
      <c r="F1630" s="23">
        <f>VLOOKUP(B1630,'[1]BASE DE DATOS'!$A$5:$E$964,5,FALSE)</f>
        <v>319246</v>
      </c>
      <c r="G1630" s="160">
        <f>1/3.704</f>
        <v>0.26997840172786175</v>
      </c>
      <c r="H1630" s="252">
        <f t="shared" si="118"/>
        <v>86189.524838012949</v>
      </c>
      <c r="I1630" s="914"/>
    </row>
    <row r="1631" spans="1:9" customFormat="1" ht="13.5" thickBot="1" x14ac:dyDescent="0.25">
      <c r="A1631" s="65" t="s">
        <v>293</v>
      </c>
      <c r="B1631" s="606" t="s">
        <v>269</v>
      </c>
      <c r="C1631" s="607" t="s">
        <v>284</v>
      </c>
      <c r="D1631" s="608" t="s">
        <v>2199</v>
      </c>
      <c r="E1631" s="609">
        <v>0.1</v>
      </c>
      <c r="F1631" s="610">
        <f>H1630</f>
        <v>86189.524838012949</v>
      </c>
      <c r="G1631" s="609">
        <v>1</v>
      </c>
      <c r="H1631" s="479">
        <f t="shared" si="118"/>
        <v>8618.9524838012949</v>
      </c>
      <c r="I1631" s="914"/>
    </row>
    <row r="1632" spans="1:9" ht="45" x14ac:dyDescent="0.2">
      <c r="A1632" s="292" t="s">
        <v>3219</v>
      </c>
      <c r="B1632" s="868"/>
      <c r="C1632" s="264" t="s">
        <v>2438</v>
      </c>
      <c r="D1632" s="265" t="s">
        <v>411</v>
      </c>
      <c r="E1632" s="707"/>
      <c r="F1632" s="259">
        <f>ROUND(SUM(H1632:H1645),0)</f>
        <v>295690</v>
      </c>
      <c r="G1632" s="711"/>
      <c r="H1632" s="250"/>
    </row>
    <row r="1633" spans="1:9" s="818" customFormat="1" ht="12.75" x14ac:dyDescent="0.2">
      <c r="A1633" s="1072" t="s">
        <v>295</v>
      </c>
      <c r="B1633" s="533" t="s">
        <v>1255</v>
      </c>
      <c r="C1633" s="822" t="s">
        <v>2574</v>
      </c>
      <c r="D1633" s="266" t="s">
        <v>411</v>
      </c>
      <c r="E1633" s="704">
        <v>4</v>
      </c>
      <c r="F1633" s="256">
        <f>VLOOKUP(B1633,'[1]BASE DE DATOS'!$A$5:$E$964,5,FALSE)</f>
        <v>850</v>
      </c>
      <c r="G1633" s="708">
        <v>0</v>
      </c>
      <c r="H1633" s="252">
        <f t="shared" ref="H1633:H1645" si="119">IF(G1633&gt;0,(G1633*F1633*E1633),(F1633*E1633))</f>
        <v>3400</v>
      </c>
      <c r="I1633" s="924"/>
    </row>
    <row r="1634" spans="1:9" s="818" customFormat="1" ht="12.75" x14ac:dyDescent="0.2">
      <c r="A1634" s="1073"/>
      <c r="B1634" s="533" t="s">
        <v>1449</v>
      </c>
      <c r="C1634" s="822" t="s">
        <v>2818</v>
      </c>
      <c r="D1634" s="266" t="s">
        <v>405</v>
      </c>
      <c r="E1634" s="704">
        <v>25</v>
      </c>
      <c r="F1634" s="256">
        <f>VLOOKUP(B1634,'[1]BASE DE DATOS'!$A$5:$E$964,5,FALSE)</f>
        <v>2150</v>
      </c>
      <c r="G1634" s="708">
        <v>1.03</v>
      </c>
      <c r="H1634" s="252">
        <f t="shared" si="119"/>
        <v>55362.5</v>
      </c>
      <c r="I1634" s="924"/>
    </row>
    <row r="1635" spans="1:9" s="818" customFormat="1" ht="12.75" x14ac:dyDescent="0.2">
      <c r="A1635" s="1073"/>
      <c r="B1635" s="533" t="s">
        <v>2846</v>
      </c>
      <c r="C1635" s="822" t="s">
        <v>2847</v>
      </c>
      <c r="D1635" s="266" t="s">
        <v>411</v>
      </c>
      <c r="E1635" s="704">
        <v>0.3</v>
      </c>
      <c r="F1635" s="256">
        <f>VLOOKUP(B1635,'[1]BASE DE DATOS'!$A$5:$E$964,5,FALSE)</f>
        <v>19300</v>
      </c>
      <c r="G1635" s="708">
        <v>0</v>
      </c>
      <c r="H1635" s="252">
        <f t="shared" si="119"/>
        <v>5790</v>
      </c>
      <c r="I1635" s="924"/>
    </row>
    <row r="1636" spans="1:9" s="818" customFormat="1" ht="12.75" x14ac:dyDescent="0.2">
      <c r="A1636" s="1073"/>
      <c r="B1636" s="533" t="s">
        <v>1572</v>
      </c>
      <c r="C1636" s="822" t="s">
        <v>2848</v>
      </c>
      <c r="D1636" s="266" t="s">
        <v>411</v>
      </c>
      <c r="E1636" s="704">
        <v>1</v>
      </c>
      <c r="F1636" s="256">
        <f>VLOOKUP(B1636,'[1]BASE DE DATOS'!$A$5:$E$964,5,FALSE)</f>
        <v>19300</v>
      </c>
      <c r="G1636" s="708">
        <v>0</v>
      </c>
      <c r="H1636" s="252">
        <f t="shared" si="119"/>
        <v>19300</v>
      </c>
      <c r="I1636" s="924"/>
    </row>
    <row r="1637" spans="1:9" s="818" customFormat="1" ht="12.75" x14ac:dyDescent="0.2">
      <c r="A1637" s="1073"/>
      <c r="B1637" s="533" t="s">
        <v>1641</v>
      </c>
      <c r="C1637" s="823" t="s">
        <v>3167</v>
      </c>
      <c r="D1637" s="273" t="s">
        <v>405</v>
      </c>
      <c r="E1637" s="704">
        <v>0.3</v>
      </c>
      <c r="F1637" s="256">
        <f>VLOOKUP(B1637,'[1]BASE DE DATOS'!$A$5:$E$964,5,FALSE)</f>
        <v>7900</v>
      </c>
      <c r="G1637" s="708">
        <v>1.03</v>
      </c>
      <c r="H1637" s="252">
        <f t="shared" si="119"/>
        <v>2441.1</v>
      </c>
      <c r="I1637" s="924"/>
    </row>
    <row r="1638" spans="1:9" s="818" customFormat="1" ht="12.75" x14ac:dyDescent="0.2">
      <c r="A1638" s="1073"/>
      <c r="B1638" s="533" t="s">
        <v>2867</v>
      </c>
      <c r="C1638" s="822" t="s">
        <v>2868</v>
      </c>
      <c r="D1638" s="266" t="s">
        <v>411</v>
      </c>
      <c r="E1638" s="704">
        <v>3</v>
      </c>
      <c r="F1638" s="256">
        <f>VLOOKUP(B1638,'[1]BASE DE DATOS'!$A$5:$E$964,5,FALSE)</f>
        <v>1200</v>
      </c>
      <c r="G1638" s="708">
        <v>0</v>
      </c>
      <c r="H1638" s="252">
        <f t="shared" si="119"/>
        <v>3600</v>
      </c>
      <c r="I1638" s="924"/>
    </row>
    <row r="1639" spans="1:9" s="818" customFormat="1" ht="12.75" x14ac:dyDescent="0.2">
      <c r="A1639" s="1073"/>
      <c r="B1639" s="533" t="s">
        <v>1803</v>
      </c>
      <c r="C1639" s="822" t="s">
        <v>2135</v>
      </c>
      <c r="D1639" s="266" t="s">
        <v>411</v>
      </c>
      <c r="E1639" s="704">
        <v>1</v>
      </c>
      <c r="F1639" s="256">
        <f>VLOOKUP(B1639,'[1]BASE DE DATOS'!$A$5:$E$964,5,FALSE)</f>
        <v>2800</v>
      </c>
      <c r="G1639" s="708">
        <v>0</v>
      </c>
      <c r="H1639" s="252">
        <f t="shared" si="119"/>
        <v>2800</v>
      </c>
      <c r="I1639" s="924"/>
    </row>
    <row r="1640" spans="1:9" s="818" customFormat="1" ht="12.75" x14ac:dyDescent="0.2">
      <c r="A1640" s="1073"/>
      <c r="B1640" s="533" t="s">
        <v>2905</v>
      </c>
      <c r="C1640" s="279" t="s">
        <v>2906</v>
      </c>
      <c r="D1640" s="266" t="s">
        <v>411</v>
      </c>
      <c r="E1640" s="704">
        <v>1</v>
      </c>
      <c r="F1640" s="256">
        <f>VLOOKUP(B1640,'[1]BASE DE DATOS'!$A$5:$E$964,5,FALSE)</f>
        <v>13450</v>
      </c>
      <c r="G1640" s="708">
        <v>0</v>
      </c>
      <c r="H1640" s="252">
        <f t="shared" si="119"/>
        <v>13450</v>
      </c>
      <c r="I1640" s="924"/>
    </row>
    <row r="1641" spans="1:9" s="818" customFormat="1" ht="12.75" x14ac:dyDescent="0.2">
      <c r="A1641" s="1073"/>
      <c r="B1641" s="533" t="s">
        <v>3031</v>
      </c>
      <c r="C1641" s="822" t="s">
        <v>3032</v>
      </c>
      <c r="D1641" s="266" t="s">
        <v>411</v>
      </c>
      <c r="E1641" s="704">
        <v>2</v>
      </c>
      <c r="F1641" s="256">
        <f>VLOOKUP(B1641,'[1]BASE DE DATOS'!$A$5:$E$964,5,FALSE)</f>
        <v>1150</v>
      </c>
      <c r="G1641" s="708">
        <v>0</v>
      </c>
      <c r="H1641" s="252">
        <f t="shared" si="119"/>
        <v>2300</v>
      </c>
      <c r="I1641" s="924"/>
    </row>
    <row r="1642" spans="1:9" s="818" customFormat="1" ht="12.75" x14ac:dyDescent="0.2">
      <c r="A1642" s="1073"/>
      <c r="B1642" s="533" t="s">
        <v>1853</v>
      </c>
      <c r="C1642" s="822" t="s">
        <v>3062</v>
      </c>
      <c r="D1642" s="266" t="s">
        <v>405</v>
      </c>
      <c r="E1642" s="704">
        <v>4.5</v>
      </c>
      <c r="F1642" s="256">
        <f>VLOOKUP(B1642,'[1]BASE DE DATOS'!$A$5:$E$964,5,FALSE)</f>
        <v>9100</v>
      </c>
      <c r="G1642" s="708">
        <v>1.03</v>
      </c>
      <c r="H1642" s="252">
        <f t="shared" si="119"/>
        <v>42178.5</v>
      </c>
      <c r="I1642" s="924"/>
    </row>
    <row r="1643" spans="1:9" s="818" customFormat="1" ht="12.75" x14ac:dyDescent="0.2">
      <c r="A1643" s="1073"/>
      <c r="B1643" s="533" t="s">
        <v>3094</v>
      </c>
      <c r="C1643" s="822" t="s">
        <v>3095</v>
      </c>
      <c r="D1643" s="266" t="s">
        <v>411</v>
      </c>
      <c r="E1643" s="704">
        <v>4</v>
      </c>
      <c r="F1643" s="256">
        <f>VLOOKUP(B1643,'[1]BASE DE DATOS'!$A$5:$E$964,5,FALSE)</f>
        <v>1150</v>
      </c>
      <c r="G1643" s="708">
        <v>0</v>
      </c>
      <c r="H1643" s="252">
        <f t="shared" si="119"/>
        <v>4600</v>
      </c>
      <c r="I1643" s="924"/>
    </row>
    <row r="1644" spans="1:9" s="818" customFormat="1" ht="12.75" x14ac:dyDescent="0.2">
      <c r="A1644" s="280" t="s">
        <v>2555</v>
      </c>
      <c r="B1644" s="534" t="s">
        <v>2667</v>
      </c>
      <c r="C1644" s="822" t="s">
        <v>2600</v>
      </c>
      <c r="D1644" s="266" t="s">
        <v>585</v>
      </c>
      <c r="E1644" s="704">
        <v>1</v>
      </c>
      <c r="F1644" s="256">
        <f>VLOOKUP(B1644,'[1]BASE DE DATOS'!$A$5:$E$964,5,FALSE)</f>
        <v>319246</v>
      </c>
      <c r="G1644" s="708">
        <f>1/2.5</f>
        <v>0.4</v>
      </c>
      <c r="H1644" s="252">
        <f t="shared" si="119"/>
        <v>127698.40000000001</v>
      </c>
      <c r="I1644" s="924"/>
    </row>
    <row r="1645" spans="1:9" s="818" customFormat="1" ht="13.5" thickBot="1" x14ac:dyDescent="0.25">
      <c r="A1645" s="611" t="s">
        <v>293</v>
      </c>
      <c r="B1645" s="536" t="s">
        <v>269</v>
      </c>
      <c r="C1645" s="658" t="s">
        <v>284</v>
      </c>
      <c r="D1645" s="613" t="s">
        <v>2199</v>
      </c>
      <c r="E1645" s="724">
        <v>0.1</v>
      </c>
      <c r="F1645" s="614">
        <f>H1644</f>
        <v>127698.40000000001</v>
      </c>
      <c r="G1645" s="723">
        <v>0</v>
      </c>
      <c r="H1645" s="479">
        <f t="shared" si="119"/>
        <v>12769.840000000002</v>
      </c>
      <c r="I1645" s="924"/>
    </row>
    <row r="1646" spans="1:9" s="42" customFormat="1" ht="30" x14ac:dyDescent="0.2">
      <c r="A1646" s="294" t="s">
        <v>4213</v>
      </c>
      <c r="B1646" s="876"/>
      <c r="C1646" s="300" t="s">
        <v>3637</v>
      </c>
      <c r="D1646" s="301" t="s">
        <v>411</v>
      </c>
      <c r="E1646" s="302"/>
      <c r="F1646" s="259">
        <f>ROUND(SUM(H1646:H1657),0)</f>
        <v>194931</v>
      </c>
      <c r="G1646" s="713"/>
      <c r="H1646" s="303"/>
      <c r="I1646" s="914"/>
    </row>
    <row r="1647" spans="1:9" customFormat="1" ht="12.75" x14ac:dyDescent="0.2">
      <c r="A1647" s="1076" t="s">
        <v>295</v>
      </c>
      <c r="B1647" s="537" t="s">
        <v>1852</v>
      </c>
      <c r="C1647" s="151" t="s">
        <v>2138</v>
      </c>
      <c r="D1647" s="148" t="s">
        <v>411</v>
      </c>
      <c r="E1647" s="160">
        <v>2</v>
      </c>
      <c r="F1647" s="23">
        <f>VLOOKUP(B1647,'[1]BASE DE DATOS'!$A$5:$E$964,5,FALSE)</f>
        <v>2200</v>
      </c>
      <c r="G1647" s="161">
        <v>1</v>
      </c>
      <c r="H1647" s="252">
        <f>IF(G1647&gt;0,(G1647*F1647*E1647),(F1647*E1647))</f>
        <v>4400</v>
      </c>
      <c r="I1647" s="914"/>
    </row>
    <row r="1648" spans="1:9" customFormat="1" ht="12.75" x14ac:dyDescent="0.2">
      <c r="A1648" s="1076"/>
      <c r="B1648" s="537" t="s">
        <v>1860</v>
      </c>
      <c r="C1648" s="151" t="s">
        <v>2830</v>
      </c>
      <c r="D1648" s="148" t="s">
        <v>405</v>
      </c>
      <c r="E1648" s="160">
        <v>12</v>
      </c>
      <c r="F1648" s="23">
        <f>VLOOKUP(B1648,'[1]BASE DE DATOS'!$A$5:$E$964,5,FALSE)</f>
        <v>2600</v>
      </c>
      <c r="G1648" s="161">
        <v>1.05</v>
      </c>
      <c r="H1648" s="252">
        <f>IF(G1648&gt;0,(G1648*F1648*E1648),(F1648*E1648))</f>
        <v>32760</v>
      </c>
      <c r="I1648" s="914"/>
    </row>
    <row r="1649" spans="1:9" customFormat="1" ht="12.75" x14ac:dyDescent="0.2">
      <c r="A1649" s="1076"/>
      <c r="B1649" s="537" t="s">
        <v>1851</v>
      </c>
      <c r="C1649" s="150" t="s">
        <v>2845</v>
      </c>
      <c r="D1649" s="148" t="s">
        <v>411</v>
      </c>
      <c r="E1649" s="160">
        <v>1</v>
      </c>
      <c r="F1649" s="23">
        <f>VLOOKUP(B1649,'[1]BASE DE DATOS'!$A$5:$E$964,5,FALSE)</f>
        <v>11500</v>
      </c>
      <c r="G1649" s="161">
        <v>1</v>
      </c>
      <c r="H1649" s="252">
        <f>IF(G1649&gt;0,(G1649*F1649*E1649),(F1649*E1649))</f>
        <v>11500</v>
      </c>
      <c r="I1649" s="914"/>
    </row>
    <row r="1650" spans="1:9" customFormat="1" ht="12.75" x14ac:dyDescent="0.2">
      <c r="A1650" s="1076"/>
      <c r="B1650" s="537" t="s">
        <v>1342</v>
      </c>
      <c r="C1650" s="151" t="s">
        <v>2131</v>
      </c>
      <c r="D1650" s="148" t="s">
        <v>256</v>
      </c>
      <c r="E1650" s="160">
        <v>1</v>
      </c>
      <c r="F1650" s="23">
        <f>VLOOKUP(B1650,'[1]BASE DE DATOS'!$A$5:$E$964,5,FALSE)</f>
        <v>28050</v>
      </c>
      <c r="G1650" s="161">
        <v>5.2999999999999999E-2</v>
      </c>
      <c r="H1650" s="252">
        <f>IF(G1650&gt;0,(G1650*F1650*E1650),(F1650*E1650))</f>
        <v>1486.6499999999999</v>
      </c>
      <c r="I1650" s="914"/>
    </row>
    <row r="1651" spans="1:9" customFormat="1" ht="12.75" x14ac:dyDescent="0.2">
      <c r="A1651" s="1076"/>
      <c r="B1651" s="537" t="s">
        <v>1859</v>
      </c>
      <c r="C1651" s="151" t="s">
        <v>2130</v>
      </c>
      <c r="D1651" s="148" t="s">
        <v>411</v>
      </c>
      <c r="E1651" s="160">
        <v>3</v>
      </c>
      <c r="F1651" s="23">
        <f>VLOOKUP(B1651,'[1]BASE DE DATOS'!$A$5:$E$964,5,FALSE)</f>
        <v>2350</v>
      </c>
      <c r="G1651" s="712">
        <v>1</v>
      </c>
      <c r="H1651" s="252">
        <f>IF(G1651&gt;0,(G1651*F1651*E1651),(F1651*E1651))</f>
        <v>7050</v>
      </c>
      <c r="I1651" s="914"/>
    </row>
    <row r="1652" spans="1:9" customFormat="1" ht="12.75" x14ac:dyDescent="0.2">
      <c r="A1652" s="1076"/>
      <c r="B1652" s="537" t="s">
        <v>1803</v>
      </c>
      <c r="C1652" s="151" t="s">
        <v>2135</v>
      </c>
      <c r="D1652" s="148" t="s">
        <v>411</v>
      </c>
      <c r="E1652" s="160">
        <v>1</v>
      </c>
      <c r="F1652" s="23">
        <f>VLOOKUP(B1652,'[1]BASE DE DATOS'!$A$5:$E$964,5,FALSE)</f>
        <v>2800</v>
      </c>
      <c r="G1652" s="161">
        <v>1</v>
      </c>
      <c r="H1652" s="252">
        <f t="shared" ref="H1652:H1653" si="120">IF(G1652&gt;0,(G1652*F1652*E1652),(F1652*E1652))</f>
        <v>2800</v>
      </c>
      <c r="I1652" s="914"/>
    </row>
    <row r="1653" spans="1:9" customFormat="1" ht="12.75" x14ac:dyDescent="0.2">
      <c r="A1653" s="1076"/>
      <c r="B1653" s="537" t="s">
        <v>2962</v>
      </c>
      <c r="C1653" s="151" t="s">
        <v>2678</v>
      </c>
      <c r="D1653" s="148" t="s">
        <v>411</v>
      </c>
      <c r="E1653" s="160">
        <v>1</v>
      </c>
      <c r="F1653" s="23">
        <f>VLOOKUP(B1653,'[1]BASE DE DATOS'!$A$5:$E$964,5,FALSE)</f>
        <v>3500</v>
      </c>
      <c r="G1653" s="161">
        <v>1</v>
      </c>
      <c r="H1653" s="252">
        <f t="shared" si="120"/>
        <v>3500</v>
      </c>
      <c r="I1653" s="914"/>
    </row>
    <row r="1654" spans="1:9" customFormat="1" ht="12.75" x14ac:dyDescent="0.2">
      <c r="A1654" s="1076"/>
      <c r="B1654" s="537" t="s">
        <v>1855</v>
      </c>
      <c r="C1654" s="150" t="s">
        <v>2136</v>
      </c>
      <c r="D1654" s="148" t="s">
        <v>411</v>
      </c>
      <c r="E1654" s="160">
        <v>1</v>
      </c>
      <c r="F1654" s="23">
        <f>VLOOKUP(B1654,'[1]BASE DE DATOS'!$A$5:$E$964,5,FALSE)</f>
        <v>6150</v>
      </c>
      <c r="G1654" s="161">
        <v>1</v>
      </c>
      <c r="H1654" s="252">
        <f>IF(G1654&gt;0,(G1654*F1654*E1654),(F1654*E1654))</f>
        <v>6150</v>
      </c>
      <c r="I1654" s="914"/>
    </row>
    <row r="1655" spans="1:9" customFormat="1" ht="13.15" customHeight="1" x14ac:dyDescent="0.2">
      <c r="A1655" s="1076"/>
      <c r="B1655" s="537" t="s">
        <v>1853</v>
      </c>
      <c r="C1655" s="151" t="s">
        <v>3062</v>
      </c>
      <c r="D1655" s="148" t="s">
        <v>405</v>
      </c>
      <c r="E1655" s="160">
        <v>4</v>
      </c>
      <c r="F1655" s="23">
        <f>VLOOKUP(B1655,'[1]BASE DE DATOS'!$A$5:$E$964,5,FALSE)</f>
        <v>9100</v>
      </c>
      <c r="G1655" s="161">
        <v>1.03</v>
      </c>
      <c r="H1655" s="252">
        <f>IF(G1655&gt;0,(G1655*F1655*E1655),(F1655*E1655))</f>
        <v>37492</v>
      </c>
      <c r="I1655" s="914"/>
    </row>
    <row r="1656" spans="1:9" customFormat="1" ht="12.75" x14ac:dyDescent="0.2">
      <c r="A1656" s="63" t="s">
        <v>3673</v>
      </c>
      <c r="B1656" s="537" t="s">
        <v>252</v>
      </c>
      <c r="C1656" s="151" t="s">
        <v>396</v>
      </c>
      <c r="D1656" s="148" t="s">
        <v>585</v>
      </c>
      <c r="E1656" s="161">
        <v>1</v>
      </c>
      <c r="F1656" s="23">
        <f>VLOOKUP(B1656,'[1]BASE DE DATOS'!$A$5:$E$964,5,FALSE)</f>
        <v>319246</v>
      </c>
      <c r="G1656" s="161">
        <f>1/4</f>
        <v>0.25</v>
      </c>
      <c r="H1656" s="252">
        <f t="shared" ref="H1656:H1657" si="121">IF(G1656&gt;0,(G1656*F1656*E1656),(F1656*E1656))</f>
        <v>79811.5</v>
      </c>
      <c r="I1656" s="914"/>
    </row>
    <row r="1657" spans="1:9" customFormat="1" ht="13.5" thickBot="1" x14ac:dyDescent="0.25">
      <c r="A1657" s="128" t="s">
        <v>293</v>
      </c>
      <c r="B1657" s="615" t="s">
        <v>269</v>
      </c>
      <c r="C1657" s="616" t="s">
        <v>284</v>
      </c>
      <c r="D1657" s="617" t="s">
        <v>2199</v>
      </c>
      <c r="E1657" s="618">
        <v>0.1</v>
      </c>
      <c r="F1657" s="845">
        <f>+H1656</f>
        <v>79811.5</v>
      </c>
      <c r="G1657" s="618">
        <v>1</v>
      </c>
      <c r="H1657" s="479">
        <f t="shared" si="121"/>
        <v>7981.1500000000005</v>
      </c>
      <c r="I1657" s="914"/>
    </row>
    <row r="1658" spans="1:9" s="42" customFormat="1" ht="63" customHeight="1" x14ac:dyDescent="0.2">
      <c r="A1658" s="294" t="s">
        <v>4214</v>
      </c>
      <c r="B1658" s="876"/>
      <c r="C1658" s="300" t="s">
        <v>3641</v>
      </c>
      <c r="D1658" s="301" t="s">
        <v>411</v>
      </c>
      <c r="E1658" s="302"/>
      <c r="F1658" s="259">
        <f>ROUND(SUM(H1658:H1670),0)</f>
        <v>295175</v>
      </c>
      <c r="G1658" s="713"/>
      <c r="H1658" s="303"/>
      <c r="I1658" s="914"/>
    </row>
    <row r="1659" spans="1:9" customFormat="1" ht="12.75" x14ac:dyDescent="0.2">
      <c r="A1659" s="1077" t="s">
        <v>295</v>
      </c>
      <c r="B1659" s="537" t="s">
        <v>4112</v>
      </c>
      <c r="C1659" s="151" t="s">
        <v>3642</v>
      </c>
      <c r="D1659" s="148" t="s">
        <v>411</v>
      </c>
      <c r="E1659" s="160">
        <v>2</v>
      </c>
      <c r="F1659" s="23">
        <f>VLOOKUP(B1659,'[1]BASE DE DATOS'!$A$5:$E$964,5,FALSE)</f>
        <v>950</v>
      </c>
      <c r="G1659" s="712">
        <v>1</v>
      </c>
      <c r="H1659" s="252">
        <f t="shared" ref="H1659:H1665" si="122">IF(G1659&gt;0,(G1659*F1659*E1659),(F1659*E1659))</f>
        <v>1900</v>
      </c>
      <c r="I1659" s="914"/>
    </row>
    <row r="1660" spans="1:9" customFormat="1" ht="12.75" x14ac:dyDescent="0.2">
      <c r="A1660" s="1077"/>
      <c r="B1660" s="537" t="s">
        <v>1860</v>
      </c>
      <c r="C1660" s="151" t="s">
        <v>2830</v>
      </c>
      <c r="D1660" s="148" t="s">
        <v>405</v>
      </c>
      <c r="E1660" s="160">
        <v>6</v>
      </c>
      <c r="F1660" s="23">
        <f>VLOOKUP(B1660,'[1]BASE DE DATOS'!$A$5:$E$964,5,FALSE)</f>
        <v>2600</v>
      </c>
      <c r="G1660" s="712">
        <v>1.4999999999999999E-2</v>
      </c>
      <c r="H1660" s="252">
        <f t="shared" si="122"/>
        <v>234</v>
      </c>
      <c r="I1660" s="914"/>
    </row>
    <row r="1661" spans="1:9" customFormat="1" ht="12.75" x14ac:dyDescent="0.2">
      <c r="A1661" s="1077"/>
      <c r="B1661" s="537" t="s">
        <v>1739</v>
      </c>
      <c r="C1661" s="150" t="s">
        <v>3122</v>
      </c>
      <c r="D1661" s="148" t="s">
        <v>405</v>
      </c>
      <c r="E1661" s="160">
        <v>1</v>
      </c>
      <c r="F1661" s="23">
        <f>VLOOKUP(B1661,'[1]BASE DE DATOS'!$A$5:$E$964,5,FALSE)</f>
        <v>10850</v>
      </c>
      <c r="G1661" s="712">
        <v>1.05</v>
      </c>
      <c r="H1661" s="252">
        <f t="shared" si="122"/>
        <v>11392.5</v>
      </c>
      <c r="I1661" s="914"/>
    </row>
    <row r="1662" spans="1:9" customFormat="1" ht="12.75" x14ac:dyDescent="0.2">
      <c r="A1662" s="1077"/>
      <c r="B1662" s="537" t="s">
        <v>1861</v>
      </c>
      <c r="C1662" s="150" t="s">
        <v>2129</v>
      </c>
      <c r="D1662" s="148" t="s">
        <v>411</v>
      </c>
      <c r="E1662" s="160">
        <v>1</v>
      </c>
      <c r="F1662" s="23">
        <f>VLOOKUP(B1662,'[1]BASE DE DATOS'!$A$5:$E$964,5,FALSE)</f>
        <v>1890</v>
      </c>
      <c r="G1662" s="712">
        <v>1</v>
      </c>
      <c r="H1662" s="252">
        <f t="shared" si="122"/>
        <v>1890</v>
      </c>
      <c r="I1662" s="914"/>
    </row>
    <row r="1663" spans="1:9" customFormat="1" ht="12.75" x14ac:dyDescent="0.2">
      <c r="A1663" s="1077"/>
      <c r="B1663" s="537" t="s">
        <v>1342</v>
      </c>
      <c r="C1663" s="151" t="s">
        <v>2131</v>
      </c>
      <c r="D1663" s="148" t="s">
        <v>256</v>
      </c>
      <c r="E1663" s="160">
        <v>1</v>
      </c>
      <c r="F1663" s="23">
        <f>VLOOKUP(B1663,'[1]BASE DE DATOS'!$A$5:$E$964,5,FALSE)</f>
        <v>28050</v>
      </c>
      <c r="G1663" s="712">
        <v>1</v>
      </c>
      <c r="H1663" s="252">
        <f t="shared" si="122"/>
        <v>28050</v>
      </c>
      <c r="I1663" s="914"/>
    </row>
    <row r="1664" spans="1:9" customFormat="1" ht="12.75" x14ac:dyDescent="0.2">
      <c r="A1664" s="1077"/>
      <c r="B1664" s="537" t="s">
        <v>1601</v>
      </c>
      <c r="C1664" s="150" t="s">
        <v>1997</v>
      </c>
      <c r="D1664" s="148" t="s">
        <v>411</v>
      </c>
      <c r="E1664" s="160">
        <v>1</v>
      </c>
      <c r="F1664" s="23">
        <f>VLOOKUP(B1664,'[1]BASE DE DATOS'!$A$5:$E$964,5,FALSE)</f>
        <v>2300</v>
      </c>
      <c r="G1664" s="712">
        <v>1</v>
      </c>
      <c r="H1664" s="252">
        <f t="shared" si="122"/>
        <v>2300</v>
      </c>
      <c r="I1664" s="914"/>
    </row>
    <row r="1665" spans="1:9" customFormat="1" ht="12.75" x14ac:dyDescent="0.2">
      <c r="A1665" s="1077"/>
      <c r="B1665" s="537" t="s">
        <v>4113</v>
      </c>
      <c r="C1665" s="151" t="s">
        <v>3643</v>
      </c>
      <c r="D1665" s="148" t="s">
        <v>411</v>
      </c>
      <c r="E1665" s="160">
        <v>1</v>
      </c>
      <c r="F1665" s="23">
        <f>VLOOKUP(B1665,'[1]BASE DE DATOS'!$A$5:$E$964,5,FALSE)</f>
        <v>1050</v>
      </c>
      <c r="G1665" s="712">
        <v>1</v>
      </c>
      <c r="H1665" s="252">
        <f t="shared" si="122"/>
        <v>1050</v>
      </c>
      <c r="I1665" s="914"/>
    </row>
    <row r="1666" spans="1:9" customFormat="1" ht="12.75" x14ac:dyDescent="0.2">
      <c r="A1666" s="1077"/>
      <c r="B1666" s="537" t="s">
        <v>1846</v>
      </c>
      <c r="C1666" s="150" t="s">
        <v>2725</v>
      </c>
      <c r="D1666" s="148" t="s">
        <v>411</v>
      </c>
      <c r="E1666" s="160">
        <v>1</v>
      </c>
      <c r="F1666" s="23">
        <f>VLOOKUP(B1666,'[1]BASE DE DATOS'!$A$5:$E$964,5,FALSE)</f>
        <v>119900</v>
      </c>
      <c r="G1666" s="712">
        <v>1</v>
      </c>
      <c r="H1666" s="252">
        <f>IF(G1666&gt;0,(G1666*F1666*E1666),(F1666*E1666))</f>
        <v>119900</v>
      </c>
      <c r="I1666" s="914"/>
    </row>
    <row r="1667" spans="1:9" customFormat="1" ht="12.75" x14ac:dyDescent="0.2">
      <c r="A1667" s="1077"/>
      <c r="B1667" s="537" t="s">
        <v>1855</v>
      </c>
      <c r="C1667" s="150" t="s">
        <v>2205</v>
      </c>
      <c r="D1667" s="148" t="s">
        <v>411</v>
      </c>
      <c r="E1667" s="160">
        <v>1</v>
      </c>
      <c r="F1667" s="23">
        <f>VLOOKUP(B1667,'[1]BASE DE DATOS'!$A$5:$E$964,5,FALSE)</f>
        <v>6150</v>
      </c>
      <c r="G1667" s="712">
        <v>1</v>
      </c>
      <c r="H1667" s="252">
        <f t="shared" ref="H1667" si="123">IF(G1667&gt;0,(G1667*F1667*E1667),(F1667*E1667))</f>
        <v>6150</v>
      </c>
      <c r="I1667" s="914"/>
    </row>
    <row r="1668" spans="1:9" customFormat="1" ht="13.15" customHeight="1" x14ac:dyDescent="0.2">
      <c r="A1668" s="1077"/>
      <c r="B1668" s="537" t="s">
        <v>2664</v>
      </c>
      <c r="C1668" s="151" t="s">
        <v>3053</v>
      </c>
      <c r="D1668" s="148" t="s">
        <v>405</v>
      </c>
      <c r="E1668" s="160">
        <v>2</v>
      </c>
      <c r="F1668" s="23">
        <f>VLOOKUP(B1668,'[1]BASE DE DATOS'!$A$5:$E$964,5,FALSE)</f>
        <v>6600</v>
      </c>
      <c r="G1668" s="712">
        <v>3.1500000000000004</v>
      </c>
      <c r="H1668" s="252">
        <f>IF(G1668&gt;0,(G1668*F1668*E1668),(F1668*E1668))</f>
        <v>41580.000000000007</v>
      </c>
      <c r="I1668" s="914"/>
    </row>
    <row r="1669" spans="1:9" customFormat="1" ht="12.75" x14ac:dyDescent="0.2">
      <c r="A1669" s="63" t="s">
        <v>3673</v>
      </c>
      <c r="B1669" s="537" t="s">
        <v>252</v>
      </c>
      <c r="C1669" s="151" t="s">
        <v>396</v>
      </c>
      <c r="D1669" s="148" t="s">
        <v>585</v>
      </c>
      <c r="E1669" s="161">
        <v>1</v>
      </c>
      <c r="F1669" s="23">
        <f>VLOOKUP(B1669,'[1]BASE DE DATOS'!$A$5:$E$964,5,FALSE)</f>
        <v>319246</v>
      </c>
      <c r="G1669" s="712">
        <f>1/4.35</f>
        <v>0.22988505747126439</v>
      </c>
      <c r="H1669" s="252">
        <f t="shared" ref="H1669:H1670" si="124">IF(G1669&gt;0,(G1669*F1669*E1669),(F1669*E1669))</f>
        <v>73389.885057471271</v>
      </c>
      <c r="I1669" s="914"/>
    </row>
    <row r="1670" spans="1:9" customFormat="1" ht="13.5" thickBot="1" x14ac:dyDescent="0.25">
      <c r="A1670" s="128" t="s">
        <v>293</v>
      </c>
      <c r="B1670" s="615" t="s">
        <v>269</v>
      </c>
      <c r="C1670" s="616" t="s">
        <v>284</v>
      </c>
      <c r="D1670" s="617" t="s">
        <v>2199</v>
      </c>
      <c r="E1670" s="618">
        <v>0.1</v>
      </c>
      <c r="F1670" s="845">
        <f>+H1669</f>
        <v>73389.885057471271</v>
      </c>
      <c r="G1670" s="725">
        <v>1</v>
      </c>
      <c r="H1670" s="479">
        <f t="shared" si="124"/>
        <v>7338.9885057471274</v>
      </c>
      <c r="I1670" s="914"/>
    </row>
    <row r="1671" spans="1:9" ht="30" x14ac:dyDescent="0.2">
      <c r="A1671" s="292" t="s">
        <v>4215</v>
      </c>
      <c r="B1671" s="878"/>
      <c r="C1671" s="275" t="s">
        <v>2420</v>
      </c>
      <c r="D1671" s="276" t="s">
        <v>411</v>
      </c>
      <c r="E1671" s="713"/>
      <c r="F1671" s="259">
        <f>ROUND(SUM(H1671:H1678),0)</f>
        <v>1370036</v>
      </c>
      <c r="G1671" s="711"/>
      <c r="H1671" s="250"/>
      <c r="I1671" s="924">
        <v>37</v>
      </c>
    </row>
    <row r="1672" spans="1:9" s="818" customFormat="1" ht="12.75" x14ac:dyDescent="0.2">
      <c r="A1672" s="1070" t="s">
        <v>382</v>
      </c>
      <c r="B1672" s="533" t="s">
        <v>1813</v>
      </c>
      <c r="C1672" s="823" t="s">
        <v>3121</v>
      </c>
      <c r="D1672" s="273" t="s">
        <v>405</v>
      </c>
      <c r="E1672" s="712">
        <v>5</v>
      </c>
      <c r="F1672" s="256">
        <f>VLOOKUP(B1672,'[1]BASE DE DATOS'!$A$5:$E$964,5,FALSE)</f>
        <v>6950</v>
      </c>
      <c r="G1672" s="708">
        <v>1.03</v>
      </c>
      <c r="H1672" s="252">
        <f t="shared" ref="H1672:H1678" si="125">IF(G1672&gt;0,(G1672*F1672*E1672),(F1672*E1672))</f>
        <v>35792.5</v>
      </c>
      <c r="I1672" s="924"/>
    </row>
    <row r="1673" spans="1:9" s="818" customFormat="1" ht="12.75" x14ac:dyDescent="0.2">
      <c r="A1673" s="1071"/>
      <c r="B1673" s="533" t="s">
        <v>1544</v>
      </c>
      <c r="C1673" s="823" t="s">
        <v>2832</v>
      </c>
      <c r="D1673" s="273" t="s">
        <v>405</v>
      </c>
      <c r="E1673" s="712">
        <v>19</v>
      </c>
      <c r="F1673" s="256">
        <f>VLOOKUP(B1673,'[1]BASE DE DATOS'!$A$5:$E$964,5,FALSE)</f>
        <v>24300</v>
      </c>
      <c r="G1673" s="708">
        <v>1.03</v>
      </c>
      <c r="H1673" s="252">
        <f t="shared" si="125"/>
        <v>475551</v>
      </c>
      <c r="I1673" s="924"/>
    </row>
    <row r="1674" spans="1:9" s="818" customFormat="1" ht="12.75" x14ac:dyDescent="0.2">
      <c r="A1674" s="1071"/>
      <c r="B1674" s="533" t="s">
        <v>2661</v>
      </c>
      <c r="C1674" s="823" t="s">
        <v>2996</v>
      </c>
      <c r="D1674" s="273" t="s">
        <v>411</v>
      </c>
      <c r="E1674" s="712">
        <v>1</v>
      </c>
      <c r="F1674" s="256">
        <f>VLOOKUP(B1674,'[1]BASE DE DATOS'!$A$5:$E$964,5,FALSE)</f>
        <v>21169.833333333332</v>
      </c>
      <c r="G1674" s="708">
        <v>1.03</v>
      </c>
      <c r="H1674" s="252">
        <f t="shared" si="125"/>
        <v>21804.928333333333</v>
      </c>
      <c r="I1674" s="924"/>
    </row>
    <row r="1675" spans="1:9" s="818" customFormat="1" ht="12.75" x14ac:dyDescent="0.2">
      <c r="A1675" s="1071"/>
      <c r="B1675" s="533" t="s">
        <v>1835</v>
      </c>
      <c r="C1675" s="823" t="s">
        <v>2665</v>
      </c>
      <c r="D1675" s="273" t="s">
        <v>411</v>
      </c>
      <c r="E1675" s="712">
        <v>1</v>
      </c>
      <c r="F1675" s="256">
        <f>VLOOKUP(B1675,'[1]BASE DE DATOS'!$A$5:$E$964,5,FALSE)</f>
        <v>59900</v>
      </c>
      <c r="G1675" s="708">
        <v>0</v>
      </c>
      <c r="H1675" s="252">
        <f t="shared" si="125"/>
        <v>59900</v>
      </c>
      <c r="I1675" s="924"/>
    </row>
    <row r="1676" spans="1:9" s="818" customFormat="1" x14ac:dyDescent="0.2">
      <c r="A1676" s="803" t="s">
        <v>2044</v>
      </c>
      <c r="B1676" s="533" t="s">
        <v>766</v>
      </c>
      <c r="C1676" s="823" t="s">
        <v>133</v>
      </c>
      <c r="D1676" s="273" t="s">
        <v>1920</v>
      </c>
      <c r="E1676" s="712">
        <v>0.25</v>
      </c>
      <c r="F1676" s="251">
        <f>[1]CONSTRUCCION!F468</f>
        <v>43205</v>
      </c>
      <c r="G1676" s="708">
        <v>0</v>
      </c>
      <c r="H1676" s="252">
        <f t="shared" si="125"/>
        <v>10801.25</v>
      </c>
      <c r="I1676" s="924"/>
    </row>
    <row r="1677" spans="1:9" s="818" customFormat="1" ht="12.75" x14ac:dyDescent="0.2">
      <c r="A1677" s="280" t="s">
        <v>2555</v>
      </c>
      <c r="B1677" s="534" t="s">
        <v>3166</v>
      </c>
      <c r="C1677" s="823" t="s">
        <v>2602</v>
      </c>
      <c r="D1677" s="273" t="s">
        <v>585</v>
      </c>
      <c r="E1677" s="712">
        <v>1</v>
      </c>
      <c r="F1677" s="256">
        <f>VLOOKUP(B1677,'[1]BASE DE DATOS'!$A$5:$E$964,5,FALSE)</f>
        <v>425661</v>
      </c>
      <c r="G1677" s="708">
        <f>1/0.66667</f>
        <v>1.4999925000374998</v>
      </c>
      <c r="H1677" s="252">
        <f t="shared" si="125"/>
        <v>638488.30755846226</v>
      </c>
      <c r="I1677" s="924"/>
    </row>
    <row r="1678" spans="1:9" s="818" customFormat="1" ht="13.5" thickBot="1" x14ac:dyDescent="0.25">
      <c r="A1678" s="611" t="s">
        <v>293</v>
      </c>
      <c r="B1678" s="536" t="s">
        <v>269</v>
      </c>
      <c r="C1678" s="612" t="s">
        <v>284</v>
      </c>
      <c r="D1678" s="613" t="s">
        <v>2199</v>
      </c>
      <c r="E1678" s="725">
        <v>0.2</v>
      </c>
      <c r="F1678" s="614">
        <f>H1677</f>
        <v>638488.30755846226</v>
      </c>
      <c r="G1678" s="723">
        <v>0</v>
      </c>
      <c r="H1678" s="479">
        <f t="shared" si="125"/>
        <v>127697.66151169245</v>
      </c>
      <c r="I1678" s="924"/>
    </row>
    <row r="1679" spans="1:9" x14ac:dyDescent="0.2">
      <c r="A1679" s="283"/>
      <c r="B1679" s="823"/>
      <c r="C1679" s="857"/>
      <c r="D1679" s="283"/>
      <c r="F1679" s="284"/>
      <c r="H1679" s="285"/>
      <c r="I1679" s="924">
        <f>SUM(I9:I1678)</f>
        <v>201</v>
      </c>
    </row>
    <row r="1680" spans="1:9" x14ac:dyDescent="0.2">
      <c r="A1680" s="283"/>
      <c r="B1680" s="823"/>
      <c r="C1680" s="857"/>
      <c r="D1680" s="283"/>
      <c r="F1680" s="284"/>
      <c r="H1680" s="285"/>
      <c r="I1680" s="924">
        <f>I1679+'[1] VÍAS'!I1144+[1]CONSTRUCCION!I3974-8</f>
        <v>910</v>
      </c>
    </row>
    <row r="1681" spans="1:8" x14ac:dyDescent="0.2">
      <c r="A1681" s="283"/>
      <c r="B1681" s="823"/>
      <c r="C1681" s="857"/>
      <c r="D1681" s="283"/>
      <c r="F1681" s="284"/>
      <c r="H1681" s="285"/>
    </row>
    <row r="1682" spans="1:8" x14ac:dyDescent="0.2">
      <c r="A1682" s="283"/>
      <c r="B1682" s="823"/>
      <c r="C1682" s="857"/>
      <c r="D1682" s="283"/>
      <c r="F1682" s="284"/>
      <c r="H1682" s="285"/>
    </row>
    <row r="1683" spans="1:8" x14ac:dyDescent="0.2">
      <c r="A1683" s="283"/>
      <c r="B1683" s="823"/>
      <c r="C1683" s="857"/>
      <c r="D1683" s="283"/>
      <c r="F1683" s="284"/>
      <c r="H1683" s="285"/>
    </row>
    <row r="1684" spans="1:8" x14ac:dyDescent="0.2">
      <c r="A1684" s="283"/>
      <c r="B1684" s="823"/>
      <c r="C1684" s="857"/>
      <c r="D1684" s="283"/>
      <c r="F1684" s="284"/>
      <c r="H1684" s="285"/>
    </row>
    <row r="1685" spans="1:8" x14ac:dyDescent="0.2">
      <c r="A1685" s="283"/>
      <c r="B1685" s="823"/>
      <c r="C1685" s="857"/>
      <c r="D1685" s="283"/>
      <c r="F1685" s="284"/>
      <c r="H1685" s="285"/>
    </row>
    <row r="1686" spans="1:8" x14ac:dyDescent="0.2">
      <c r="A1686" s="283"/>
      <c r="B1686" s="823"/>
      <c r="C1686" s="857"/>
      <c r="D1686" s="283"/>
      <c r="F1686" s="284"/>
      <c r="H1686" s="285"/>
    </row>
    <row r="1687" spans="1:8" x14ac:dyDescent="0.2">
      <c r="A1687" s="283"/>
      <c r="B1687" s="823"/>
      <c r="C1687" s="857"/>
      <c r="D1687" s="283"/>
      <c r="F1687" s="284"/>
      <c r="H1687" s="285"/>
    </row>
    <row r="1688" spans="1:8" x14ac:dyDescent="0.2">
      <c r="A1688" s="283"/>
      <c r="B1688" s="823"/>
      <c r="C1688" s="857"/>
      <c r="D1688" s="283"/>
      <c r="F1688" s="284"/>
      <c r="H1688" s="285"/>
    </row>
    <row r="1689" spans="1:8" x14ac:dyDescent="0.2">
      <c r="A1689" s="283"/>
      <c r="B1689" s="823"/>
      <c r="C1689" s="857"/>
      <c r="D1689" s="283"/>
      <c r="F1689" s="284"/>
      <c r="H1689" s="285"/>
    </row>
    <row r="1690" spans="1:8" x14ac:dyDescent="0.2">
      <c r="A1690" s="283"/>
      <c r="B1690" s="823"/>
      <c r="C1690" s="857"/>
      <c r="D1690" s="283"/>
      <c r="F1690" s="284"/>
      <c r="H1690" s="285"/>
    </row>
    <row r="1691" spans="1:8" x14ac:dyDescent="0.2">
      <c r="A1691" s="283"/>
      <c r="B1691" s="823"/>
      <c r="C1691" s="857"/>
      <c r="D1691" s="283"/>
      <c r="F1691" s="284"/>
      <c r="H1691" s="285"/>
    </row>
    <row r="1692" spans="1:8" x14ac:dyDescent="0.2">
      <c r="A1692" s="283"/>
      <c r="B1692" s="823"/>
      <c r="C1692" s="857"/>
      <c r="D1692" s="283"/>
      <c r="F1692" s="284"/>
      <c r="H1692" s="285"/>
    </row>
    <row r="1693" spans="1:8" x14ac:dyDescent="0.2">
      <c r="A1693" s="283"/>
      <c r="B1693" s="823"/>
      <c r="C1693" s="857"/>
      <c r="D1693" s="283"/>
      <c r="F1693" s="284"/>
      <c r="H1693" s="285"/>
    </row>
    <row r="1694" spans="1:8" x14ac:dyDescent="0.2">
      <c r="A1694" s="283"/>
      <c r="B1694" s="823"/>
      <c r="C1694" s="857"/>
      <c r="D1694" s="283"/>
      <c r="F1694" s="284"/>
      <c r="H1694" s="285"/>
    </row>
    <row r="1695" spans="1:8" x14ac:dyDescent="0.2">
      <c r="A1695" s="283"/>
      <c r="B1695" s="823"/>
      <c r="C1695" s="857"/>
      <c r="D1695" s="283"/>
      <c r="F1695" s="284"/>
      <c r="H1695" s="285"/>
    </row>
    <row r="1696" spans="1:8" x14ac:dyDescent="0.2">
      <c r="A1696" s="283"/>
      <c r="B1696" s="823"/>
      <c r="C1696" s="857"/>
      <c r="D1696" s="283"/>
      <c r="F1696" s="284"/>
      <c r="H1696" s="285"/>
    </row>
    <row r="1697" spans="1:8" x14ac:dyDescent="0.2">
      <c r="A1697" s="283"/>
      <c r="B1697" s="823"/>
      <c r="C1697" s="857"/>
      <c r="D1697" s="283"/>
      <c r="F1697" s="284"/>
      <c r="H1697" s="285"/>
    </row>
    <row r="1698" spans="1:8" x14ac:dyDescent="0.2">
      <c r="A1698" s="283"/>
      <c r="B1698" s="823"/>
      <c r="C1698" s="857"/>
      <c r="D1698" s="283"/>
      <c r="F1698" s="284"/>
      <c r="H1698" s="285"/>
    </row>
    <row r="1699" spans="1:8" x14ac:dyDescent="0.2">
      <c r="A1699" s="283"/>
      <c r="B1699" s="823"/>
      <c r="C1699" s="857"/>
      <c r="D1699" s="283"/>
      <c r="F1699" s="284"/>
      <c r="H1699" s="285"/>
    </row>
    <row r="1700" spans="1:8" x14ac:dyDescent="0.2">
      <c r="A1700" s="283"/>
      <c r="B1700" s="823"/>
      <c r="C1700" s="857"/>
      <c r="D1700" s="283"/>
      <c r="F1700" s="284"/>
      <c r="H1700" s="285"/>
    </row>
    <row r="1701" spans="1:8" x14ac:dyDescent="0.2">
      <c r="A1701" s="283"/>
      <c r="B1701" s="823"/>
      <c r="C1701" s="857"/>
      <c r="D1701" s="283"/>
      <c r="F1701" s="284"/>
      <c r="H1701" s="285"/>
    </row>
    <row r="1702" spans="1:8" x14ac:dyDescent="0.2">
      <c r="A1702" s="283"/>
      <c r="B1702" s="823"/>
      <c r="C1702" s="857"/>
      <c r="D1702" s="283"/>
      <c r="F1702" s="284"/>
      <c r="H1702" s="285"/>
    </row>
    <row r="1703" spans="1:8" x14ac:dyDescent="0.2">
      <c r="A1703" s="283"/>
      <c r="B1703" s="823"/>
      <c r="C1703" s="857"/>
      <c r="D1703" s="283"/>
      <c r="F1703" s="284"/>
      <c r="H1703" s="285"/>
    </row>
    <row r="1704" spans="1:8" x14ac:dyDescent="0.2">
      <c r="A1704" s="283"/>
      <c r="B1704" s="823"/>
      <c r="C1704" s="857"/>
      <c r="D1704" s="283"/>
      <c r="F1704" s="284"/>
      <c r="H1704" s="285"/>
    </row>
    <row r="1705" spans="1:8" x14ac:dyDescent="0.2">
      <c r="A1705" s="283"/>
      <c r="B1705" s="823"/>
      <c r="C1705" s="857"/>
      <c r="D1705" s="283"/>
      <c r="F1705" s="284"/>
      <c r="H1705" s="285"/>
    </row>
    <row r="1706" spans="1:8" x14ac:dyDescent="0.2">
      <c r="A1706" s="283"/>
      <c r="B1706" s="823"/>
      <c r="C1706" s="857"/>
      <c r="D1706" s="283"/>
      <c r="F1706" s="284"/>
      <c r="H1706" s="285"/>
    </row>
    <row r="1707" spans="1:8" x14ac:dyDescent="0.2">
      <c r="A1707" s="283"/>
      <c r="B1707" s="823"/>
      <c r="C1707" s="857"/>
      <c r="D1707" s="283"/>
      <c r="F1707" s="284"/>
      <c r="H1707" s="285"/>
    </row>
    <row r="1708" spans="1:8" x14ac:dyDescent="0.2">
      <c r="A1708" s="283"/>
      <c r="B1708" s="823"/>
      <c r="C1708" s="857"/>
      <c r="D1708" s="283"/>
      <c r="F1708" s="284"/>
      <c r="H1708" s="285"/>
    </row>
    <row r="1709" spans="1:8" x14ac:dyDescent="0.2">
      <c r="A1709" s="283"/>
      <c r="B1709" s="823"/>
      <c r="C1709" s="857"/>
      <c r="D1709" s="283"/>
      <c r="F1709" s="284"/>
      <c r="H1709" s="285"/>
    </row>
    <row r="1710" spans="1:8" x14ac:dyDescent="0.2">
      <c r="A1710" s="283"/>
      <c r="B1710" s="823"/>
      <c r="C1710" s="857"/>
      <c r="D1710" s="283"/>
      <c r="F1710" s="284"/>
      <c r="H1710" s="285"/>
    </row>
    <row r="1711" spans="1:8" x14ac:dyDescent="0.2">
      <c r="A1711" s="283"/>
      <c r="B1711" s="823"/>
      <c r="C1711" s="857"/>
      <c r="D1711" s="283"/>
      <c r="F1711" s="284"/>
      <c r="H1711" s="285"/>
    </row>
    <row r="1712" spans="1:8" x14ac:dyDescent="0.2">
      <c r="A1712" s="283"/>
      <c r="B1712" s="823"/>
      <c r="C1712" s="857"/>
      <c r="D1712" s="283"/>
      <c r="F1712" s="284"/>
      <c r="H1712" s="285"/>
    </row>
    <row r="1713" spans="1:8" x14ac:dyDescent="0.2">
      <c r="A1713" s="283"/>
      <c r="B1713" s="823"/>
      <c r="C1713" s="857"/>
      <c r="D1713" s="283"/>
      <c r="F1713" s="284"/>
      <c r="H1713" s="285"/>
    </row>
    <row r="1714" spans="1:8" x14ac:dyDescent="0.2">
      <c r="A1714" s="283"/>
      <c r="B1714" s="823"/>
      <c r="C1714" s="857"/>
      <c r="D1714" s="283"/>
      <c r="F1714" s="284"/>
      <c r="H1714" s="285"/>
    </row>
    <row r="1715" spans="1:8" x14ac:dyDescent="0.2">
      <c r="A1715" s="283"/>
      <c r="B1715" s="823"/>
      <c r="C1715" s="857"/>
      <c r="D1715" s="283"/>
      <c r="F1715" s="284"/>
      <c r="H1715" s="285"/>
    </row>
    <row r="1716" spans="1:8" x14ac:dyDescent="0.2">
      <c r="A1716" s="283"/>
      <c r="B1716" s="823"/>
      <c r="C1716" s="857"/>
      <c r="D1716" s="283"/>
      <c r="F1716" s="284"/>
      <c r="H1716" s="285"/>
    </row>
    <row r="1717" spans="1:8" x14ac:dyDescent="0.2">
      <c r="A1717" s="283"/>
      <c r="B1717" s="823"/>
      <c r="C1717" s="857"/>
      <c r="D1717" s="283"/>
      <c r="F1717" s="284"/>
      <c r="H1717" s="285"/>
    </row>
    <row r="1718" spans="1:8" x14ac:dyDescent="0.2">
      <c r="A1718" s="283"/>
      <c r="B1718" s="823"/>
      <c r="C1718" s="857"/>
      <c r="D1718" s="283"/>
      <c r="F1718" s="284"/>
      <c r="H1718" s="285"/>
    </row>
    <row r="1719" spans="1:8" x14ac:dyDescent="0.2">
      <c r="A1719" s="283"/>
      <c r="B1719" s="823"/>
      <c r="C1719" s="857"/>
      <c r="D1719" s="283"/>
      <c r="F1719" s="284"/>
      <c r="H1719" s="285"/>
    </row>
    <row r="1720" spans="1:8" x14ac:dyDescent="0.2">
      <c r="A1720" s="283"/>
      <c r="B1720" s="823"/>
      <c r="C1720" s="857"/>
      <c r="D1720" s="283"/>
      <c r="F1720" s="284"/>
      <c r="H1720" s="285"/>
    </row>
    <row r="1721" spans="1:8" x14ac:dyDescent="0.2">
      <c r="A1721" s="283"/>
      <c r="B1721" s="823"/>
      <c r="C1721" s="857"/>
      <c r="D1721" s="283"/>
      <c r="F1721" s="284"/>
      <c r="H1721" s="285"/>
    </row>
    <row r="1722" spans="1:8" x14ac:dyDescent="0.2">
      <c r="A1722" s="283"/>
      <c r="B1722" s="823"/>
      <c r="C1722" s="857"/>
      <c r="D1722" s="283"/>
      <c r="F1722" s="284"/>
      <c r="H1722" s="285"/>
    </row>
    <row r="1723" spans="1:8" x14ac:dyDescent="0.2">
      <c r="A1723" s="283"/>
      <c r="B1723" s="823"/>
      <c r="C1723" s="857"/>
      <c r="D1723" s="283"/>
      <c r="F1723" s="284"/>
      <c r="H1723" s="285"/>
    </row>
    <row r="1724" spans="1:8" x14ac:dyDescent="0.2">
      <c r="A1724" s="283"/>
      <c r="B1724" s="823"/>
      <c r="C1724" s="857"/>
      <c r="D1724" s="283"/>
      <c r="F1724" s="284"/>
      <c r="H1724" s="285"/>
    </row>
    <row r="1725" spans="1:8" x14ac:dyDescent="0.2">
      <c r="A1725" s="283"/>
      <c r="B1725" s="823"/>
      <c r="C1725" s="857"/>
      <c r="D1725" s="283"/>
      <c r="F1725" s="284"/>
      <c r="H1725" s="285"/>
    </row>
    <row r="1726" spans="1:8" x14ac:dyDescent="0.2">
      <c r="A1726" s="283"/>
      <c r="B1726" s="823"/>
      <c r="C1726" s="857"/>
      <c r="D1726" s="283"/>
      <c r="F1726" s="284"/>
      <c r="H1726" s="285"/>
    </row>
    <row r="1727" spans="1:8" x14ac:dyDescent="0.2">
      <c r="A1727" s="283"/>
      <c r="B1727" s="823"/>
      <c r="C1727" s="857"/>
      <c r="D1727" s="283"/>
      <c r="F1727" s="284"/>
      <c r="H1727" s="285"/>
    </row>
    <row r="1728" spans="1:8" x14ac:dyDescent="0.2">
      <c r="A1728" s="283"/>
      <c r="B1728" s="823"/>
      <c r="C1728" s="857"/>
      <c r="D1728" s="283"/>
      <c r="F1728" s="284"/>
      <c r="H1728" s="285"/>
    </row>
    <row r="1729" spans="1:8" x14ac:dyDescent="0.2">
      <c r="A1729" s="283"/>
      <c r="B1729" s="823"/>
      <c r="C1729" s="857"/>
      <c r="D1729" s="283"/>
      <c r="F1729" s="284"/>
      <c r="H1729" s="285"/>
    </row>
    <row r="1730" spans="1:8" x14ac:dyDescent="0.2">
      <c r="A1730" s="283"/>
      <c r="B1730" s="823"/>
      <c r="C1730" s="857"/>
      <c r="D1730" s="283"/>
      <c r="F1730" s="284"/>
      <c r="H1730" s="285"/>
    </row>
    <row r="1731" spans="1:8" x14ac:dyDescent="0.2">
      <c r="A1731" s="283"/>
      <c r="B1731" s="823"/>
      <c r="C1731" s="857"/>
      <c r="D1731" s="283"/>
      <c r="F1731" s="284"/>
      <c r="H1731" s="285"/>
    </row>
    <row r="1732" spans="1:8" x14ac:dyDescent="0.2">
      <c r="A1732" s="283"/>
      <c r="B1732" s="823"/>
      <c r="C1732" s="857"/>
      <c r="D1732" s="283"/>
      <c r="F1732" s="284"/>
      <c r="H1732" s="285"/>
    </row>
    <row r="1733" spans="1:8" x14ac:dyDescent="0.2">
      <c r="A1733" s="283"/>
      <c r="B1733" s="823"/>
      <c r="C1733" s="857"/>
      <c r="D1733" s="283"/>
      <c r="F1733" s="284"/>
      <c r="H1733" s="285"/>
    </row>
    <row r="1734" spans="1:8" x14ac:dyDescent="0.2">
      <c r="A1734" s="283"/>
      <c r="B1734" s="823"/>
      <c r="C1734" s="857"/>
      <c r="D1734" s="283"/>
      <c r="F1734" s="284"/>
      <c r="H1734" s="285"/>
    </row>
    <row r="1735" spans="1:8" x14ac:dyDescent="0.2">
      <c r="A1735" s="283"/>
      <c r="B1735" s="823"/>
      <c r="C1735" s="857"/>
      <c r="D1735" s="283"/>
      <c r="F1735" s="284"/>
      <c r="H1735" s="285"/>
    </row>
    <row r="1736" spans="1:8" x14ac:dyDescent="0.2">
      <c r="A1736" s="283"/>
      <c r="B1736" s="823"/>
      <c r="C1736" s="857"/>
      <c r="D1736" s="283"/>
      <c r="F1736" s="284"/>
      <c r="H1736" s="285"/>
    </row>
    <row r="1737" spans="1:8" x14ac:dyDescent="0.2">
      <c r="A1737" s="283"/>
      <c r="B1737" s="823"/>
      <c r="C1737" s="857"/>
      <c r="D1737" s="283"/>
      <c r="F1737" s="284"/>
      <c r="H1737" s="285"/>
    </row>
    <row r="1738" spans="1:8" x14ac:dyDescent="0.2">
      <c r="A1738" s="283"/>
      <c r="B1738" s="823"/>
      <c r="C1738" s="857"/>
      <c r="D1738" s="283"/>
      <c r="F1738" s="284"/>
      <c r="H1738" s="285"/>
    </row>
    <row r="1739" spans="1:8" x14ac:dyDescent="0.2">
      <c r="A1739" s="283"/>
      <c r="B1739" s="823"/>
      <c r="C1739" s="857"/>
      <c r="D1739" s="283"/>
      <c r="F1739" s="284"/>
      <c r="H1739" s="285"/>
    </row>
    <row r="1740" spans="1:8" x14ac:dyDescent="0.2">
      <c r="A1740" s="283"/>
      <c r="B1740" s="823"/>
      <c r="C1740" s="857"/>
      <c r="D1740" s="283"/>
      <c r="F1740" s="284"/>
      <c r="H1740" s="285"/>
    </row>
    <row r="1741" spans="1:8" x14ac:dyDescent="0.2">
      <c r="A1741" s="283"/>
      <c r="B1741" s="823"/>
      <c r="C1741" s="857"/>
      <c r="D1741" s="283"/>
      <c r="F1741" s="284"/>
      <c r="H1741" s="285"/>
    </row>
    <row r="1742" spans="1:8" x14ac:dyDescent="0.2">
      <c r="A1742" s="283"/>
      <c r="B1742" s="823"/>
      <c r="C1742" s="857"/>
      <c r="D1742" s="283"/>
      <c r="F1742" s="284"/>
      <c r="H1742" s="285"/>
    </row>
    <row r="1743" spans="1:8" x14ac:dyDescent="0.2">
      <c r="A1743" s="283"/>
      <c r="B1743" s="823"/>
      <c r="C1743" s="857"/>
      <c r="D1743" s="283"/>
      <c r="F1743" s="284"/>
      <c r="H1743" s="285"/>
    </row>
    <row r="1744" spans="1:8" x14ac:dyDescent="0.2">
      <c r="A1744" s="283"/>
      <c r="B1744" s="823"/>
      <c r="C1744" s="857"/>
      <c r="D1744" s="283"/>
      <c r="F1744" s="284"/>
      <c r="H1744" s="285"/>
    </row>
    <row r="1745" spans="1:8" x14ac:dyDescent="0.2">
      <c r="A1745" s="283"/>
      <c r="B1745" s="823"/>
      <c r="C1745" s="857"/>
      <c r="D1745" s="283"/>
      <c r="F1745" s="284"/>
      <c r="H1745" s="285"/>
    </row>
    <row r="1746" spans="1:8" x14ac:dyDescent="0.2">
      <c r="A1746" s="283"/>
      <c r="B1746" s="823"/>
      <c r="C1746" s="857"/>
      <c r="D1746" s="283"/>
      <c r="F1746" s="284"/>
      <c r="H1746" s="285"/>
    </row>
    <row r="1747" spans="1:8" x14ac:dyDescent="0.2">
      <c r="A1747" s="283"/>
      <c r="B1747" s="823"/>
      <c r="C1747" s="857"/>
      <c r="D1747" s="283"/>
      <c r="F1747" s="284"/>
      <c r="H1747" s="285"/>
    </row>
    <row r="1748" spans="1:8" x14ac:dyDescent="0.2">
      <c r="A1748" s="283"/>
      <c r="B1748" s="823"/>
      <c r="C1748" s="857"/>
      <c r="D1748" s="283"/>
      <c r="F1748" s="284"/>
      <c r="H1748" s="285"/>
    </row>
    <row r="1749" spans="1:8" x14ac:dyDescent="0.2">
      <c r="A1749" s="283"/>
      <c r="B1749" s="823"/>
      <c r="C1749" s="857"/>
      <c r="D1749" s="283"/>
      <c r="F1749" s="284"/>
      <c r="H1749" s="285"/>
    </row>
    <row r="1750" spans="1:8" x14ac:dyDescent="0.2">
      <c r="A1750" s="283"/>
      <c r="B1750" s="823"/>
      <c r="C1750" s="857"/>
      <c r="D1750" s="283"/>
      <c r="F1750" s="284"/>
      <c r="H1750" s="285"/>
    </row>
    <row r="1751" spans="1:8" x14ac:dyDescent="0.2">
      <c r="A1751" s="283"/>
      <c r="B1751" s="823"/>
      <c r="C1751" s="857"/>
      <c r="D1751" s="283"/>
      <c r="F1751" s="284"/>
      <c r="H1751" s="285"/>
    </row>
    <row r="1752" spans="1:8" x14ac:dyDescent="0.2">
      <c r="A1752" s="283"/>
      <c r="B1752" s="823"/>
      <c r="C1752" s="857"/>
      <c r="D1752" s="283"/>
      <c r="F1752" s="284"/>
      <c r="H1752" s="285"/>
    </row>
    <row r="1753" spans="1:8" x14ac:dyDescent="0.2">
      <c r="A1753" s="283"/>
      <c r="B1753" s="823"/>
      <c r="C1753" s="857"/>
      <c r="D1753" s="283"/>
      <c r="F1753" s="284"/>
      <c r="H1753" s="285"/>
    </row>
    <row r="1754" spans="1:8" x14ac:dyDescent="0.2">
      <c r="A1754" s="283"/>
      <c r="B1754" s="823"/>
      <c r="C1754" s="857"/>
      <c r="D1754" s="283"/>
      <c r="F1754" s="284"/>
      <c r="H1754" s="285"/>
    </row>
    <row r="1755" spans="1:8" x14ac:dyDescent="0.2">
      <c r="A1755" s="283"/>
      <c r="B1755" s="823"/>
      <c r="C1755" s="857"/>
      <c r="D1755" s="283"/>
      <c r="F1755" s="284"/>
      <c r="H1755" s="285"/>
    </row>
    <row r="1756" spans="1:8" x14ac:dyDescent="0.2">
      <c r="A1756" s="283"/>
      <c r="B1756" s="823"/>
      <c r="C1756" s="857"/>
      <c r="D1756" s="283"/>
      <c r="F1756" s="284"/>
      <c r="H1756" s="285"/>
    </row>
    <row r="1757" spans="1:8" x14ac:dyDescent="0.2">
      <c r="A1757" s="283"/>
      <c r="B1757" s="823"/>
      <c r="C1757" s="857"/>
      <c r="D1757" s="283"/>
      <c r="F1757" s="284"/>
      <c r="H1757" s="285"/>
    </row>
    <row r="1758" spans="1:8" x14ac:dyDescent="0.2">
      <c r="A1758" s="283"/>
      <c r="B1758" s="823"/>
      <c r="C1758" s="857"/>
      <c r="D1758" s="283"/>
      <c r="F1758" s="284"/>
      <c r="H1758" s="285"/>
    </row>
    <row r="1759" spans="1:8" x14ac:dyDescent="0.2">
      <c r="A1759" s="283"/>
      <c r="B1759" s="823"/>
      <c r="C1759" s="857"/>
      <c r="D1759" s="283"/>
      <c r="F1759" s="284"/>
      <c r="H1759" s="285"/>
    </row>
    <row r="1760" spans="1:8" x14ac:dyDescent="0.2">
      <c r="A1760" s="283"/>
      <c r="B1760" s="823"/>
      <c r="C1760" s="857"/>
      <c r="D1760" s="283"/>
      <c r="F1760" s="284"/>
      <c r="H1760" s="285"/>
    </row>
    <row r="1761" spans="1:8" x14ac:dyDescent="0.2">
      <c r="A1761" s="283"/>
      <c r="B1761" s="823"/>
      <c r="C1761" s="857"/>
      <c r="D1761" s="283"/>
      <c r="F1761" s="284"/>
      <c r="H1761" s="285"/>
    </row>
    <row r="1762" spans="1:8" x14ac:dyDescent="0.2">
      <c r="A1762" s="283"/>
      <c r="B1762" s="823"/>
      <c r="C1762" s="857"/>
      <c r="D1762" s="283"/>
      <c r="F1762" s="284"/>
      <c r="H1762" s="285"/>
    </row>
    <row r="1763" spans="1:8" x14ac:dyDescent="0.2">
      <c r="A1763" s="283"/>
      <c r="B1763" s="823"/>
      <c r="C1763" s="857"/>
      <c r="D1763" s="283"/>
      <c r="F1763" s="284"/>
      <c r="H1763" s="285"/>
    </row>
    <row r="1764" spans="1:8" x14ac:dyDescent="0.2">
      <c r="A1764" s="283"/>
      <c r="B1764" s="823"/>
      <c r="C1764" s="857"/>
      <c r="D1764" s="283"/>
      <c r="F1764" s="284"/>
      <c r="H1764" s="285"/>
    </row>
    <row r="1765" spans="1:8" x14ac:dyDescent="0.2">
      <c r="A1765" s="283"/>
      <c r="B1765" s="823"/>
      <c r="C1765" s="857"/>
      <c r="D1765" s="283"/>
      <c r="F1765" s="284"/>
      <c r="H1765" s="285"/>
    </row>
    <row r="1766" spans="1:8" x14ac:dyDescent="0.2">
      <c r="A1766" s="283"/>
      <c r="B1766" s="823"/>
      <c r="C1766" s="857"/>
      <c r="D1766" s="283"/>
      <c r="F1766" s="284"/>
      <c r="H1766" s="285"/>
    </row>
    <row r="1767" spans="1:8" x14ac:dyDescent="0.2">
      <c r="A1767" s="283"/>
      <c r="B1767" s="823"/>
      <c r="C1767" s="857"/>
      <c r="D1767" s="283"/>
      <c r="F1767" s="284"/>
      <c r="H1767" s="285"/>
    </row>
    <row r="1768" spans="1:8" x14ac:dyDescent="0.2">
      <c r="A1768" s="283"/>
      <c r="B1768" s="823"/>
      <c r="C1768" s="857"/>
      <c r="D1768" s="283"/>
      <c r="F1768" s="284"/>
      <c r="H1768" s="285"/>
    </row>
    <row r="1769" spans="1:8" x14ac:dyDescent="0.2">
      <c r="A1769" s="283"/>
      <c r="B1769" s="823"/>
      <c r="C1769" s="857"/>
      <c r="D1769" s="283"/>
      <c r="F1769" s="284"/>
      <c r="H1769" s="285"/>
    </row>
    <row r="1770" spans="1:8" x14ac:dyDescent="0.2">
      <c r="A1770" s="283"/>
      <c r="B1770" s="823"/>
      <c r="C1770" s="857"/>
      <c r="D1770" s="283"/>
      <c r="F1770" s="284"/>
      <c r="H1770" s="285"/>
    </row>
    <row r="1771" spans="1:8" x14ac:dyDescent="0.2">
      <c r="A1771" s="283"/>
      <c r="B1771" s="823"/>
      <c r="C1771" s="857"/>
      <c r="D1771" s="283"/>
      <c r="F1771" s="284"/>
      <c r="H1771" s="285"/>
    </row>
    <row r="1772" spans="1:8" x14ac:dyDescent="0.2">
      <c r="A1772" s="283"/>
      <c r="B1772" s="823"/>
      <c r="C1772" s="857"/>
      <c r="D1772" s="283"/>
      <c r="F1772" s="284"/>
      <c r="H1772" s="285"/>
    </row>
    <row r="1773" spans="1:8" x14ac:dyDescent="0.2">
      <c r="A1773" s="283"/>
      <c r="B1773" s="823"/>
      <c r="C1773" s="857"/>
      <c r="D1773" s="283"/>
      <c r="F1773" s="284"/>
      <c r="H1773" s="285"/>
    </row>
    <row r="1774" spans="1:8" x14ac:dyDescent="0.2">
      <c r="A1774" s="283"/>
      <c r="B1774" s="823"/>
      <c r="C1774" s="857"/>
      <c r="D1774" s="283"/>
      <c r="F1774" s="284"/>
      <c r="H1774" s="285"/>
    </row>
    <row r="1775" spans="1:8" x14ac:dyDescent="0.2">
      <c r="A1775" s="283"/>
      <c r="B1775" s="823"/>
      <c r="C1775" s="857"/>
      <c r="D1775" s="283"/>
      <c r="F1775" s="284"/>
      <c r="H1775" s="285"/>
    </row>
    <row r="1776" spans="1:8" x14ac:dyDescent="0.2">
      <c r="A1776" s="283"/>
      <c r="B1776" s="823"/>
      <c r="C1776" s="857"/>
      <c r="D1776" s="283"/>
      <c r="F1776" s="284"/>
      <c r="H1776" s="285"/>
    </row>
    <row r="1777" spans="1:8" x14ac:dyDescent="0.2">
      <c r="A1777" s="283"/>
      <c r="B1777" s="823"/>
      <c r="C1777" s="857"/>
      <c r="D1777" s="283"/>
      <c r="F1777" s="284"/>
      <c r="H1777" s="285"/>
    </row>
    <row r="1778" spans="1:8" x14ac:dyDescent="0.2">
      <c r="A1778" s="283"/>
      <c r="B1778" s="823"/>
      <c r="C1778" s="857"/>
      <c r="D1778" s="283"/>
      <c r="F1778" s="284"/>
      <c r="H1778" s="285"/>
    </row>
    <row r="1779" spans="1:8" x14ac:dyDescent="0.2">
      <c r="A1779" s="283"/>
      <c r="B1779" s="823"/>
      <c r="C1779" s="857"/>
      <c r="D1779" s="283"/>
      <c r="F1779" s="284"/>
      <c r="H1779" s="285"/>
    </row>
    <row r="1780" spans="1:8" x14ac:dyDescent="0.2">
      <c r="A1780" s="283"/>
      <c r="B1780" s="823"/>
      <c r="C1780" s="857"/>
      <c r="D1780" s="283"/>
      <c r="F1780" s="284"/>
      <c r="H1780" s="285"/>
    </row>
    <row r="1781" spans="1:8" x14ac:dyDescent="0.2">
      <c r="A1781" s="283"/>
      <c r="B1781" s="823"/>
      <c r="C1781" s="857"/>
      <c r="D1781" s="283"/>
      <c r="F1781" s="284"/>
      <c r="H1781" s="285"/>
    </row>
    <row r="1782" spans="1:8" x14ac:dyDescent="0.2">
      <c r="A1782" s="283"/>
      <c r="B1782" s="823"/>
      <c r="C1782" s="857"/>
      <c r="D1782" s="283"/>
      <c r="F1782" s="284"/>
      <c r="H1782" s="285"/>
    </row>
    <row r="1783" spans="1:8" x14ac:dyDescent="0.2">
      <c r="A1783" s="283"/>
      <c r="B1783" s="823"/>
      <c r="C1783" s="857"/>
      <c r="D1783" s="283"/>
      <c r="F1783" s="284"/>
      <c r="H1783" s="285"/>
    </row>
    <row r="1784" spans="1:8" x14ac:dyDescent="0.2">
      <c r="A1784" s="283"/>
      <c r="B1784" s="823"/>
      <c r="C1784" s="857"/>
      <c r="D1784" s="283"/>
      <c r="F1784" s="284"/>
      <c r="H1784" s="285"/>
    </row>
    <row r="1785" spans="1:8" x14ac:dyDescent="0.2">
      <c r="A1785" s="283"/>
      <c r="B1785" s="823"/>
      <c r="C1785" s="857"/>
      <c r="D1785" s="283"/>
      <c r="F1785" s="284"/>
      <c r="H1785" s="285"/>
    </row>
    <row r="1786" spans="1:8" x14ac:dyDescent="0.2">
      <c r="A1786" s="283"/>
      <c r="B1786" s="823"/>
      <c r="C1786" s="857"/>
      <c r="D1786" s="283"/>
      <c r="F1786" s="284"/>
      <c r="H1786" s="285"/>
    </row>
    <row r="1787" spans="1:8" x14ac:dyDescent="0.2">
      <c r="A1787" s="283"/>
      <c r="B1787" s="823"/>
      <c r="C1787" s="857"/>
      <c r="D1787" s="283"/>
      <c r="F1787" s="284"/>
      <c r="H1787" s="285"/>
    </row>
    <row r="1788" spans="1:8" x14ac:dyDescent="0.2">
      <c r="A1788" s="283"/>
      <c r="B1788" s="823"/>
      <c r="C1788" s="857"/>
      <c r="D1788" s="283"/>
      <c r="F1788" s="284"/>
      <c r="H1788" s="285"/>
    </row>
    <row r="1789" spans="1:8" x14ac:dyDescent="0.2">
      <c r="A1789" s="283"/>
      <c r="B1789" s="823"/>
      <c r="C1789" s="857"/>
      <c r="D1789" s="283"/>
      <c r="F1789" s="284"/>
      <c r="H1789" s="285"/>
    </row>
    <row r="1790" spans="1:8" x14ac:dyDescent="0.2">
      <c r="A1790" s="283"/>
      <c r="B1790" s="823"/>
      <c r="C1790" s="857"/>
      <c r="D1790" s="283"/>
      <c r="F1790" s="284"/>
      <c r="H1790" s="285"/>
    </row>
    <row r="1791" spans="1:8" x14ac:dyDescent="0.2">
      <c r="A1791" s="283"/>
      <c r="B1791" s="823"/>
      <c r="C1791" s="857"/>
      <c r="D1791" s="283"/>
      <c r="F1791" s="284"/>
      <c r="H1791" s="285"/>
    </row>
    <row r="1792" spans="1:8" x14ac:dyDescent="0.2">
      <c r="A1792" s="283"/>
      <c r="B1792" s="823"/>
      <c r="C1792" s="857"/>
      <c r="D1792" s="283"/>
      <c r="F1792" s="284"/>
      <c r="H1792" s="285"/>
    </row>
    <row r="1793" spans="1:8" x14ac:dyDescent="0.2">
      <c r="A1793" s="283"/>
      <c r="B1793" s="823"/>
      <c r="C1793" s="857"/>
      <c r="D1793" s="283"/>
      <c r="F1793" s="284"/>
      <c r="H1793" s="285"/>
    </row>
    <row r="1794" spans="1:8" x14ac:dyDescent="0.2">
      <c r="A1794" s="283"/>
      <c r="B1794" s="823"/>
      <c r="C1794" s="857"/>
      <c r="D1794" s="283"/>
      <c r="F1794" s="284"/>
      <c r="H1794" s="285"/>
    </row>
    <row r="1795" spans="1:8" x14ac:dyDescent="0.2">
      <c r="A1795" s="283"/>
      <c r="B1795" s="823"/>
      <c r="C1795" s="857"/>
      <c r="D1795" s="283"/>
      <c r="F1795" s="284"/>
      <c r="H1795" s="285"/>
    </row>
    <row r="1796" spans="1:8" x14ac:dyDescent="0.2">
      <c r="A1796" s="283"/>
      <c r="B1796" s="823"/>
      <c r="C1796" s="857"/>
      <c r="D1796" s="283"/>
      <c r="F1796" s="284"/>
      <c r="H1796" s="285"/>
    </row>
    <row r="1797" spans="1:8" x14ac:dyDescent="0.2">
      <c r="A1797" s="283"/>
      <c r="B1797" s="823"/>
      <c r="C1797" s="857"/>
      <c r="D1797" s="283"/>
      <c r="F1797" s="284"/>
      <c r="H1797" s="285"/>
    </row>
    <row r="1798" spans="1:8" x14ac:dyDescent="0.2">
      <c r="A1798" s="283"/>
      <c r="B1798" s="823"/>
      <c r="C1798" s="857"/>
      <c r="D1798" s="283"/>
      <c r="F1798" s="284"/>
      <c r="H1798" s="285"/>
    </row>
    <row r="1799" spans="1:8" x14ac:dyDescent="0.2">
      <c r="A1799" s="283"/>
      <c r="B1799" s="823"/>
      <c r="C1799" s="857"/>
      <c r="D1799" s="283"/>
      <c r="F1799" s="284"/>
      <c r="H1799" s="285"/>
    </row>
    <row r="1800" spans="1:8" x14ac:dyDescent="0.2">
      <c r="A1800" s="283"/>
      <c r="B1800" s="823"/>
      <c r="C1800" s="857"/>
      <c r="D1800" s="283"/>
      <c r="F1800" s="284"/>
      <c r="H1800" s="285"/>
    </row>
    <row r="1801" spans="1:8" x14ac:dyDescent="0.2">
      <c r="A1801" s="283"/>
      <c r="B1801" s="823"/>
      <c r="C1801" s="857"/>
      <c r="D1801" s="283"/>
      <c r="F1801" s="284"/>
      <c r="H1801" s="285"/>
    </row>
    <row r="1802" spans="1:8" x14ac:dyDescent="0.2">
      <c r="A1802" s="283"/>
      <c r="B1802" s="823"/>
      <c r="C1802" s="857"/>
      <c r="D1802" s="283"/>
      <c r="F1802" s="284"/>
      <c r="H1802" s="285"/>
    </row>
    <row r="1803" spans="1:8" x14ac:dyDescent="0.2">
      <c r="A1803" s="283"/>
      <c r="B1803" s="823"/>
      <c r="C1803" s="857"/>
      <c r="D1803" s="283"/>
      <c r="F1803" s="284"/>
      <c r="H1803" s="285"/>
    </row>
    <row r="1804" spans="1:8" x14ac:dyDescent="0.2">
      <c r="A1804" s="283"/>
      <c r="B1804" s="823"/>
      <c r="C1804" s="857"/>
      <c r="D1804" s="283"/>
      <c r="F1804" s="284"/>
      <c r="H1804" s="285"/>
    </row>
    <row r="1805" spans="1:8" x14ac:dyDescent="0.2">
      <c r="A1805" s="283"/>
      <c r="B1805" s="823"/>
      <c r="C1805" s="857"/>
      <c r="D1805" s="283"/>
      <c r="F1805" s="284"/>
      <c r="H1805" s="285"/>
    </row>
    <row r="1806" spans="1:8" x14ac:dyDescent="0.2">
      <c r="A1806" s="283"/>
      <c r="B1806" s="823"/>
      <c r="C1806" s="857"/>
      <c r="D1806" s="283"/>
      <c r="F1806" s="284"/>
      <c r="H1806" s="285"/>
    </row>
    <row r="1807" spans="1:8" x14ac:dyDescent="0.2">
      <c r="A1807" s="283"/>
      <c r="B1807" s="823"/>
      <c r="C1807" s="857"/>
      <c r="D1807" s="283"/>
      <c r="F1807" s="284"/>
      <c r="H1807" s="285"/>
    </row>
    <row r="1808" spans="1:8" x14ac:dyDescent="0.2">
      <c r="A1808" s="283"/>
      <c r="B1808" s="823"/>
      <c r="C1808" s="857"/>
      <c r="D1808" s="283"/>
      <c r="F1808" s="284"/>
      <c r="H1808" s="285"/>
    </row>
    <row r="1809" spans="1:8" x14ac:dyDescent="0.2">
      <c r="A1809" s="283"/>
      <c r="B1809" s="823"/>
      <c r="C1809" s="857"/>
      <c r="D1809" s="283"/>
      <c r="F1809" s="284"/>
      <c r="H1809" s="285"/>
    </row>
    <row r="1810" spans="1:8" x14ac:dyDescent="0.2">
      <c r="A1810" s="283"/>
      <c r="B1810" s="823"/>
      <c r="C1810" s="857"/>
      <c r="D1810" s="283"/>
      <c r="F1810" s="284"/>
      <c r="H1810" s="285"/>
    </row>
    <row r="1811" spans="1:8" x14ac:dyDescent="0.2">
      <c r="A1811" s="283"/>
      <c r="B1811" s="823"/>
      <c r="C1811" s="857"/>
      <c r="D1811" s="283"/>
      <c r="F1811" s="284"/>
      <c r="H1811" s="285"/>
    </row>
    <row r="1812" spans="1:8" x14ac:dyDescent="0.2">
      <c r="A1812" s="283"/>
      <c r="B1812" s="823"/>
      <c r="C1812" s="857"/>
      <c r="D1812" s="283"/>
      <c r="F1812" s="284"/>
      <c r="H1812" s="285"/>
    </row>
    <row r="1813" spans="1:8" x14ac:dyDescent="0.2">
      <c r="A1813" s="283"/>
      <c r="B1813" s="823"/>
      <c r="C1813" s="857"/>
      <c r="D1813" s="283"/>
      <c r="F1813" s="284"/>
      <c r="H1813" s="285"/>
    </row>
    <row r="1814" spans="1:8" x14ac:dyDescent="0.2">
      <c r="A1814" s="283"/>
      <c r="B1814" s="823"/>
      <c r="C1814" s="857"/>
      <c r="D1814" s="283"/>
      <c r="F1814" s="284"/>
      <c r="H1814" s="285"/>
    </row>
    <row r="1815" spans="1:8" x14ac:dyDescent="0.2">
      <c r="A1815" s="283"/>
      <c r="B1815" s="823"/>
      <c r="C1815" s="857"/>
      <c r="D1815" s="283"/>
      <c r="F1815" s="284"/>
      <c r="H1815" s="285"/>
    </row>
    <row r="1816" spans="1:8" x14ac:dyDescent="0.2">
      <c r="A1816" s="283"/>
      <c r="B1816" s="823"/>
      <c r="C1816" s="857"/>
      <c r="D1816" s="283"/>
      <c r="F1816" s="284"/>
      <c r="H1816" s="285"/>
    </row>
    <row r="1817" spans="1:8" x14ac:dyDescent="0.2">
      <c r="A1817" s="283"/>
      <c r="B1817" s="823"/>
      <c r="C1817" s="857"/>
      <c r="D1817" s="283"/>
      <c r="F1817" s="284"/>
      <c r="H1817" s="285"/>
    </row>
    <row r="1818" spans="1:8" x14ac:dyDescent="0.2">
      <c r="A1818" s="283"/>
      <c r="B1818" s="823"/>
      <c r="C1818" s="857"/>
      <c r="D1818" s="283"/>
      <c r="F1818" s="284"/>
      <c r="H1818" s="285"/>
    </row>
    <row r="1819" spans="1:8" x14ac:dyDescent="0.2">
      <c r="A1819" s="283"/>
      <c r="B1819" s="823"/>
      <c r="C1819" s="857"/>
      <c r="D1819" s="283"/>
      <c r="F1819" s="284"/>
      <c r="H1819" s="285"/>
    </row>
    <row r="1820" spans="1:8" x14ac:dyDescent="0.2">
      <c r="A1820" s="283"/>
      <c r="B1820" s="823"/>
      <c r="C1820" s="857"/>
      <c r="D1820" s="283"/>
      <c r="F1820" s="284"/>
      <c r="H1820" s="285"/>
    </row>
    <row r="1821" spans="1:8" x14ac:dyDescent="0.2">
      <c r="A1821" s="283"/>
      <c r="B1821" s="823"/>
      <c r="C1821" s="857"/>
      <c r="D1821" s="283"/>
      <c r="F1821" s="284"/>
      <c r="H1821" s="285"/>
    </row>
    <row r="1822" spans="1:8" x14ac:dyDescent="0.2">
      <c r="A1822" s="283"/>
      <c r="B1822" s="823"/>
      <c r="C1822" s="857"/>
      <c r="D1822" s="283"/>
      <c r="F1822" s="284"/>
      <c r="H1822" s="285"/>
    </row>
    <row r="1823" spans="1:8" x14ac:dyDescent="0.2">
      <c r="A1823" s="283"/>
      <c r="B1823" s="823"/>
      <c r="C1823" s="857"/>
      <c r="D1823" s="283"/>
      <c r="F1823" s="284"/>
      <c r="H1823" s="285"/>
    </row>
    <row r="1824" spans="1:8" x14ac:dyDescent="0.2">
      <c r="A1824" s="283"/>
      <c r="B1824" s="823"/>
      <c r="C1824" s="857"/>
      <c r="D1824" s="283"/>
      <c r="F1824" s="284"/>
      <c r="H1824" s="285"/>
    </row>
    <row r="1825" spans="1:8" x14ac:dyDescent="0.2">
      <c r="A1825" s="283"/>
      <c r="B1825" s="823"/>
      <c r="C1825" s="857"/>
      <c r="D1825" s="283"/>
      <c r="F1825" s="284"/>
      <c r="H1825" s="285"/>
    </row>
    <row r="1826" spans="1:8" x14ac:dyDescent="0.2">
      <c r="A1826" s="283"/>
      <c r="B1826" s="823"/>
      <c r="C1826" s="857"/>
      <c r="D1826" s="283"/>
      <c r="F1826" s="284"/>
      <c r="H1826" s="285"/>
    </row>
    <row r="1827" spans="1:8" x14ac:dyDescent="0.2">
      <c r="A1827" s="283"/>
      <c r="B1827" s="823"/>
      <c r="C1827" s="857"/>
      <c r="D1827" s="283"/>
      <c r="F1827" s="284"/>
      <c r="H1827" s="285"/>
    </row>
  </sheetData>
  <mergeCells count="178">
    <mergeCell ref="A601:A611"/>
    <mergeCell ref="A615:A623"/>
    <mergeCell ref="A627:A637"/>
    <mergeCell ref="A641:A652"/>
    <mergeCell ref="A592:A595"/>
    <mergeCell ref="A738:A748"/>
    <mergeCell ref="A752:A758"/>
    <mergeCell ref="A477:A479"/>
    <mergeCell ref="A483:A485"/>
    <mergeCell ref="A489:A491"/>
    <mergeCell ref="A501:A503"/>
    <mergeCell ref="A507:A509"/>
    <mergeCell ref="A531:A533"/>
    <mergeCell ref="A537:A539"/>
    <mergeCell ref="A543:A545"/>
    <mergeCell ref="A598:H598"/>
    <mergeCell ref="A10:A28"/>
    <mergeCell ref="A32:A39"/>
    <mergeCell ref="A43:A50"/>
    <mergeCell ref="A54:A65"/>
    <mergeCell ref="A84:H84"/>
    <mergeCell ref="A87:A88"/>
    <mergeCell ref="A1:H1"/>
    <mergeCell ref="A2:H2"/>
    <mergeCell ref="A3:H3"/>
    <mergeCell ref="A4:H4"/>
    <mergeCell ref="A6:H6"/>
    <mergeCell ref="A7:H7"/>
    <mergeCell ref="A125:A129"/>
    <mergeCell ref="A133:A134"/>
    <mergeCell ref="A138:A139"/>
    <mergeCell ref="A151:A155"/>
    <mergeCell ref="A156:A160"/>
    <mergeCell ref="A164:A168"/>
    <mergeCell ref="A92:A93"/>
    <mergeCell ref="A97:A98"/>
    <mergeCell ref="A102:A106"/>
    <mergeCell ref="A110:A111"/>
    <mergeCell ref="A115:A116"/>
    <mergeCell ref="A120:A121"/>
    <mergeCell ref="A213:A214"/>
    <mergeCell ref="A218:A223"/>
    <mergeCell ref="A235:A240"/>
    <mergeCell ref="A248:A253"/>
    <mergeCell ref="A257:A263"/>
    <mergeCell ref="A267:A272"/>
    <mergeCell ref="A172:A176"/>
    <mergeCell ref="A180:A184"/>
    <mergeCell ref="A188:A189"/>
    <mergeCell ref="A193:A198"/>
    <mergeCell ref="A202:A207"/>
    <mergeCell ref="A276:A281"/>
    <mergeCell ref="A285:A289"/>
    <mergeCell ref="A293:A299"/>
    <mergeCell ref="A302:H302"/>
    <mergeCell ref="A573:A574"/>
    <mergeCell ref="A365:A369"/>
    <mergeCell ref="A373:A377"/>
    <mergeCell ref="A382:A386"/>
    <mergeCell ref="A390:A394"/>
    <mergeCell ref="A411:A413"/>
    <mergeCell ref="A417:A419"/>
    <mergeCell ref="A423:A425"/>
    <mergeCell ref="A429:A431"/>
    <mergeCell ref="A435:A437"/>
    <mergeCell ref="A441:A443"/>
    <mergeCell ref="A447:A449"/>
    <mergeCell ref="A399:A403"/>
    <mergeCell ref="A549:A551"/>
    <mergeCell ref="A555:A557"/>
    <mergeCell ref="A561:A563"/>
    <mergeCell ref="A567:A569"/>
    <mergeCell ref="A513:A515"/>
    <mergeCell ref="A471:A473"/>
    <mergeCell ref="A761:H761"/>
    <mergeCell ref="A831:H831"/>
    <mergeCell ref="A834:A845"/>
    <mergeCell ref="A849:A856"/>
    <mergeCell ref="A656:A667"/>
    <mergeCell ref="A671:A681"/>
    <mergeCell ref="A685:A695"/>
    <mergeCell ref="A699:A705"/>
    <mergeCell ref="A709:A719"/>
    <mergeCell ref="A723:A734"/>
    <mergeCell ref="A950:A957"/>
    <mergeCell ref="A965:A975"/>
    <mergeCell ref="A980:A988"/>
    <mergeCell ref="A993:A1003"/>
    <mergeCell ref="A1008:A1017"/>
    <mergeCell ref="A1022:A1032"/>
    <mergeCell ref="A860:A871"/>
    <mergeCell ref="A875:A886"/>
    <mergeCell ref="A890:A901"/>
    <mergeCell ref="A905:A916"/>
    <mergeCell ref="A920:A931"/>
    <mergeCell ref="A935:A946"/>
    <mergeCell ref="A1096:A1100"/>
    <mergeCell ref="A1104:A1105"/>
    <mergeCell ref="A1118:H1118"/>
    <mergeCell ref="A1121:A1125"/>
    <mergeCell ref="A1129:A1134"/>
    <mergeCell ref="A1137:H1137"/>
    <mergeCell ref="A1037:A1047"/>
    <mergeCell ref="A1052:A1060"/>
    <mergeCell ref="A1063:H1063"/>
    <mergeCell ref="A1066:A1076"/>
    <mergeCell ref="A1079:H1079"/>
    <mergeCell ref="A1082:A1088"/>
    <mergeCell ref="A1184:A1188"/>
    <mergeCell ref="A1189:A1190"/>
    <mergeCell ref="A1194:A1197"/>
    <mergeCell ref="A1201:H1201"/>
    <mergeCell ref="A1204:A1207"/>
    <mergeCell ref="A1210:H1210"/>
    <mergeCell ref="A1140:A1146"/>
    <mergeCell ref="A1150:A1152"/>
    <mergeCell ref="A1163:H1163"/>
    <mergeCell ref="A1166:A1170"/>
    <mergeCell ref="A1174:A1178"/>
    <mergeCell ref="A1181:H1181"/>
    <mergeCell ref="A1254:A1259"/>
    <mergeCell ref="A1267:A1270"/>
    <mergeCell ref="A1274:H1274"/>
    <mergeCell ref="A1280:H1280"/>
    <mergeCell ref="A1288:H1288"/>
    <mergeCell ref="A1291:A1295"/>
    <mergeCell ref="A1213:A1219"/>
    <mergeCell ref="A1223:A1225"/>
    <mergeCell ref="A1229:A1231"/>
    <mergeCell ref="A1234:H1234"/>
    <mergeCell ref="A1241:A1242"/>
    <mergeCell ref="A1246:A1250"/>
    <mergeCell ref="A1286:A1287"/>
    <mergeCell ref="A1366:A1375"/>
    <mergeCell ref="A1380:A1389"/>
    <mergeCell ref="A1394:A1403"/>
    <mergeCell ref="A1408:A1417"/>
    <mergeCell ref="A1422:A1431"/>
    <mergeCell ref="A1436:A1445"/>
    <mergeCell ref="A1300:A1304"/>
    <mergeCell ref="A1309:A1314"/>
    <mergeCell ref="A1319:A1325"/>
    <mergeCell ref="A1330:A1336"/>
    <mergeCell ref="A1341:A1347"/>
    <mergeCell ref="A1352:A1361"/>
    <mergeCell ref="A1526:A1528"/>
    <mergeCell ref="A1533:A1534"/>
    <mergeCell ref="A1538:A1540"/>
    <mergeCell ref="A1450:A1461"/>
    <mergeCell ref="A1466:A1468"/>
    <mergeCell ref="A1472:A1476"/>
    <mergeCell ref="A1481:A1482"/>
    <mergeCell ref="A1486:A1490"/>
    <mergeCell ref="A1494:A1495"/>
    <mergeCell ref="A1672:A1675"/>
    <mergeCell ref="A305:A309"/>
    <mergeCell ref="A208:A209"/>
    <mergeCell ref="A314:A318"/>
    <mergeCell ref="A322:A326"/>
    <mergeCell ref="A339:A343"/>
    <mergeCell ref="A331:A335"/>
    <mergeCell ref="A348:A352"/>
    <mergeCell ref="A356:A360"/>
    <mergeCell ref="A1615:A1616"/>
    <mergeCell ref="A1617:A1620"/>
    <mergeCell ref="A1624:A1628"/>
    <mergeCell ref="A1633:A1643"/>
    <mergeCell ref="A1647:A1655"/>
    <mergeCell ref="A1659:A1668"/>
    <mergeCell ref="A1544:A1554"/>
    <mergeCell ref="A1559:A1569"/>
    <mergeCell ref="A1574:A1583"/>
    <mergeCell ref="A1588:A1599"/>
    <mergeCell ref="A1604:A1608"/>
    <mergeCell ref="A1609:A1611"/>
    <mergeCell ref="A1503:A1510"/>
    <mergeCell ref="A1514:A1516"/>
    <mergeCell ref="A1521:A1522"/>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D064DEC1-D1DD-4D6E-84FD-C42E574FBE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8</vt:i4>
      </vt:variant>
    </vt:vector>
  </HeadingPairs>
  <TitlesOfParts>
    <vt:vector size="13" baseType="lpstr">
      <vt:lpstr>BASE DE DATOS</vt:lpstr>
      <vt:lpstr>CONSTRUCCION</vt:lpstr>
      <vt:lpstr> VÍAS</vt:lpstr>
      <vt:lpstr>ANÁLISIS MANO DE OBRA</vt:lpstr>
      <vt:lpstr>ELÉCTRICOS NUEVOS</vt:lpstr>
      <vt:lpstr>' VÍAS'!Área_de_impresión</vt:lpstr>
      <vt:lpstr>'ANÁLISIS MANO DE OBRA'!Área_de_impresión</vt:lpstr>
      <vt:lpstr>'BASE DE DATOS'!Área_de_impresión</vt:lpstr>
      <vt:lpstr>CONSTRUCCION!Área_de_impresión</vt:lpstr>
      <vt:lpstr>' VÍAS'!Títulos_a_imprimir</vt:lpstr>
      <vt:lpstr>'ANÁLISIS MANO DE OBRA'!Títulos_a_imprimir</vt:lpstr>
      <vt:lpstr>'BASE DE DATOS'!Títulos_a_imprimir</vt:lpstr>
      <vt:lpstr>CONSTRUCCION!Títulos_a_imprimir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Isabel Cristina Spaggiari Gutierrez </cp:lastModifiedBy>
  <cp:lastPrinted>2025-07-09T16:29:39Z</cp:lastPrinted>
  <dcterms:created xsi:type="dcterms:W3CDTF">2013-10-05T22:31:37Z</dcterms:created>
  <dcterms:modified xsi:type="dcterms:W3CDTF">2025-07-11T13:58:40Z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TC029301029991</vt:lpwstr>
  </property>
</Properties>
</file>