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A\Downloads\"/>
    </mc:Choice>
  </mc:AlternateContent>
  <xr:revisionPtr revIDLastSave="0" documentId="8_{7CEC62C0-98F1-4812-BA35-E72D795856E3}" xr6:coauthVersionLast="36" xr6:coauthVersionMax="36" xr10:uidLastSave="{00000000-0000-0000-0000-000000000000}"/>
  <bookViews>
    <workbookView xWindow="0" yWindow="0" windowWidth="20490" windowHeight="7365" activeTab="2"/>
  </bookViews>
  <sheets>
    <sheet name="Setting " sheetId="1" r:id="rId1"/>
    <sheet name="Tracker " sheetId="2" r:id="rId2"/>
    <sheet name="Data Entry" sheetId="3" r:id="rId3"/>
  </sheets>
  <calcPr calcId="191029"/>
</workbook>
</file>

<file path=xl/calcChain.xml><?xml version="1.0" encoding="utf-8"?>
<calcChain xmlns="http://schemas.openxmlformats.org/spreadsheetml/2006/main">
  <c r="AN43" i="3" l="1"/>
  <c r="F7" i="2" s="1"/>
  <c r="AN44" i="3"/>
  <c r="F8" i="2" s="1"/>
  <c r="AN45" i="3"/>
  <c r="AO45" i="3" s="1"/>
  <c r="AN42" i="3"/>
  <c r="AO42" i="3" s="1"/>
  <c r="AN28" i="3"/>
  <c r="F38" i="2" s="1"/>
  <c r="AN30" i="3"/>
  <c r="AO30" i="3" s="1"/>
  <c r="AN23" i="3"/>
  <c r="AO23" i="3" s="1"/>
  <c r="F31" i="2"/>
  <c r="AN9" i="3"/>
  <c r="AO9" i="3" s="1"/>
  <c r="F13" i="2"/>
  <c r="AN16" i="3"/>
  <c r="AO16" i="3" s="1"/>
  <c r="E33" i="3"/>
  <c r="E26" i="3"/>
  <c r="F26" i="3"/>
  <c r="G26" i="3"/>
  <c r="F19" i="3"/>
  <c r="G19" i="3"/>
  <c r="E19" i="3"/>
  <c r="AN18" i="3"/>
  <c r="F24" i="2" s="1"/>
  <c r="AN14" i="3"/>
  <c r="F20" i="2"/>
  <c r="G12" i="3"/>
  <c r="F12" i="3"/>
  <c r="E12" i="3"/>
  <c r="AN21" i="3"/>
  <c r="F29" i="2" s="1"/>
  <c r="AH12" i="3"/>
  <c r="AG12" i="3"/>
  <c r="G48" i="2"/>
  <c r="H48" i="2"/>
  <c r="F48" i="2"/>
  <c r="AN7" i="3"/>
  <c r="F11" i="2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H37" i="3"/>
  <c r="AN37" i="3"/>
  <c r="AO37" i="3" s="1"/>
  <c r="H33" i="3"/>
  <c r="G37" i="3"/>
  <c r="F37" i="3"/>
  <c r="G33" i="3"/>
  <c r="F33" i="3"/>
  <c r="E36" i="3"/>
  <c r="E37" i="3" s="1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L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H26" i="3"/>
  <c r="AN26" i="3" s="1"/>
  <c r="AO26" i="3" s="1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H19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I12" i="3"/>
  <c r="AJ12" i="3"/>
  <c r="AK12" i="3"/>
  <c r="AL12" i="3"/>
  <c r="AN35" i="3"/>
  <c r="AO35" i="3" s="1"/>
  <c r="B3" i="1"/>
  <c r="E23" i="3"/>
  <c r="AN31" i="3"/>
  <c r="F41" i="2" s="1"/>
  <c r="AN24" i="3"/>
  <c r="AO24" i="3" s="1"/>
  <c r="AN17" i="3"/>
  <c r="F23" i="2"/>
  <c r="AN10" i="3"/>
  <c r="AO10" i="3" s="1"/>
  <c r="E9" i="3"/>
  <c r="E16" i="3"/>
  <c r="F22" i="2"/>
  <c r="H5" i="3"/>
  <c r="I5" i="3"/>
  <c r="J5" i="3" s="1"/>
  <c r="K5" i="3" s="1"/>
  <c r="L5" i="3" s="1"/>
  <c r="M5" i="3" s="1"/>
  <c r="N5" i="3" s="1"/>
  <c r="O5" i="3" s="1"/>
  <c r="P5" i="3" s="1"/>
  <c r="Q5" i="3" s="1"/>
  <c r="R5" i="3" s="1"/>
  <c r="S5" i="3" s="1"/>
  <c r="T5" i="3" s="1"/>
  <c r="U5" i="3" s="1"/>
  <c r="V5" i="3" s="1"/>
  <c r="W5" i="3" s="1"/>
  <c r="X5" i="3" s="1"/>
  <c r="Y5" i="3" s="1"/>
  <c r="Z5" i="3" s="1"/>
  <c r="AA5" i="3" s="1"/>
  <c r="AB5" i="3" s="1"/>
  <c r="AC5" i="3" s="1"/>
  <c r="AD5" i="3" s="1"/>
  <c r="AE5" i="3" s="1"/>
  <c r="AF5" i="3" s="1"/>
  <c r="AG5" i="3" s="1"/>
  <c r="AH5" i="3" s="1"/>
  <c r="AI5" i="3" s="1"/>
  <c r="AJ5" i="3" s="1"/>
  <c r="AK5" i="3" s="1"/>
  <c r="AL5" i="3" s="1"/>
  <c r="AN32" i="3"/>
  <c r="F42" i="2"/>
  <c r="AN29" i="3"/>
  <c r="F39" i="2" s="1"/>
  <c r="AN25" i="3"/>
  <c r="F33" i="2" s="1"/>
  <c r="AN22" i="3"/>
  <c r="AO22" i="3" s="1"/>
  <c r="AN15" i="3"/>
  <c r="F21" i="2"/>
  <c r="AN8" i="3"/>
  <c r="AO8" i="3" s="1"/>
  <c r="F12" i="2"/>
  <c r="AN11" i="3"/>
  <c r="AO11" i="3" s="1"/>
  <c r="E30" i="3"/>
  <c r="D4" i="2"/>
  <c r="AN5" i="3"/>
  <c r="G5" i="3"/>
  <c r="AO7" i="3"/>
  <c r="G11" i="2" s="1"/>
  <c r="AO15" i="3"/>
  <c r="AP15" i="3" s="1"/>
  <c r="H21" i="2" s="1"/>
  <c r="AO17" i="3"/>
  <c r="G23" i="2" s="1"/>
  <c r="AO14" i="3"/>
  <c r="G20" i="2" s="1"/>
  <c r="AO18" i="3"/>
  <c r="G24" i="2" s="1"/>
  <c r="F15" i="2"/>
  <c r="AO25" i="3"/>
  <c r="AP25" i="3" s="1"/>
  <c r="H33" i="2" s="1"/>
  <c r="AO32" i="3"/>
  <c r="AP14" i="3"/>
  <c r="H20" i="2" s="1"/>
  <c r="G42" i="2"/>
  <c r="AP32" i="3"/>
  <c r="H42" i="2" s="1"/>
  <c r="F27" i="2" l="1"/>
  <c r="AP18" i="3"/>
  <c r="H24" i="2" s="1"/>
  <c r="AP17" i="3"/>
  <c r="H23" i="2" s="1"/>
  <c r="H26" i="2" s="1"/>
  <c r="AO21" i="3"/>
  <c r="AN19" i="3"/>
  <c r="F25" i="2" s="1"/>
  <c r="AN33" i="3"/>
  <c r="AO33" i="3" s="1"/>
  <c r="AP33" i="3" s="1"/>
  <c r="AN12" i="3"/>
  <c r="F16" i="2" s="1"/>
  <c r="G33" i="2"/>
  <c r="F40" i="2"/>
  <c r="F45" i="2" s="1"/>
  <c r="G21" i="2"/>
  <c r="G26" i="2" s="1"/>
  <c r="F30" i="2"/>
  <c r="F9" i="2"/>
  <c r="G14" i="2"/>
  <c r="AP10" i="3"/>
  <c r="H14" i="2" s="1"/>
  <c r="AP26" i="3"/>
  <c r="H34" i="2" s="1"/>
  <c r="G34" i="2"/>
  <c r="AP16" i="3"/>
  <c r="H22" i="2" s="1"/>
  <c r="G22" i="2"/>
  <c r="G27" i="2" s="1"/>
  <c r="G31" i="2"/>
  <c r="AP23" i="3"/>
  <c r="H31" i="2" s="1"/>
  <c r="H27" i="2"/>
  <c r="AP22" i="3"/>
  <c r="H30" i="2" s="1"/>
  <c r="G30" i="2"/>
  <c r="G49" i="2"/>
  <c r="AP37" i="3"/>
  <c r="H49" i="2" s="1"/>
  <c r="AP30" i="3"/>
  <c r="H40" i="2" s="1"/>
  <c r="G40" i="2"/>
  <c r="AP45" i="3"/>
  <c r="H9" i="2" s="1"/>
  <c r="G9" i="2"/>
  <c r="G12" i="2"/>
  <c r="G17" i="2" s="1"/>
  <c r="AP8" i="3"/>
  <c r="H12" i="2" s="1"/>
  <c r="AP9" i="3"/>
  <c r="H13" i="2" s="1"/>
  <c r="G13" i="2"/>
  <c r="G18" i="2" s="1"/>
  <c r="AP11" i="3"/>
  <c r="H15" i="2" s="1"/>
  <c r="G15" i="2"/>
  <c r="AP24" i="3"/>
  <c r="H32" i="2" s="1"/>
  <c r="G32" i="2"/>
  <c r="G47" i="2"/>
  <c r="AP35" i="3"/>
  <c r="H47" i="2" s="1"/>
  <c r="AO12" i="3"/>
  <c r="AO19" i="3"/>
  <c r="G6" i="2"/>
  <c r="AP42" i="3"/>
  <c r="H6" i="2" s="1"/>
  <c r="F32" i="2"/>
  <c r="F35" i="2" s="1"/>
  <c r="AP7" i="3"/>
  <c r="H11" i="2" s="1"/>
  <c r="AO31" i="3"/>
  <c r="F47" i="2"/>
  <c r="F36" i="2"/>
  <c r="F44" i="2"/>
  <c r="AO44" i="3"/>
  <c r="F49" i="2"/>
  <c r="F34" i="2"/>
  <c r="F14" i="2"/>
  <c r="F51" i="2" s="1"/>
  <c r="AO29" i="3"/>
  <c r="F6" i="2"/>
  <c r="AO28" i="3"/>
  <c r="AP28" i="3" s="1"/>
  <c r="AO43" i="3"/>
  <c r="E5" i="2"/>
  <c r="E9" i="2" s="1"/>
  <c r="F26" i="2"/>
  <c r="E8" i="2" l="1"/>
  <c r="E7" i="2"/>
  <c r="E6" i="2"/>
  <c r="AP21" i="3"/>
  <c r="H29" i="2" s="1"/>
  <c r="H35" i="2" s="1"/>
  <c r="G29" i="2"/>
  <c r="G35" i="2" s="1"/>
  <c r="H18" i="2"/>
  <c r="F17" i="2"/>
  <c r="F53" i="2"/>
  <c r="F18" i="2"/>
  <c r="H17" i="2"/>
  <c r="G8" i="2"/>
  <c r="AP44" i="3"/>
  <c r="H8" i="2" s="1"/>
  <c r="F52" i="2"/>
  <c r="AP19" i="3"/>
  <c r="H25" i="2" s="1"/>
  <c r="G25" i="2"/>
  <c r="AP12" i="3"/>
  <c r="H16" i="2" s="1"/>
  <c r="G16" i="2"/>
  <c r="H36" i="2"/>
  <c r="G39" i="2"/>
  <c r="AP29" i="3"/>
  <c r="H39" i="2" s="1"/>
  <c r="AP31" i="3"/>
  <c r="H41" i="2" s="1"/>
  <c r="H45" i="2" s="1"/>
  <c r="G41" i="2"/>
  <c r="G51" i="2" s="1"/>
  <c r="G36" i="2"/>
  <c r="AP43" i="3"/>
  <c r="H7" i="2" s="1"/>
  <c r="G7" i="2"/>
  <c r="G38" i="2"/>
  <c r="H38" i="2"/>
  <c r="E49" i="2"/>
  <c r="E11" i="2"/>
  <c r="E48" i="2"/>
  <c r="E43" i="2"/>
  <c r="E47" i="2"/>
  <c r="E41" i="2"/>
  <c r="E42" i="2"/>
  <c r="E39" i="2"/>
  <c r="E40" i="2"/>
  <c r="E34" i="2"/>
  <c r="E38" i="2"/>
  <c r="E32" i="2"/>
  <c r="E33" i="2"/>
  <c r="E30" i="2"/>
  <c r="E31" i="2"/>
  <c r="E25" i="2"/>
  <c r="E29" i="2"/>
  <c r="E23" i="2"/>
  <c r="E24" i="2"/>
  <c r="E21" i="2"/>
  <c r="E22" i="2"/>
  <c r="F5" i="2"/>
  <c r="E20" i="2"/>
  <c r="E15" i="2"/>
  <c r="E16" i="2"/>
  <c r="E12" i="2"/>
  <c r="E13" i="2"/>
  <c r="E14" i="2"/>
  <c r="F43" i="2"/>
  <c r="G43" i="2"/>
  <c r="H43" i="2"/>
  <c r="H53" i="2" l="1"/>
  <c r="G45" i="2"/>
  <c r="G53" i="2"/>
  <c r="H51" i="2"/>
  <c r="H52" i="2"/>
  <c r="H44" i="2"/>
  <c r="G44" i="2"/>
  <c r="G52" i="2"/>
  <c r="E17" i="2"/>
  <c r="E27" i="2"/>
  <c r="E18" i="2"/>
  <c r="E53" i="2"/>
  <c r="E36" i="2"/>
  <c r="E44" i="2"/>
  <c r="E26" i="2"/>
  <c r="E35" i="2"/>
  <c r="E45" i="2"/>
  <c r="E52" i="2"/>
  <c r="E51" i="2"/>
</calcChain>
</file>

<file path=xl/sharedStrings.xml><?xml version="1.0" encoding="utf-8"?>
<sst xmlns="http://schemas.openxmlformats.org/spreadsheetml/2006/main" count="97" uniqueCount="34">
  <si>
    <t>Details</t>
  </si>
  <si>
    <t>No of Ads</t>
  </si>
  <si>
    <t xml:space="preserve">Marketing Budget </t>
  </si>
  <si>
    <t xml:space="preserve">Revenue Conversion </t>
  </si>
  <si>
    <t xml:space="preserve">ROAS </t>
  </si>
  <si>
    <t xml:space="preserve">Cost Per Purchased </t>
  </si>
  <si>
    <t xml:space="preserve">No of Ads </t>
  </si>
  <si>
    <t xml:space="preserve">Ads Actual Spend </t>
  </si>
  <si>
    <t>Variance</t>
  </si>
  <si>
    <t xml:space="preserve">Combined ROAS </t>
  </si>
  <si>
    <t>Cost Per Purchased (Total)</t>
  </si>
  <si>
    <t xml:space="preserve">Actual Spend </t>
  </si>
  <si>
    <t>Google</t>
  </si>
  <si>
    <t>Meta</t>
  </si>
  <si>
    <t>Snapchat</t>
  </si>
  <si>
    <t>Tiktok</t>
  </si>
  <si>
    <t>PR</t>
  </si>
  <si>
    <t>Analysis</t>
  </si>
  <si>
    <t>YTD</t>
  </si>
  <si>
    <t>LTD</t>
  </si>
  <si>
    <t xml:space="preserve">Detail </t>
  </si>
  <si>
    <t>YTD-2025</t>
  </si>
  <si>
    <t xml:space="preserve">KPIs for the month </t>
  </si>
  <si>
    <t>Days Adjusment</t>
  </si>
  <si>
    <t xml:space="preserve">Tiktok </t>
  </si>
  <si>
    <t>Revenue Conversion</t>
  </si>
  <si>
    <t>No of Orders</t>
  </si>
  <si>
    <t xml:space="preserve">No of Orders </t>
  </si>
  <si>
    <t>Sales</t>
  </si>
  <si>
    <t>Gross Sale</t>
  </si>
  <si>
    <t>Gross Sale Roas</t>
  </si>
  <si>
    <t>Net  Sale Roas</t>
  </si>
  <si>
    <t>Total Sales over time</t>
  </si>
  <si>
    <t>Total Sales Roas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</si>
</sst>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70" formatCode="[$-409]mmm\-yy;@"/>
    <numFmt numFmtId="171" formatCode="[$-409]d\-mmm\-yy;@"/>
    <numFmt numFmtId="172" formatCode="_([$PKR]\ * #,##0_);_([$PKR]\ * \(#,##0\);_([$PKR]\ * &quot;-&quot;??_);_(@_)"/>
    <numFmt numFmtId="173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1C2B33"/>
      <name val="Helvetica"/>
      <family val="2"/>
    </font>
    <font>
      <sz val="14"/>
      <color rgb="FF121415"/>
      <name val="PingFang SC"/>
      <family val="2"/>
      <charset val="134"/>
    </font>
    <font>
      <sz val="12"/>
      <color rgb="FF303030"/>
      <name val="Helvetica Neue"/>
      <family val="2"/>
    </font>
    <font>
      <sz val="11"/>
      <color rgb="FF303030"/>
      <name val="Helvetica Neue"/>
      <family val="2"/>
    </font>
    <font>
      <sz val="12"/>
      <color rgb="FF1C2B33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1" fontId="0" fillId="0" borderId="0" xfId="0" applyNumberFormat="1" applyAlignment="1">
      <alignment horizontal="center"/>
    </xf>
    <xf numFmtId="0" fontId="0" fillId="4" borderId="0" xfId="0" applyFill="1"/>
    <xf numFmtId="0" fontId="0" fillId="5" borderId="0" xfId="0" applyFill="1"/>
    <xf numFmtId="171" fontId="0" fillId="0" borderId="1" xfId="0" applyNumberFormat="1" applyBorder="1"/>
    <xf numFmtId="0" fontId="2" fillId="6" borderId="1" xfId="0" applyFont="1" applyFill="1" applyBorder="1" applyAlignment="1">
      <alignment horizontal="center" vertical="center"/>
    </xf>
    <xf numFmtId="171" fontId="2" fillId="6" borderId="1" xfId="0" applyNumberFormat="1" applyFont="1" applyFill="1" applyBorder="1" applyAlignment="1">
      <alignment horizontal="center" vertical="center"/>
    </xf>
    <xf numFmtId="170" fontId="2" fillId="6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70" fontId="2" fillId="7" borderId="1" xfId="0" applyNumberFormat="1" applyFont="1" applyFill="1" applyBorder="1" applyAlignment="1">
      <alignment horizontal="center" vertical="center"/>
    </xf>
    <xf numFmtId="171" fontId="2" fillId="7" borderId="1" xfId="0" applyNumberFormat="1" applyFont="1" applyFill="1" applyBorder="1" applyAlignment="1">
      <alignment horizontal="center" vertical="center"/>
    </xf>
    <xf numFmtId="172" fontId="3" fillId="0" borderId="1" xfId="1" applyNumberFormat="1" applyFont="1" applyBorder="1" applyAlignment="1" applyProtection="1">
      <alignment vertical="center"/>
      <protection locked="0"/>
    </xf>
    <xf numFmtId="172" fontId="3" fillId="0" borderId="1" xfId="1" applyNumberFormat="1" applyFont="1" applyBorder="1" applyAlignment="1" applyProtection="1">
      <protection locked="0"/>
    </xf>
    <xf numFmtId="173" fontId="1" fillId="0" borderId="1" xfId="1" applyNumberFormat="1" applyFont="1" applyBorder="1" applyAlignment="1" applyProtection="1">
      <alignment vertical="center"/>
      <protection locked="0"/>
    </xf>
    <xf numFmtId="43" fontId="1" fillId="0" borderId="1" xfId="1" applyFont="1" applyBorder="1" applyAlignment="1" applyProtection="1">
      <alignment vertical="center"/>
      <protection locked="0"/>
    </xf>
    <xf numFmtId="171" fontId="0" fillId="2" borderId="1" xfId="0" applyNumberFormat="1" applyFill="1" applyBorder="1" applyAlignment="1">
      <alignment horizontal="center"/>
    </xf>
    <xf numFmtId="173" fontId="1" fillId="0" borderId="1" xfId="1" applyNumberFormat="1" applyFont="1" applyBorder="1" applyAlignment="1">
      <alignment vertical="center"/>
    </xf>
    <xf numFmtId="173" fontId="4" fillId="0" borderId="1" xfId="1" applyNumberFormat="1" applyFont="1" applyBorder="1" applyAlignment="1" applyProtection="1">
      <alignment horizontal="center" vertical="center"/>
      <protection locked="0"/>
    </xf>
    <xf numFmtId="172" fontId="3" fillId="0" borderId="1" xfId="1" applyNumberFormat="1" applyFont="1" applyBorder="1" applyAlignment="1" applyProtection="1">
      <alignment vertical="center"/>
    </xf>
    <xf numFmtId="172" fontId="3" fillId="0" borderId="1" xfId="0" applyNumberFormat="1" applyFont="1" applyBorder="1"/>
    <xf numFmtId="9" fontId="1" fillId="0" borderId="1" xfId="2" applyFont="1" applyBorder="1"/>
    <xf numFmtId="9" fontId="1" fillId="0" borderId="1" xfId="2" applyFont="1" applyBorder="1" applyAlignment="1">
      <alignment vertical="center"/>
    </xf>
    <xf numFmtId="43" fontId="0" fillId="0" borderId="1" xfId="0" applyNumberFormat="1" applyBorder="1"/>
    <xf numFmtId="0" fontId="0" fillId="0" borderId="2" xfId="0" applyBorder="1"/>
    <xf numFmtId="0" fontId="0" fillId="0" borderId="3" xfId="0" applyBorder="1"/>
    <xf numFmtId="171" fontId="5" fillId="0" borderId="3" xfId="0" applyNumberFormat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6" fillId="0" borderId="0" xfId="0" applyFont="1"/>
    <xf numFmtId="43" fontId="1" fillId="0" borderId="1" xfId="1" applyFont="1" applyBorder="1" applyAlignment="1">
      <alignment vertical="center"/>
    </xf>
    <xf numFmtId="2" fontId="1" fillId="0" borderId="1" xfId="1" applyNumberFormat="1" applyFont="1" applyBorder="1" applyAlignment="1" applyProtection="1">
      <alignment vertical="center"/>
      <protection locked="0"/>
    </xf>
    <xf numFmtId="3" fontId="7" fillId="0" borderId="0" xfId="0" applyNumberFormat="1" applyFont="1"/>
    <xf numFmtId="3" fontId="8" fillId="0" borderId="0" xfId="0" applyNumberFormat="1" applyFont="1"/>
    <xf numFmtId="173" fontId="0" fillId="0" borderId="1" xfId="0" applyNumberFormat="1" applyBorder="1" applyAlignment="1">
      <alignment horizontal="center" vertical="center"/>
    </xf>
    <xf numFmtId="43" fontId="1" fillId="0" borderId="1" xfId="1" applyNumberFormat="1" applyFont="1" applyBorder="1" applyAlignment="1">
      <alignment vertical="center"/>
    </xf>
    <xf numFmtId="3" fontId="9" fillId="0" borderId="0" xfId="0" applyNumberFormat="1" applyFont="1"/>
    <xf numFmtId="3" fontId="10" fillId="0" borderId="0" xfId="0" applyNumberFormat="1" applyFont="1"/>
    <xf numFmtId="3" fontId="11" fillId="0" borderId="0" xfId="0" applyNumberFormat="1" applyFont="1"/>
    <xf numFmtId="2" fontId="0" fillId="0" borderId="1" xfId="0" applyNumberFormat="1" applyBorder="1"/>
    <xf numFmtId="0" fontId="0" fillId="0" borderId="1" xfId="0" applyBorder="1" applyAlignment="1">
      <alignment horizontal="center" vertical="center"/>
    </xf>
    <xf numFmtId="17" fontId="4" fillId="8" borderId="0" xfId="0" applyNumberFormat="1" applyFont="1" applyFill="1" applyAlignment="1" applyProtection="1">
      <alignment horizontal="center" vertical="center"/>
      <protection locked="0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"/>
  <sheetViews>
    <sheetView showGridLines="0" workbookViewId="0">
      <selection activeCell="G10" sqref="G10"/>
    </sheetView>
  </sheetViews>
  <sheetFormatPr defaultColWidth="0" defaultRowHeight="15"/>
  <cols>
    <col min="1" max="1" width="9.140625" customWidth="1"/>
    <col min="2" max="2" width="18.140625" bestFit="1" customWidth="1"/>
    <col min="3" max="3" width="9.140625" customWidth="1"/>
    <col min="4" max="4" width="23.42578125" bestFit="1" customWidth="1"/>
    <col min="5" max="8" width="9.140625" customWidth="1"/>
    <col min="9" max="16384" width="9.140625" hidden="1"/>
  </cols>
  <sheetData>
    <row r="3" spans="2:5" ht="18.75">
      <c r="B3" s="39" t="str">
        <f>"For the month of "&amp;TEXT('Setting '!$D$6,"MMM - YYYY")</f>
        <v>For the month of Mar - 2025</v>
      </c>
    </row>
    <row r="6" spans="2:5">
      <c r="B6" s="9" t="s">
        <v>22</v>
      </c>
      <c r="D6" s="51">
        <v>45717</v>
      </c>
      <c r="E6" s="51"/>
    </row>
    <row r="7" spans="2:5">
      <c r="B7" s="10" t="s">
        <v>23</v>
      </c>
      <c r="D7" s="8">
        <v>1</v>
      </c>
    </row>
  </sheetData>
  <mergeCells count="1">
    <mergeCell ref="D6:E6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56"/>
  <sheetViews>
    <sheetView showGridLines="0" zoomScale="82" zoomScaleNormal="70" workbookViewId="0">
      <selection activeCell="I8" sqref="I8"/>
    </sheetView>
  </sheetViews>
  <sheetFormatPr defaultColWidth="0" defaultRowHeight="14.1" customHeight="1"/>
  <cols>
    <col min="1" max="1" width="11.85546875" customWidth="1"/>
    <col min="2" max="2" width="9" customWidth="1"/>
    <col min="3" max="3" width="8.85546875" customWidth="1"/>
    <col min="4" max="4" width="24.42578125" bestFit="1" customWidth="1"/>
    <col min="5" max="5" width="14.42578125" bestFit="1" customWidth="1"/>
    <col min="6" max="6" width="13.42578125" bestFit="1" customWidth="1"/>
    <col min="7" max="8" width="13.140625" bestFit="1" customWidth="1"/>
    <col min="9" max="10" width="8.85546875" customWidth="1"/>
    <col min="11" max="16384" width="1.7109375" hidden="1"/>
  </cols>
  <sheetData>
    <row r="4" spans="2:9" ht="14.1" customHeight="1">
      <c r="B4" s="30"/>
      <c r="C4" s="31"/>
      <c r="D4" s="32">
        <f ca="1">TODAY()-'Setting '!D7</f>
        <v>45727</v>
      </c>
      <c r="E4" s="31"/>
      <c r="F4" s="31"/>
      <c r="G4" s="31"/>
      <c r="H4" s="31"/>
      <c r="I4" s="33"/>
    </row>
    <row r="5" spans="2:9" ht="14.1" customHeight="1">
      <c r="B5" s="34"/>
      <c r="C5" s="52"/>
      <c r="D5" s="4" t="s">
        <v>0</v>
      </c>
      <c r="E5" s="22">
        <f ca="1">D4</f>
        <v>45727</v>
      </c>
      <c r="F5" s="5" t="str">
        <f ca="1">TEXT(E5,"MMM-YY")</f>
        <v>Mar-25</v>
      </c>
      <c r="G5" s="5" t="s">
        <v>18</v>
      </c>
      <c r="H5" s="5" t="s">
        <v>19</v>
      </c>
      <c r="I5" s="35"/>
    </row>
    <row r="6" spans="2:9" ht="14.1" customHeight="1">
      <c r="B6" s="34"/>
      <c r="C6" s="53"/>
      <c r="D6" s="50" t="s">
        <v>32</v>
      </c>
      <c r="E6" s="23">
        <f ca="1">HLOOKUP($E$5,'Data Entry'!D5:$AL$45,38,0)</f>
        <v>43433</v>
      </c>
      <c r="F6" s="23">
        <f>'Data Entry'!AN42</f>
        <v>43433</v>
      </c>
      <c r="G6" s="23">
        <f>'Data Entry'!AO42</f>
        <v>43433</v>
      </c>
      <c r="H6" s="23">
        <f>'Data Entry'!AP42</f>
        <v>43433</v>
      </c>
      <c r="I6" s="35"/>
    </row>
    <row r="7" spans="2:9" ht="14.1" customHeight="1">
      <c r="B7" s="34"/>
      <c r="C7" s="53"/>
      <c r="D7" s="50" t="s">
        <v>29</v>
      </c>
      <c r="E7" s="23">
        <f ca="1">HLOOKUP($E$5,'Data Entry'!D5:$AL$45,39,0)</f>
        <v>23000</v>
      </c>
      <c r="F7" s="23">
        <f>'Data Entry'!AN43</f>
        <v>23000</v>
      </c>
      <c r="G7" s="23">
        <f>'Data Entry'!AO43</f>
        <v>23000</v>
      </c>
      <c r="H7" s="23">
        <f>'Data Entry'!AP43</f>
        <v>23000</v>
      </c>
      <c r="I7" s="35"/>
    </row>
    <row r="8" spans="2:9" ht="14.1" customHeight="1">
      <c r="B8" s="34"/>
      <c r="C8" s="53"/>
      <c r="D8" s="50" t="s">
        <v>30</v>
      </c>
      <c r="E8" s="23">
        <f ca="1">HLOOKUP($E$5,'Data Entry'!D5:$AL$45,40,0)</f>
        <v>54545</v>
      </c>
      <c r="F8" s="23">
        <f>'Data Entry'!AN44</f>
        <v>54545</v>
      </c>
      <c r="G8" s="23">
        <f>'Data Entry'!AO44</f>
        <v>54545</v>
      </c>
      <c r="H8" s="23">
        <f>'Data Entry'!AP44</f>
        <v>54545</v>
      </c>
      <c r="I8" s="35"/>
    </row>
    <row r="9" spans="2:9" ht="14.1" customHeight="1">
      <c r="B9" s="34"/>
      <c r="C9" s="53"/>
      <c r="D9" s="50" t="s">
        <v>33</v>
      </c>
      <c r="E9" s="23">
        <f ca="1">HLOOKUP($E$5,'Data Entry'!D5:$AL$45,41,0)</f>
        <v>0</v>
      </c>
      <c r="F9" s="23">
        <f>'Data Entry'!AN45</f>
        <v>0</v>
      </c>
      <c r="G9" s="23">
        <f>'Data Entry'!AO45</f>
        <v>0</v>
      </c>
      <c r="H9" s="23">
        <f>'Data Entry'!AP45</f>
        <v>0</v>
      </c>
      <c r="I9" s="35"/>
    </row>
    <row r="10" spans="2:9" ht="14.1" customHeight="1">
      <c r="B10" s="34"/>
      <c r="C10" s="52" t="s">
        <v>12</v>
      </c>
      <c r="D10" s="4"/>
      <c r="E10" s="22"/>
      <c r="F10" s="5"/>
      <c r="G10" s="5"/>
      <c r="H10" s="5"/>
      <c r="I10" s="35"/>
    </row>
    <row r="11" spans="2:9" ht="14.1" customHeight="1">
      <c r="B11" s="34"/>
      <c r="C11" s="53"/>
      <c r="D11" s="3" t="s">
        <v>26</v>
      </c>
      <c r="E11" s="23">
        <f ca="1">HLOOKUP($E$5,'Data Entry'!D5:$AL$40,3,0)</f>
        <v>0</v>
      </c>
      <c r="F11" s="23">
        <f>'Data Entry'!AN7</f>
        <v>173</v>
      </c>
      <c r="G11" s="23">
        <f>'Data Entry'!AO7</f>
        <v>173</v>
      </c>
      <c r="H11" s="23">
        <f>'Data Entry'!AP7</f>
        <v>173</v>
      </c>
      <c r="I11" s="35"/>
    </row>
    <row r="12" spans="2:9" ht="14.1" customHeight="1">
      <c r="B12" s="34"/>
      <c r="C12" s="53"/>
      <c r="D12" s="3" t="s">
        <v>1</v>
      </c>
      <c r="E12" s="23">
        <f ca="1">HLOOKUP($E$5,'Data Entry'!D5:$AL$40,4,0)</f>
        <v>0</v>
      </c>
      <c r="F12" s="1">
        <f>'Data Entry'!AN8</f>
        <v>54</v>
      </c>
      <c r="G12" s="1">
        <f>'Data Entry'!AO8</f>
        <v>54</v>
      </c>
      <c r="H12" s="1">
        <f>'Data Entry'!AP8</f>
        <v>54</v>
      </c>
      <c r="I12" s="35"/>
    </row>
    <row r="13" spans="2:9" ht="14.1" customHeight="1">
      <c r="B13" s="34"/>
      <c r="C13" s="53"/>
      <c r="D13" s="3" t="s">
        <v>2</v>
      </c>
      <c r="E13" s="25">
        <f ca="1">HLOOKUP($E$5,'Data Entry'!D5:$AL$40,5,0)</f>
        <v>200000</v>
      </c>
      <c r="F13" s="25">
        <f>'Data Entry'!AN9</f>
        <v>6200000</v>
      </c>
      <c r="G13" s="25">
        <f>'Data Entry'!AO9</f>
        <v>6200000</v>
      </c>
      <c r="H13" s="25">
        <f>'Data Entry'!AP9</f>
        <v>6200000</v>
      </c>
      <c r="I13" s="35"/>
    </row>
    <row r="14" spans="2:9" ht="14.1" customHeight="1">
      <c r="B14" s="34"/>
      <c r="C14" s="53"/>
      <c r="D14" s="3" t="s">
        <v>7</v>
      </c>
      <c r="E14" s="23">
        <f ca="1">HLOOKUP($E$5,'Data Entry'!D5:$AL$40,6,0)</f>
        <v>0</v>
      </c>
      <c r="F14" s="23">
        <f>'Data Entry'!AN10</f>
        <v>45877</v>
      </c>
      <c r="G14" s="23">
        <f>'Data Entry'!AO10</f>
        <v>85859</v>
      </c>
      <c r="H14" s="23">
        <f>'Data Entry'!AP10</f>
        <v>85859</v>
      </c>
      <c r="I14" s="35"/>
    </row>
    <row r="15" spans="2:9" ht="14.1" customHeight="1">
      <c r="B15" s="34"/>
      <c r="C15" s="53"/>
      <c r="D15" s="3" t="s">
        <v>3</v>
      </c>
      <c r="E15" s="23">
        <f ca="1">HLOOKUP($E$5,'Data Entry'!D5:$AL$40,7,0)</f>
        <v>0</v>
      </c>
      <c r="F15" s="23">
        <f>'Data Entry'!AN11</f>
        <v>368162</v>
      </c>
      <c r="G15" s="23">
        <f>'Data Entry'!AO11</f>
        <v>771141</v>
      </c>
      <c r="H15" s="23">
        <f>'Data Entry'!AP11</f>
        <v>771141</v>
      </c>
      <c r="I15" s="35"/>
    </row>
    <row r="16" spans="2:9" ht="14.1" customHeight="1">
      <c r="B16" s="34"/>
      <c r="C16" s="53"/>
      <c r="D16" s="3" t="s">
        <v>4</v>
      </c>
      <c r="E16" s="40" t="e">
        <f ca="1">HLOOKUP($E$5,'Data Entry'!D5:$AL$40,8,0)</f>
        <v>#DIV/0!</v>
      </c>
      <c r="F16" s="23">
        <f>'Data Entry'!AN12</f>
        <v>33.796834625872933</v>
      </c>
      <c r="G16" s="45">
        <f>'Data Entry'!AO12</f>
        <v>43.875845180622569</v>
      </c>
      <c r="H16" s="45">
        <f>'Data Entry'!AP12</f>
        <v>43.875845180622569</v>
      </c>
      <c r="I16" s="35"/>
    </row>
    <row r="17" spans="2:9" ht="14.1" customHeight="1">
      <c r="B17" s="34"/>
      <c r="C17" s="53"/>
      <c r="D17" s="3" t="s">
        <v>5</v>
      </c>
      <c r="E17" s="25" t="e">
        <f ca="1">E14/E11</f>
        <v>#DIV/0!</v>
      </c>
      <c r="F17" s="25">
        <f>F14/F12</f>
        <v>849.57407407407402</v>
      </c>
      <c r="G17" s="25">
        <f>G14/G12</f>
        <v>1589.9814814814815</v>
      </c>
      <c r="H17" s="25">
        <f>H14/H12</f>
        <v>1589.9814814814815</v>
      </c>
      <c r="I17" s="35"/>
    </row>
    <row r="18" spans="2:9" ht="14.1" customHeight="1">
      <c r="B18" s="34"/>
      <c r="C18" s="54"/>
      <c r="D18" s="3" t="s">
        <v>8</v>
      </c>
      <c r="E18" s="27">
        <f ca="1">E14/E13-1</f>
        <v>-1</v>
      </c>
      <c r="F18" s="27">
        <f>F14/F13-1</f>
        <v>-0.99260048387096778</v>
      </c>
      <c r="G18" s="27">
        <f>G14/G13-1</f>
        <v>-0.98615177419354838</v>
      </c>
      <c r="H18" s="27">
        <f>H14/H13-1</f>
        <v>-0.98615177419354838</v>
      </c>
      <c r="I18" s="35"/>
    </row>
    <row r="19" spans="2:9" ht="14.1" customHeight="1">
      <c r="B19" s="34"/>
      <c r="C19" s="1"/>
      <c r="D19" s="6"/>
      <c r="E19" s="7"/>
      <c r="F19" s="7"/>
      <c r="G19" s="7"/>
      <c r="H19" s="7"/>
      <c r="I19" s="35"/>
    </row>
    <row r="20" spans="2:9" ht="14.1" customHeight="1">
      <c r="B20" s="34"/>
      <c r="C20" s="52" t="s">
        <v>13</v>
      </c>
      <c r="D20" s="3" t="s">
        <v>26</v>
      </c>
      <c r="E20" s="23">
        <f ca="1">HLOOKUP($E$5,'Data Entry'!D5:$AL$40,10,0)</f>
        <v>0</v>
      </c>
      <c r="F20" s="23">
        <f>'Data Entry'!AN14</f>
        <v>2465</v>
      </c>
      <c r="G20" s="23">
        <f>'Data Entry'!AO14</f>
        <v>53109</v>
      </c>
      <c r="H20" s="23">
        <f>'Data Entry'!AP14</f>
        <v>53109</v>
      </c>
      <c r="I20" s="35"/>
    </row>
    <row r="21" spans="2:9" ht="14.1" customHeight="1">
      <c r="B21" s="34"/>
      <c r="C21" s="53"/>
      <c r="D21" s="3" t="s">
        <v>6</v>
      </c>
      <c r="E21" s="23">
        <f ca="1">HLOOKUP($E$5,'Data Entry'!D5:$AL$40,11,0)</f>
        <v>0</v>
      </c>
      <c r="F21" s="23">
        <f>'Data Entry'!AN15</f>
        <v>1001</v>
      </c>
      <c r="G21" s="23">
        <f>'Data Entry'!AO15</f>
        <v>1211</v>
      </c>
      <c r="H21" s="23">
        <f>'Data Entry'!AP15</f>
        <v>1211</v>
      </c>
      <c r="I21" s="35"/>
    </row>
    <row r="22" spans="2:9" ht="14.1" customHeight="1">
      <c r="B22" s="34"/>
      <c r="C22" s="53"/>
      <c r="D22" s="3" t="s">
        <v>2</v>
      </c>
      <c r="E22" s="25">
        <f ca="1">HLOOKUP($E$5,'Data Entry'!D5:$AL$40,12,0)</f>
        <v>180000</v>
      </c>
      <c r="F22" s="25">
        <f>'Data Entry'!AN16</f>
        <v>5580000</v>
      </c>
      <c r="G22" s="25">
        <f>'Data Entry'!AO16</f>
        <v>5580000</v>
      </c>
      <c r="H22" s="25">
        <f>'Data Entry'!AP16</f>
        <v>5580000</v>
      </c>
      <c r="I22" s="35"/>
    </row>
    <row r="23" spans="2:9" ht="14.1" customHeight="1">
      <c r="B23" s="34"/>
      <c r="C23" s="53"/>
      <c r="D23" s="3" t="s">
        <v>7</v>
      </c>
      <c r="E23" s="23">
        <f ca="1">HLOOKUP($E$5,'Data Entry'!D5:$AL$40,13,0)</f>
        <v>0</v>
      </c>
      <c r="F23" s="23">
        <f>'Data Entry'!AN17</f>
        <v>1718622</v>
      </c>
      <c r="G23" s="23">
        <f>'Data Entry'!AO17</f>
        <v>21917222</v>
      </c>
      <c r="H23" s="23">
        <f>'Data Entry'!AP17</f>
        <v>21917222</v>
      </c>
      <c r="I23" s="35"/>
    </row>
    <row r="24" spans="2:9" ht="14.1" customHeight="1">
      <c r="B24" s="34"/>
      <c r="C24" s="53"/>
      <c r="D24" s="3" t="s">
        <v>3</v>
      </c>
      <c r="E24" s="23">
        <f ca="1">HLOOKUP($E$5,'Data Entry'!D5:$AL$40,14,0)</f>
        <v>0</v>
      </c>
      <c r="F24" s="26">
        <f>'Data Entry'!AN18</f>
        <v>6751916</v>
      </c>
      <c r="G24" s="26">
        <f>'Data Entry'!AO18</f>
        <v>125457673</v>
      </c>
      <c r="H24" s="26">
        <f>'Data Entry'!AP18</f>
        <v>125457673</v>
      </c>
      <c r="I24" s="35"/>
    </row>
    <row r="25" spans="2:9" ht="14.1" customHeight="1">
      <c r="B25" s="34"/>
      <c r="C25" s="53"/>
      <c r="D25" s="3" t="s">
        <v>4</v>
      </c>
      <c r="E25" s="40" t="e">
        <f ca="1">HLOOKUP($E$5,'Data Entry'!D5:$AL$40,15,0)</f>
        <v>#DIV/0!</v>
      </c>
      <c r="F25" s="23">
        <f>'Data Entry'!AN19</f>
        <v>19.70937092777525</v>
      </c>
      <c r="G25" s="23">
        <f>'Data Entry'!AO19</f>
        <v>25.586300863513372</v>
      </c>
      <c r="H25" s="23">
        <f>'Data Entry'!AP19</f>
        <v>25.586300863513372</v>
      </c>
      <c r="I25" s="35"/>
    </row>
    <row r="26" spans="2:9" ht="14.1" customHeight="1">
      <c r="B26" s="34"/>
      <c r="C26" s="53"/>
      <c r="D26" s="3" t="s">
        <v>5</v>
      </c>
      <c r="E26" s="25" t="e">
        <f ca="1">E23/E20</f>
        <v>#DIV/0!</v>
      </c>
      <c r="F26" s="25">
        <f>F23/F21</f>
        <v>1716.905094905095</v>
      </c>
      <c r="G26" s="25">
        <f>G23/G21</f>
        <v>18098.449215524361</v>
      </c>
      <c r="H26" s="25">
        <f>H23/H21</f>
        <v>18098.449215524361</v>
      </c>
      <c r="I26" s="35"/>
    </row>
    <row r="27" spans="2:9" ht="14.1" customHeight="1">
      <c r="B27" s="34"/>
      <c r="C27" s="54"/>
      <c r="D27" s="3" t="s">
        <v>8</v>
      </c>
      <c r="E27" s="28">
        <f ca="1">E23/E22-1</f>
        <v>-1</v>
      </c>
      <c r="F27" s="28">
        <f>F23/F22-1</f>
        <v>-0.69200322580645168</v>
      </c>
      <c r="G27" s="28">
        <f>G23/G22-1</f>
        <v>2.9278175627240142</v>
      </c>
      <c r="H27" s="28">
        <f>H23/H22-1</f>
        <v>2.9278175627240142</v>
      </c>
      <c r="I27" s="35"/>
    </row>
    <row r="28" spans="2:9" ht="14.1" customHeight="1">
      <c r="B28" s="34"/>
      <c r="C28" s="1"/>
      <c r="D28" s="6"/>
      <c r="E28" s="7"/>
      <c r="F28" s="7"/>
      <c r="G28" s="7"/>
      <c r="H28" s="7"/>
      <c r="I28" s="35"/>
    </row>
    <row r="29" spans="2:9" ht="14.1" customHeight="1">
      <c r="B29" s="34"/>
      <c r="C29" s="52" t="s">
        <v>14</v>
      </c>
      <c r="D29" s="3" t="s">
        <v>26</v>
      </c>
      <c r="E29" s="23">
        <f ca="1">HLOOKUP($E$5,'Data Entry'!D5:$AL$40,17,0)</f>
        <v>0</v>
      </c>
      <c r="F29" s="23">
        <f>'Data Entry'!AN21</f>
        <v>84</v>
      </c>
      <c r="G29" s="23">
        <f>'Data Entry'!AO21</f>
        <v>463</v>
      </c>
      <c r="H29" s="23">
        <f>'Data Entry'!AP21</f>
        <v>463</v>
      </c>
      <c r="I29" s="35"/>
    </row>
    <row r="30" spans="2:9" ht="14.1" customHeight="1">
      <c r="B30" s="34"/>
      <c r="C30" s="53"/>
      <c r="D30" s="3" t="s">
        <v>6</v>
      </c>
      <c r="E30" s="23">
        <f ca="1">HLOOKUP($E$5,'Data Entry'!D5:$AL$40,18,0)</f>
        <v>0</v>
      </c>
      <c r="F30" s="23">
        <f>'Data Entry'!AN22</f>
        <v>88</v>
      </c>
      <c r="G30" s="23">
        <f>'Data Entry'!AO22</f>
        <v>108</v>
      </c>
      <c r="H30" s="23">
        <f>'Data Entry'!AP22</f>
        <v>108</v>
      </c>
      <c r="I30" s="35"/>
    </row>
    <row r="31" spans="2:9" ht="14.1" customHeight="1">
      <c r="B31" s="34"/>
      <c r="C31" s="53"/>
      <c r="D31" s="3" t="s">
        <v>2</v>
      </c>
      <c r="E31" s="25">
        <f ca="1">HLOOKUP($E$5,'Data Entry'!D5:$AL$40,19,0)</f>
        <v>200000</v>
      </c>
      <c r="F31" s="25">
        <f>'Data Entry'!AN23</f>
        <v>6200000</v>
      </c>
      <c r="G31" s="25">
        <f>'Data Entry'!AO23</f>
        <v>6200000</v>
      </c>
      <c r="H31" s="25">
        <f>'Data Entry'!AP23</f>
        <v>6200000</v>
      </c>
      <c r="I31" s="35"/>
    </row>
    <row r="32" spans="2:9" ht="14.1" customHeight="1">
      <c r="B32" s="34"/>
      <c r="C32" s="53"/>
      <c r="D32" s="3" t="s">
        <v>7</v>
      </c>
      <c r="E32" s="23">
        <f ca="1">HLOOKUP($E$5,'Data Entry'!D5:$AL$40,20,0)</f>
        <v>0</v>
      </c>
      <c r="F32" s="23">
        <f>'Data Entry'!AN24</f>
        <v>78771</v>
      </c>
      <c r="G32" s="23">
        <f>'Data Entry'!AO24</f>
        <v>271694</v>
      </c>
      <c r="H32" s="23">
        <f>'Data Entry'!AP24</f>
        <v>271694</v>
      </c>
      <c r="I32" s="35"/>
    </row>
    <row r="33" spans="2:9" ht="14.1" customHeight="1">
      <c r="B33" s="34"/>
      <c r="C33" s="53"/>
      <c r="D33" s="3" t="s">
        <v>3</v>
      </c>
      <c r="E33" s="23">
        <f ca="1">HLOOKUP($E$5,'Data Entry'!D5:$AL$40,21,0)</f>
        <v>0</v>
      </c>
      <c r="F33" s="26">
        <f>'Data Entry'!AN25</f>
        <v>591936</v>
      </c>
      <c r="G33" s="26">
        <f>'Data Entry'!AO25</f>
        <v>1700368</v>
      </c>
      <c r="H33" s="26">
        <f>'Data Entry'!AP25</f>
        <v>1700368</v>
      </c>
      <c r="I33" s="35"/>
    </row>
    <row r="34" spans="2:9" ht="14.1" customHeight="1">
      <c r="B34" s="34"/>
      <c r="C34" s="53"/>
      <c r="D34" s="3" t="s">
        <v>4</v>
      </c>
      <c r="E34" s="40" t="e">
        <f ca="1">HLOOKUP($E$5,'Data Entry'!D5:$AL$40,22,0)</f>
        <v>#DIV/0!</v>
      </c>
      <c r="F34" s="23">
        <f>'Data Entry'!AN26</f>
        <v>38.680078377431542</v>
      </c>
      <c r="G34" s="23">
        <f>'Data Entry'!AO26</f>
        <v>44.425541593325967</v>
      </c>
      <c r="H34" s="23">
        <f>'Data Entry'!AP26</f>
        <v>44.425541593325967</v>
      </c>
      <c r="I34" s="35"/>
    </row>
    <row r="35" spans="2:9" ht="14.1" customHeight="1">
      <c r="B35" s="34"/>
      <c r="C35" s="53"/>
      <c r="D35" s="3" t="s">
        <v>5</v>
      </c>
      <c r="E35" s="23" t="e">
        <f ca="1">E32/E29</f>
        <v>#DIV/0!</v>
      </c>
      <c r="F35" s="23">
        <f>F32/F29</f>
        <v>937.75</v>
      </c>
      <c r="G35" s="23">
        <f>G32/G29</f>
        <v>586.81209503239745</v>
      </c>
      <c r="H35" s="23">
        <f>H32/H29</f>
        <v>586.81209503239745</v>
      </c>
      <c r="I35" s="35"/>
    </row>
    <row r="36" spans="2:9" ht="14.1" customHeight="1">
      <c r="B36" s="34"/>
      <c r="C36" s="54"/>
      <c r="D36" s="3" t="s">
        <v>8</v>
      </c>
      <c r="E36" s="27">
        <f ca="1">E32/E31-1</f>
        <v>-1</v>
      </c>
      <c r="F36" s="27">
        <f>F32/F31-1</f>
        <v>-0.98729500000000003</v>
      </c>
      <c r="G36" s="27">
        <f>G32/G31-1</f>
        <v>-0.95617838709677416</v>
      </c>
      <c r="H36" s="27">
        <f>H32/H31-1</f>
        <v>-0.95617838709677416</v>
      </c>
      <c r="I36" s="35"/>
    </row>
    <row r="37" spans="2:9" ht="14.1" customHeight="1">
      <c r="B37" s="34"/>
      <c r="C37" s="1"/>
      <c r="D37" s="6"/>
      <c r="E37" s="7"/>
      <c r="F37" s="7"/>
      <c r="G37" s="7"/>
      <c r="H37" s="7"/>
      <c r="I37" s="35"/>
    </row>
    <row r="38" spans="2:9" ht="14.1" customHeight="1">
      <c r="B38" s="34"/>
      <c r="C38" s="52" t="s">
        <v>15</v>
      </c>
      <c r="D38" s="3" t="s">
        <v>27</v>
      </c>
      <c r="E38" s="23">
        <f ca="1">HLOOKUP($E$5,'Data Entry'!D5:$AL$40,24,0)</f>
        <v>0</v>
      </c>
      <c r="F38" s="23">
        <f>'Data Entry'!AN28</f>
        <v>195</v>
      </c>
      <c r="G38" s="23">
        <f>'Data Entry'!AO28</f>
        <v>499</v>
      </c>
      <c r="H38" s="23">
        <f>'Data Entry'!AP28</f>
        <v>499</v>
      </c>
      <c r="I38" s="35"/>
    </row>
    <row r="39" spans="2:9" ht="14.1" customHeight="1">
      <c r="B39" s="34"/>
      <c r="C39" s="53"/>
      <c r="D39" s="3" t="s">
        <v>6</v>
      </c>
      <c r="E39" s="23">
        <f ca="1">HLOOKUP($E$5,'Data Entry'!D5:$AL$40,25,0)</f>
        <v>0</v>
      </c>
      <c r="F39" s="23">
        <f>'Data Entry'!AN29</f>
        <v>90</v>
      </c>
      <c r="G39" s="23">
        <f>'Data Entry'!AO29</f>
        <v>109</v>
      </c>
      <c r="H39" s="23">
        <f>'Data Entry'!AP29</f>
        <v>109</v>
      </c>
      <c r="I39" s="35"/>
    </row>
    <row r="40" spans="2:9" ht="14.1" customHeight="1">
      <c r="B40" s="34"/>
      <c r="C40" s="53"/>
      <c r="D40" s="3" t="s">
        <v>2</v>
      </c>
      <c r="E40" s="25">
        <f ca="1">HLOOKUP($E$5,'Data Entry'!D5:$AL$40,26,0)</f>
        <v>200000</v>
      </c>
      <c r="F40" s="25">
        <f>'Data Entry'!AN30</f>
        <v>6200000</v>
      </c>
      <c r="G40" s="25">
        <f>'Data Entry'!AO30</f>
        <v>6200000</v>
      </c>
      <c r="H40" s="25">
        <f>'Data Entry'!AP30</f>
        <v>6200000</v>
      </c>
      <c r="I40" s="35"/>
    </row>
    <row r="41" spans="2:9" ht="14.1" customHeight="1">
      <c r="B41" s="34"/>
      <c r="C41" s="53"/>
      <c r="D41" s="3" t="s">
        <v>7</v>
      </c>
      <c r="E41" s="23">
        <f ca="1">HLOOKUP($E$5,'Data Entry'!D5:$AL$40,27,0)</f>
        <v>0</v>
      </c>
      <c r="F41" s="23">
        <f>'Data Entry'!AN31</f>
        <v>36522</v>
      </c>
      <c r="G41" s="23">
        <f>'Data Entry'!AO31</f>
        <v>102896</v>
      </c>
      <c r="H41" s="23">
        <f>'Data Entry'!AP31</f>
        <v>102896</v>
      </c>
      <c r="I41" s="35"/>
    </row>
    <row r="42" spans="2:9" ht="14.1" customHeight="1">
      <c r="B42" s="34"/>
      <c r="C42" s="53"/>
      <c r="D42" s="3" t="s">
        <v>3</v>
      </c>
      <c r="E42" s="23">
        <f ca="1">HLOOKUP($E$5,'Data Entry'!D5:$AL$40,28,0)</f>
        <v>0</v>
      </c>
      <c r="F42" s="26">
        <f>'Data Entry'!AN32</f>
        <v>488605</v>
      </c>
      <c r="G42" s="26">
        <f>'Data Entry'!AO32</f>
        <v>1248605</v>
      </c>
      <c r="H42" s="26">
        <f>'Data Entry'!AP32</f>
        <v>1248605</v>
      </c>
      <c r="I42" s="35"/>
    </row>
    <row r="43" spans="2:9" ht="14.1" customHeight="1">
      <c r="B43" s="34"/>
      <c r="C43" s="53"/>
      <c r="D43" s="3" t="s">
        <v>4</v>
      </c>
      <c r="E43" s="40" t="e">
        <f ca="1">HLOOKUP($E$5,'Data Entry'!D5:$AL$40,29,0)</f>
        <v>#DIV/0!</v>
      </c>
      <c r="F43" s="40" t="e">
        <f>HLOOKUP($E$10,'Data Entry'!E5:$AL$40,29,0)</f>
        <v>#N/A</v>
      </c>
      <c r="G43" s="40" t="e">
        <f>HLOOKUP($E$10,'Data Entry'!F5:$AL$40,29,0)</f>
        <v>#N/A</v>
      </c>
      <c r="H43" s="40" t="e">
        <f>HLOOKUP($E$10,'Data Entry'!G5:$AL$40,29,0)</f>
        <v>#N/A</v>
      </c>
      <c r="I43" s="35"/>
    </row>
    <row r="44" spans="2:9" ht="14.1" customHeight="1">
      <c r="B44" s="34"/>
      <c r="C44" s="53"/>
      <c r="D44" s="3" t="s">
        <v>5</v>
      </c>
      <c r="E44" s="23" t="e">
        <f ca="1">E41/E38</f>
        <v>#DIV/0!</v>
      </c>
      <c r="F44" s="49">
        <f>F41/F38</f>
        <v>187.2923076923077</v>
      </c>
      <c r="G44" s="49">
        <f>G41/G38</f>
        <v>206.20440881763528</v>
      </c>
      <c r="H44" s="49">
        <f>H41/H38</f>
        <v>206.20440881763528</v>
      </c>
      <c r="I44" s="35"/>
    </row>
    <row r="45" spans="2:9" ht="14.1" customHeight="1">
      <c r="B45" s="34"/>
      <c r="C45" s="54"/>
      <c r="D45" s="3" t="s">
        <v>8</v>
      </c>
      <c r="E45" s="27">
        <f ca="1">E41/E40-1</f>
        <v>-1</v>
      </c>
      <c r="F45" s="27">
        <f>F41/F40-1</f>
        <v>-0.99410935483870966</v>
      </c>
      <c r="G45" s="27">
        <f>G41/G40-1</f>
        <v>-0.98340387096774196</v>
      </c>
      <c r="H45" s="27">
        <f>H41/H40-1</f>
        <v>-0.98340387096774196</v>
      </c>
      <c r="I45" s="35"/>
    </row>
    <row r="46" spans="2:9" ht="14.1" customHeight="1">
      <c r="B46" s="34"/>
      <c r="C46" s="1"/>
      <c r="D46" s="6"/>
      <c r="E46" s="7"/>
      <c r="F46" s="7"/>
      <c r="G46" s="7"/>
      <c r="H46" s="7"/>
      <c r="I46" s="35"/>
    </row>
    <row r="47" spans="2:9" ht="14.1" customHeight="1">
      <c r="B47" s="34"/>
      <c r="C47" s="53" t="s">
        <v>16</v>
      </c>
      <c r="D47" s="3" t="s">
        <v>11</v>
      </c>
      <c r="E47" s="23">
        <f ca="1">HLOOKUP($E$5,'Data Entry'!D5:$AL$40,31,0)</f>
        <v>0</v>
      </c>
      <c r="F47" s="23">
        <f>'Data Entry'!AN35</f>
        <v>0</v>
      </c>
      <c r="G47" s="23">
        <f>'Data Entry'!AO35</f>
        <v>0</v>
      </c>
      <c r="H47" s="23">
        <f>'Data Entry'!AP35</f>
        <v>0</v>
      </c>
      <c r="I47" s="35"/>
    </row>
    <row r="48" spans="2:9" ht="14.1" customHeight="1">
      <c r="B48" s="34"/>
      <c r="C48" s="53"/>
      <c r="D48" s="3" t="s">
        <v>25</v>
      </c>
      <c r="E48" s="23">
        <f ca="1">HLOOKUP($E$5,'Data Entry'!D5:$AL$40,32,0)</f>
        <v>0</v>
      </c>
      <c r="F48" s="23">
        <f>'Data Entry'!AN36</f>
        <v>0</v>
      </c>
      <c r="G48" s="23">
        <f>'Data Entry'!AO36</f>
        <v>0</v>
      </c>
      <c r="H48" s="23">
        <f>'Data Entry'!AP36</f>
        <v>0</v>
      </c>
      <c r="I48" s="35"/>
    </row>
    <row r="49" spans="2:9" ht="14.1" customHeight="1">
      <c r="B49" s="34"/>
      <c r="C49" s="53"/>
      <c r="D49" s="3" t="s">
        <v>4</v>
      </c>
      <c r="E49" s="40" t="e">
        <f ca="1">HLOOKUP($E$5,'Data Entry'!D5:$AL$40,33,0)</f>
        <v>#DIV/0!</v>
      </c>
      <c r="F49" s="23">
        <f>'Data Entry'!AN37</f>
        <v>0</v>
      </c>
      <c r="G49" s="23">
        <f>'Data Entry'!AO37</f>
        <v>0</v>
      </c>
      <c r="H49" s="23">
        <f>'Data Entry'!AP37</f>
        <v>0</v>
      </c>
      <c r="I49" s="35"/>
    </row>
    <row r="50" spans="2:9" ht="14.1" customHeight="1">
      <c r="B50" s="34"/>
      <c r="C50" s="1"/>
      <c r="D50" s="6"/>
      <c r="E50" s="7"/>
      <c r="F50" s="7"/>
      <c r="G50" s="7"/>
      <c r="H50" s="7"/>
      <c r="I50" s="35"/>
    </row>
    <row r="51" spans="2:9" ht="14.1" customHeight="1">
      <c r="B51" s="34"/>
      <c r="C51" s="52" t="s">
        <v>17</v>
      </c>
      <c r="D51" s="3" t="s">
        <v>9</v>
      </c>
      <c r="E51" s="49" t="e">
        <f ca="1">(E15+E24+E33+E42)/(E14+E23+E32+E41)</f>
        <v>#DIV/0!</v>
      </c>
      <c r="F51" s="29">
        <f>(F15+F24+F33+F42)/(F14+F23+F32+F41)</f>
        <v>4.3625140441070078</v>
      </c>
      <c r="G51" s="29">
        <f>(G15+G24+G33+G42)/(G14+G23+G32+G41)</f>
        <v>5.7726198137420113</v>
      </c>
      <c r="H51" s="29">
        <f>(H15+H24+H33+H42)/(H14+H23+H32+H41)</f>
        <v>5.7726198137420113</v>
      </c>
      <c r="I51" s="35"/>
    </row>
    <row r="52" spans="2:9" ht="14.1" customHeight="1">
      <c r="B52" s="34"/>
      <c r="C52" s="53"/>
      <c r="D52" s="3" t="s">
        <v>10</v>
      </c>
      <c r="E52" s="49" t="e">
        <f ca="1">(E14+E23+E32+E41)/(E11+E20+E29+E38)</f>
        <v>#DIV/0!</v>
      </c>
      <c r="F52" s="49">
        <f>(F14+F23+F32+F41)/(F11+F20+F29+F38)</f>
        <v>644.4264655467947</v>
      </c>
      <c r="G52" s="49">
        <f>(G14+G23+G32+G41)/(G11+G20+G29+G38)</f>
        <v>412.53725757687488</v>
      </c>
      <c r="H52" s="49">
        <f>(H14+H23+H32+H41)/(H11+H20+H29+H38)</f>
        <v>412.53725757687488</v>
      </c>
      <c r="I52" s="35"/>
    </row>
    <row r="53" spans="2:9" ht="14.1" customHeight="1">
      <c r="B53" s="34"/>
      <c r="C53" s="54"/>
      <c r="D53" s="3" t="s">
        <v>8</v>
      </c>
      <c r="E53" s="27">
        <f ca="1">(E14+E23+E32+E41)/(E13+E22+E31+E40)-1</f>
        <v>-1</v>
      </c>
      <c r="F53" s="27">
        <f>(F14+F23+F32+F41)/(F13+F22+F31+F40)-1</f>
        <v>-0.92225839536807275</v>
      </c>
      <c r="G53" s="27">
        <f>(G14+G23+G32+G41)/(G13+G22+G31+G40)-1</f>
        <v>-7.453800661703891E-2</v>
      </c>
      <c r="H53" s="27">
        <f>(H14+H23+H32+H41)/(H13+H22+H31+H40)-1</f>
        <v>-7.453800661703891E-2</v>
      </c>
      <c r="I53" s="35"/>
    </row>
    <row r="54" spans="2:9" ht="14.1" customHeight="1">
      <c r="B54" s="34"/>
      <c r="I54" s="35"/>
    </row>
    <row r="55" spans="2:9" ht="14.1" customHeight="1">
      <c r="B55" s="34"/>
      <c r="I55" s="35"/>
    </row>
    <row r="56" spans="2:9" ht="14.1" customHeight="1">
      <c r="B56" s="36"/>
      <c r="C56" s="37"/>
      <c r="D56" s="37"/>
      <c r="E56" s="37"/>
      <c r="F56" s="37"/>
      <c r="G56" s="37"/>
      <c r="H56" s="37"/>
      <c r="I56" s="38"/>
    </row>
  </sheetData>
  <mergeCells count="7">
    <mergeCell ref="C5:C9"/>
    <mergeCell ref="C51:C53"/>
    <mergeCell ref="C47:C49"/>
    <mergeCell ref="C10:C18"/>
    <mergeCell ref="C29:C36"/>
    <mergeCell ref="C20:C27"/>
    <mergeCell ref="C38:C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T45"/>
  <sheetViews>
    <sheetView showGridLines="0" tabSelected="1" topLeftCell="B1" zoomScaleNormal="118" workbookViewId="0">
      <pane xSplit="6" ySplit="5" topLeftCell="P37" activePane="bottomRight" state="frozen"/>
      <selection activeCell="B1" sqref="B1"/>
      <selection pane="topRight" activeCell="H1" sqref="H1"/>
      <selection pane="bottomLeft" activeCell="B6" sqref="B6"/>
      <selection pane="bottomRight" activeCell="E43" sqref="E43"/>
    </sheetView>
  </sheetViews>
  <sheetFormatPr defaultColWidth="0" defaultRowHeight="15"/>
  <cols>
    <col min="1" max="1" width="9.140625" hidden="1" customWidth="1"/>
    <col min="2" max="3" width="9.140625" customWidth="1"/>
    <col min="4" max="4" width="24.42578125" bestFit="1" customWidth="1"/>
    <col min="5" max="5" width="25" customWidth="1"/>
    <col min="6" max="6" width="16.42578125" customWidth="1"/>
    <col min="7" max="7" width="10.42578125" bestFit="1" customWidth="1"/>
    <col min="8" max="8" width="10.28515625" bestFit="1" customWidth="1"/>
    <col min="9" max="9" width="14.140625" customWidth="1"/>
    <col min="10" max="10" width="10" bestFit="1" customWidth="1"/>
    <col min="11" max="11" width="13.42578125" customWidth="1"/>
    <col min="12" max="15" width="10" bestFit="1" customWidth="1"/>
    <col min="16" max="16" width="12.28515625" customWidth="1"/>
    <col min="17" max="17" width="10" bestFit="1" customWidth="1"/>
    <col min="18" max="18" width="12" bestFit="1" customWidth="1"/>
    <col min="19" max="38" width="10" bestFit="1" customWidth="1"/>
    <col min="39" max="39" width="9.140625" customWidth="1"/>
    <col min="40" max="42" width="13.140625" bestFit="1" customWidth="1"/>
    <col min="43" max="44" width="9.140625" customWidth="1"/>
    <col min="45" max="46" width="0" hidden="1" customWidth="1"/>
    <col min="47" max="16384" width="9.140625" hidden="1"/>
  </cols>
  <sheetData>
    <row r="5" spans="3:42">
      <c r="C5" s="2"/>
      <c r="D5" s="12" t="s">
        <v>20</v>
      </c>
      <c r="E5" s="12" t="s">
        <v>19</v>
      </c>
      <c r="F5" s="12" t="s">
        <v>21</v>
      </c>
      <c r="G5" s="14">
        <f>H5</f>
        <v>45717</v>
      </c>
      <c r="H5" s="13">
        <f>'Setting '!D6</f>
        <v>45717</v>
      </c>
      <c r="I5" s="13">
        <f>H5+1</f>
        <v>45718</v>
      </c>
      <c r="J5" s="13">
        <f t="shared" ref="J5:AL5" si="0">I5+1</f>
        <v>45719</v>
      </c>
      <c r="K5" s="13">
        <f t="shared" si="0"/>
        <v>45720</v>
      </c>
      <c r="L5" s="13">
        <f t="shared" si="0"/>
        <v>45721</v>
      </c>
      <c r="M5" s="13">
        <f t="shared" si="0"/>
        <v>45722</v>
      </c>
      <c r="N5" s="13">
        <f t="shared" si="0"/>
        <v>45723</v>
      </c>
      <c r="O5" s="13">
        <f t="shared" si="0"/>
        <v>45724</v>
      </c>
      <c r="P5" s="13">
        <f t="shared" si="0"/>
        <v>45725</v>
      </c>
      <c r="Q5" s="13">
        <f t="shared" si="0"/>
        <v>45726</v>
      </c>
      <c r="R5" s="13">
        <f t="shared" si="0"/>
        <v>45727</v>
      </c>
      <c r="S5" s="13">
        <f t="shared" si="0"/>
        <v>45728</v>
      </c>
      <c r="T5" s="13">
        <f t="shared" si="0"/>
        <v>45729</v>
      </c>
      <c r="U5" s="13">
        <f t="shared" si="0"/>
        <v>45730</v>
      </c>
      <c r="V5" s="13">
        <f t="shared" si="0"/>
        <v>45731</v>
      </c>
      <c r="W5" s="13">
        <f t="shared" si="0"/>
        <v>45732</v>
      </c>
      <c r="X5" s="13">
        <f t="shared" si="0"/>
        <v>45733</v>
      </c>
      <c r="Y5" s="13">
        <f t="shared" si="0"/>
        <v>45734</v>
      </c>
      <c r="Z5" s="13">
        <f t="shared" si="0"/>
        <v>45735</v>
      </c>
      <c r="AA5" s="13">
        <f t="shared" si="0"/>
        <v>45736</v>
      </c>
      <c r="AB5" s="13">
        <f t="shared" si="0"/>
        <v>45737</v>
      </c>
      <c r="AC5" s="13">
        <f t="shared" si="0"/>
        <v>45738</v>
      </c>
      <c r="AD5" s="13">
        <f t="shared" si="0"/>
        <v>45739</v>
      </c>
      <c r="AE5" s="13">
        <f t="shared" si="0"/>
        <v>45740</v>
      </c>
      <c r="AF5" s="13">
        <f t="shared" si="0"/>
        <v>45741</v>
      </c>
      <c r="AG5" s="13">
        <f>AF5+1</f>
        <v>45742</v>
      </c>
      <c r="AH5" s="13">
        <f t="shared" si="0"/>
        <v>45743</v>
      </c>
      <c r="AI5" s="13">
        <f t="shared" si="0"/>
        <v>45744</v>
      </c>
      <c r="AJ5" s="13">
        <f t="shared" si="0"/>
        <v>45745</v>
      </c>
      <c r="AK5" s="13">
        <f t="shared" si="0"/>
        <v>45746</v>
      </c>
      <c r="AL5" s="13">
        <f t="shared" si="0"/>
        <v>45747</v>
      </c>
      <c r="AM5" s="11"/>
      <c r="AN5" s="14">
        <f>'Setting '!D6</f>
        <v>45717</v>
      </c>
      <c r="AO5" s="13" t="s">
        <v>18</v>
      </c>
      <c r="AP5" s="13" t="s">
        <v>19</v>
      </c>
    </row>
    <row r="6" spans="3:42">
      <c r="C6" s="2"/>
      <c r="D6" s="15"/>
      <c r="E6" s="15"/>
      <c r="F6" s="15"/>
      <c r="G6" s="16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1"/>
      <c r="AN6" s="17"/>
      <c r="AO6" s="17"/>
      <c r="AP6" s="17"/>
    </row>
    <row r="7" spans="3:42">
      <c r="C7" s="2"/>
      <c r="D7" s="3" t="s">
        <v>26</v>
      </c>
      <c r="E7" s="20"/>
      <c r="F7" s="3"/>
      <c r="G7" s="3"/>
      <c r="H7" s="1"/>
      <c r="I7" s="1">
        <v>0</v>
      </c>
      <c r="J7" s="1">
        <v>0</v>
      </c>
      <c r="K7" s="1">
        <v>90</v>
      </c>
      <c r="L7" s="1">
        <v>14</v>
      </c>
      <c r="M7" s="1">
        <v>11</v>
      </c>
      <c r="N7" s="1"/>
      <c r="O7" s="1"/>
      <c r="P7" s="1">
        <v>48</v>
      </c>
      <c r="Q7" s="1">
        <v>10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1"/>
      <c r="AN7" s="20">
        <f>SUM(H7:AL7)</f>
        <v>173</v>
      </c>
      <c r="AO7" s="20">
        <f>AN7+F7</f>
        <v>173</v>
      </c>
      <c r="AP7" s="20">
        <f t="shared" ref="AP7:AP12" si="1">AO7</f>
        <v>173</v>
      </c>
    </row>
    <row r="8" spans="3:42">
      <c r="C8" s="55" t="s">
        <v>12</v>
      </c>
      <c r="D8" s="3" t="s">
        <v>1</v>
      </c>
      <c r="E8" s="20">
        <v>0</v>
      </c>
      <c r="F8" s="1"/>
      <c r="G8" s="1"/>
      <c r="H8" s="1"/>
      <c r="I8" s="1">
        <v>0</v>
      </c>
      <c r="J8" s="1">
        <v>0</v>
      </c>
      <c r="K8" s="1">
        <v>10</v>
      </c>
      <c r="L8" s="1">
        <v>9</v>
      </c>
      <c r="M8" s="1">
        <v>7</v>
      </c>
      <c r="N8" s="1"/>
      <c r="O8" s="1"/>
      <c r="P8" s="1">
        <v>19</v>
      </c>
      <c r="Q8" s="1">
        <v>9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24"/>
      <c r="AF8" s="1"/>
      <c r="AG8" s="1"/>
      <c r="AH8" s="1"/>
      <c r="AI8" s="1"/>
      <c r="AJ8" s="1"/>
      <c r="AK8" s="1"/>
      <c r="AL8" s="1"/>
      <c r="AM8" s="1"/>
      <c r="AN8" s="25">
        <f>SUM(H8:AL8)</f>
        <v>54</v>
      </c>
      <c r="AO8" s="26">
        <f>F8+AN8</f>
        <v>54</v>
      </c>
      <c r="AP8" s="26">
        <f t="shared" si="1"/>
        <v>54</v>
      </c>
    </row>
    <row r="9" spans="3:42">
      <c r="C9" s="55"/>
      <c r="D9" s="3" t="s">
        <v>2</v>
      </c>
      <c r="E9" s="19">
        <f>F9+G9</f>
        <v>0</v>
      </c>
      <c r="F9" s="19"/>
      <c r="G9" s="19"/>
      <c r="H9" s="19">
        <v>200000</v>
      </c>
      <c r="I9" s="19">
        <v>200000</v>
      </c>
      <c r="J9" s="19">
        <v>200000</v>
      </c>
      <c r="K9" s="19">
        <v>200000</v>
      </c>
      <c r="L9" s="19">
        <v>200000</v>
      </c>
      <c r="M9" s="19">
        <v>200000</v>
      </c>
      <c r="N9" s="19">
        <v>200000</v>
      </c>
      <c r="O9" s="19">
        <v>200000</v>
      </c>
      <c r="P9" s="19">
        <v>200000</v>
      </c>
      <c r="Q9" s="19">
        <v>200000</v>
      </c>
      <c r="R9" s="19">
        <v>200000</v>
      </c>
      <c r="S9" s="19">
        <v>200000</v>
      </c>
      <c r="T9" s="19">
        <v>200000</v>
      </c>
      <c r="U9" s="19">
        <v>200000</v>
      </c>
      <c r="V9" s="19">
        <v>200000</v>
      </c>
      <c r="W9" s="19">
        <v>200000</v>
      </c>
      <c r="X9" s="19">
        <v>200000</v>
      </c>
      <c r="Y9" s="19">
        <v>200000</v>
      </c>
      <c r="Z9" s="19">
        <v>200000</v>
      </c>
      <c r="AA9" s="19">
        <v>200000</v>
      </c>
      <c r="AB9" s="19">
        <v>200000</v>
      </c>
      <c r="AC9" s="19">
        <v>200000</v>
      </c>
      <c r="AD9" s="19">
        <v>200000</v>
      </c>
      <c r="AE9" s="19">
        <v>200000</v>
      </c>
      <c r="AF9" s="19">
        <v>200000</v>
      </c>
      <c r="AG9" s="19">
        <v>200000</v>
      </c>
      <c r="AH9" s="19">
        <v>200000</v>
      </c>
      <c r="AI9" s="19">
        <v>200000</v>
      </c>
      <c r="AJ9" s="19">
        <v>200000</v>
      </c>
      <c r="AK9" s="19">
        <v>200000</v>
      </c>
      <c r="AL9" s="19">
        <v>200000</v>
      </c>
      <c r="AM9" s="1"/>
      <c r="AN9" s="18">
        <f>SUM(H9:AL9)</f>
        <v>6200000</v>
      </c>
      <c r="AO9" s="18">
        <f>F9+AN9</f>
        <v>6200000</v>
      </c>
      <c r="AP9" s="18">
        <f t="shared" si="1"/>
        <v>6200000</v>
      </c>
    </row>
    <row r="10" spans="3:42">
      <c r="C10" s="55"/>
      <c r="D10" s="3" t="s">
        <v>7</v>
      </c>
      <c r="E10" s="20">
        <v>39982</v>
      </c>
      <c r="F10" s="1">
        <v>39982</v>
      </c>
      <c r="G10" s="1"/>
      <c r="H10" s="1"/>
      <c r="I10" s="1">
        <v>0</v>
      </c>
      <c r="J10" s="1">
        <v>0</v>
      </c>
      <c r="K10" s="1">
        <v>18614</v>
      </c>
      <c r="L10" s="1">
        <v>4721</v>
      </c>
      <c r="M10" s="1">
        <v>4495</v>
      </c>
      <c r="N10" s="1"/>
      <c r="O10" s="1"/>
      <c r="P10" s="1">
        <v>13494</v>
      </c>
      <c r="Q10" s="1">
        <v>4553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>
        <v>0</v>
      </c>
      <c r="AG10" s="1"/>
      <c r="AH10" s="20">
        <v>0</v>
      </c>
      <c r="AI10" s="20"/>
      <c r="AJ10" s="20"/>
      <c r="AK10" s="20"/>
      <c r="AL10" s="20"/>
      <c r="AM10" s="1"/>
      <c r="AN10" s="20">
        <f>SUM(H10:AL10)</f>
        <v>45877</v>
      </c>
      <c r="AO10" s="20">
        <f>F10+AN10</f>
        <v>85859</v>
      </c>
      <c r="AP10" s="20">
        <f t="shared" si="1"/>
        <v>85859</v>
      </c>
    </row>
    <row r="11" spans="3:42">
      <c r="C11" s="55"/>
      <c r="D11" s="3" t="s">
        <v>3</v>
      </c>
      <c r="E11" s="20">
        <v>402979</v>
      </c>
      <c r="F11" s="1">
        <v>402979</v>
      </c>
      <c r="G11" s="1"/>
      <c r="H11" s="1"/>
      <c r="I11" s="1">
        <v>0</v>
      </c>
      <c r="J11" s="1">
        <v>0</v>
      </c>
      <c r="K11" s="1">
        <v>184508</v>
      </c>
      <c r="L11" s="1">
        <v>30839</v>
      </c>
      <c r="M11" s="1">
        <v>21431</v>
      </c>
      <c r="N11" s="1"/>
      <c r="O11" s="1"/>
      <c r="P11" s="1">
        <v>111814</v>
      </c>
      <c r="Q11" s="1">
        <v>19570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>
        <v>0</v>
      </c>
      <c r="AG11" s="1"/>
      <c r="AH11" s="20">
        <v>0</v>
      </c>
      <c r="AI11" s="20"/>
      <c r="AJ11" s="20"/>
      <c r="AK11" s="20"/>
      <c r="AL11" s="20"/>
      <c r="AM11" s="1"/>
      <c r="AN11" s="20">
        <f>SUM(H11:AL11)</f>
        <v>368162</v>
      </c>
      <c r="AO11" s="20">
        <f>F11+AN11</f>
        <v>771141</v>
      </c>
      <c r="AP11" s="20">
        <f t="shared" si="1"/>
        <v>771141</v>
      </c>
    </row>
    <row r="12" spans="3:42">
      <c r="C12" s="55"/>
      <c r="D12" s="3" t="s">
        <v>4</v>
      </c>
      <c r="E12" s="21">
        <f>E11/E10</f>
        <v>10.079010554749637</v>
      </c>
      <c r="F12" s="21">
        <f>F11/F10</f>
        <v>10.079010554749637</v>
      </c>
      <c r="G12" s="21" t="e">
        <f>G11/G10</f>
        <v>#DIV/0!</v>
      </c>
      <c r="H12" s="21" t="e">
        <f>H11/H10</f>
        <v>#DIV/0!</v>
      </c>
      <c r="I12" s="21" t="e">
        <f t="shared" ref="I12:AL12" si="2">I11/I10</f>
        <v>#DIV/0!</v>
      </c>
      <c r="J12" s="21" t="e">
        <f t="shared" si="2"/>
        <v>#DIV/0!</v>
      </c>
      <c r="K12" s="21">
        <f t="shared" si="2"/>
        <v>9.9123240571612765</v>
      </c>
      <c r="L12" s="21">
        <f t="shared" si="2"/>
        <v>6.5323024782884982</v>
      </c>
      <c r="M12" s="21">
        <f t="shared" si="2"/>
        <v>4.7677419354838708</v>
      </c>
      <c r="N12" s="21" t="e">
        <f t="shared" si="2"/>
        <v>#DIV/0!</v>
      </c>
      <c r="O12" s="21" t="e">
        <f t="shared" si="2"/>
        <v>#DIV/0!</v>
      </c>
      <c r="P12" s="21">
        <f t="shared" si="2"/>
        <v>8.2862012746405806</v>
      </c>
      <c r="Q12" s="21">
        <f t="shared" si="2"/>
        <v>4.2982648802987038</v>
      </c>
      <c r="R12" s="21" t="e">
        <f t="shared" si="2"/>
        <v>#DIV/0!</v>
      </c>
      <c r="S12" s="21" t="e">
        <f t="shared" si="2"/>
        <v>#DIV/0!</v>
      </c>
      <c r="T12" s="21" t="e">
        <f t="shared" si="2"/>
        <v>#DIV/0!</v>
      </c>
      <c r="U12" s="21" t="e">
        <f t="shared" si="2"/>
        <v>#DIV/0!</v>
      </c>
      <c r="V12" s="21" t="e">
        <f t="shared" si="2"/>
        <v>#DIV/0!</v>
      </c>
      <c r="W12" s="21" t="e">
        <f t="shared" si="2"/>
        <v>#DIV/0!</v>
      </c>
      <c r="X12" s="21" t="e">
        <f t="shared" si="2"/>
        <v>#DIV/0!</v>
      </c>
      <c r="Y12" s="21" t="e">
        <f t="shared" si="2"/>
        <v>#DIV/0!</v>
      </c>
      <c r="Z12" s="21" t="e">
        <f t="shared" si="2"/>
        <v>#DIV/0!</v>
      </c>
      <c r="AA12" s="21" t="e">
        <f t="shared" si="2"/>
        <v>#DIV/0!</v>
      </c>
      <c r="AB12" s="21" t="e">
        <f t="shared" si="2"/>
        <v>#DIV/0!</v>
      </c>
      <c r="AC12" s="21" t="e">
        <f t="shared" si="2"/>
        <v>#DIV/0!</v>
      </c>
      <c r="AD12" s="21" t="e">
        <f t="shared" si="2"/>
        <v>#DIV/0!</v>
      </c>
      <c r="AE12" s="21" t="e">
        <f t="shared" si="2"/>
        <v>#DIV/0!</v>
      </c>
      <c r="AF12" s="21" t="e">
        <f t="shared" si="2"/>
        <v>#DIV/0!</v>
      </c>
      <c r="AG12" s="21" t="e">
        <f>AG11/AG10</f>
        <v>#DIV/0!</v>
      </c>
      <c r="AH12" s="21" t="e">
        <f>AH11/AH10</f>
        <v>#DIV/0!</v>
      </c>
      <c r="AI12" s="21" t="e">
        <f t="shared" si="2"/>
        <v>#DIV/0!</v>
      </c>
      <c r="AJ12" s="21" t="e">
        <f t="shared" si="2"/>
        <v>#DIV/0!</v>
      </c>
      <c r="AK12" s="21" t="e">
        <f t="shared" si="2"/>
        <v>#DIV/0!</v>
      </c>
      <c r="AL12" s="21" t="e">
        <f t="shared" si="2"/>
        <v>#DIV/0!</v>
      </c>
      <c r="AM12" s="1"/>
      <c r="AN12" s="21">
        <f>SUMIF(H12:AL12, "&lt;&gt;#DIV/0!")</f>
        <v>33.796834625872933</v>
      </c>
      <c r="AO12" s="21">
        <f>IFERROR(F12, 0) + IFERROR(AN12, 0)</f>
        <v>43.875845180622569</v>
      </c>
      <c r="AP12" s="21">
        <f t="shared" si="1"/>
        <v>43.875845180622569</v>
      </c>
    </row>
    <row r="13" spans="3:42">
      <c r="C13" s="2"/>
      <c r="D13" s="15"/>
      <c r="E13" s="15"/>
      <c r="F13" s="15"/>
      <c r="G13" s="16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"/>
      <c r="AN13" s="17"/>
      <c r="AO13" s="17"/>
      <c r="AP13" s="17"/>
    </row>
    <row r="14" spans="3:42">
      <c r="C14" s="2"/>
      <c r="D14" s="3" t="s">
        <v>27</v>
      </c>
      <c r="E14" s="20">
        <v>50644</v>
      </c>
      <c r="F14" s="3">
        <v>50644</v>
      </c>
      <c r="G14" s="3"/>
      <c r="H14" s="1"/>
      <c r="I14" s="1">
        <v>0</v>
      </c>
      <c r="J14" s="1">
        <v>0</v>
      </c>
      <c r="K14" s="1">
        <v>930</v>
      </c>
      <c r="L14" s="1">
        <v>216</v>
      </c>
      <c r="M14" s="1">
        <v>257</v>
      </c>
      <c r="N14" s="1"/>
      <c r="O14" s="1"/>
      <c r="P14" s="1">
        <v>805</v>
      </c>
      <c r="Q14" s="1">
        <v>257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1"/>
      <c r="AN14" s="3">
        <f>SUM(H14:AL14)</f>
        <v>2465</v>
      </c>
      <c r="AO14" s="3">
        <f>F14+AN14</f>
        <v>53109</v>
      </c>
      <c r="AP14" s="3">
        <f t="shared" ref="AP14:AP19" si="3">AO14</f>
        <v>53109</v>
      </c>
    </row>
    <row r="15" spans="3:42">
      <c r="C15" s="55" t="s">
        <v>13</v>
      </c>
      <c r="D15" s="3" t="s">
        <v>6</v>
      </c>
      <c r="E15" s="20">
        <v>210</v>
      </c>
      <c r="F15" s="1">
        <v>210</v>
      </c>
      <c r="G15" s="1"/>
      <c r="H15" s="1"/>
      <c r="I15" s="1">
        <v>0</v>
      </c>
      <c r="J15" s="1">
        <v>0</v>
      </c>
      <c r="K15" s="1">
        <v>200</v>
      </c>
      <c r="L15" s="1">
        <v>200</v>
      </c>
      <c r="M15" s="1">
        <v>200</v>
      </c>
      <c r="N15" s="1"/>
      <c r="O15" s="1"/>
      <c r="P15" s="1">
        <v>200</v>
      </c>
      <c r="Q15" s="1">
        <v>201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1"/>
      <c r="AN15" s="25">
        <f>SUM(H15:AL15)</f>
        <v>1001</v>
      </c>
      <c r="AO15" s="25">
        <f>F15+AN15</f>
        <v>1211</v>
      </c>
      <c r="AP15" s="25">
        <f t="shared" si="3"/>
        <v>1211</v>
      </c>
    </row>
    <row r="16" spans="3:42">
      <c r="C16" s="55"/>
      <c r="D16" s="3" t="s">
        <v>2</v>
      </c>
      <c r="E16" s="19">
        <f>F16+G16</f>
        <v>0</v>
      </c>
      <c r="F16" s="19">
        <v>0</v>
      </c>
      <c r="G16" s="19">
        <v>0</v>
      </c>
      <c r="H16" s="19">
        <v>180000</v>
      </c>
      <c r="I16" s="19">
        <v>180000</v>
      </c>
      <c r="J16" s="19">
        <v>180000</v>
      </c>
      <c r="K16" s="19">
        <v>180000</v>
      </c>
      <c r="L16" s="19">
        <v>180000</v>
      </c>
      <c r="M16" s="19">
        <v>180000</v>
      </c>
      <c r="N16" s="19">
        <v>180000</v>
      </c>
      <c r="O16" s="19">
        <v>180000</v>
      </c>
      <c r="P16" s="19">
        <v>180000</v>
      </c>
      <c r="Q16" s="19">
        <v>180000</v>
      </c>
      <c r="R16" s="19">
        <v>180000</v>
      </c>
      <c r="S16" s="19">
        <v>180000</v>
      </c>
      <c r="T16" s="19">
        <v>180000</v>
      </c>
      <c r="U16" s="19">
        <v>180000</v>
      </c>
      <c r="V16" s="19">
        <v>180000</v>
      </c>
      <c r="W16" s="19">
        <v>180000</v>
      </c>
      <c r="X16" s="19">
        <v>180000</v>
      </c>
      <c r="Y16" s="19">
        <v>180000</v>
      </c>
      <c r="Z16" s="19">
        <v>180000</v>
      </c>
      <c r="AA16" s="19">
        <v>180000</v>
      </c>
      <c r="AB16" s="19">
        <v>180000</v>
      </c>
      <c r="AC16" s="19">
        <v>180000</v>
      </c>
      <c r="AD16" s="19">
        <v>180000</v>
      </c>
      <c r="AE16" s="19">
        <v>180000</v>
      </c>
      <c r="AF16" s="19">
        <v>180000</v>
      </c>
      <c r="AG16" s="19">
        <v>180000</v>
      </c>
      <c r="AH16" s="19">
        <v>180000</v>
      </c>
      <c r="AI16" s="19">
        <v>180000</v>
      </c>
      <c r="AJ16" s="19">
        <v>180000</v>
      </c>
      <c r="AK16" s="19">
        <v>180000</v>
      </c>
      <c r="AL16" s="19">
        <v>180000</v>
      </c>
      <c r="AM16" s="1"/>
      <c r="AN16" s="18">
        <f>SUM(H16:AL16)</f>
        <v>5580000</v>
      </c>
      <c r="AO16" s="18">
        <f>AN16+F16</f>
        <v>5580000</v>
      </c>
      <c r="AP16" s="18">
        <f t="shared" si="3"/>
        <v>5580000</v>
      </c>
    </row>
    <row r="17" spans="3:42" ht="18">
      <c r="C17" s="55"/>
      <c r="D17" s="3" t="s">
        <v>7</v>
      </c>
      <c r="E17" s="42">
        <v>20198600</v>
      </c>
      <c r="F17" s="42">
        <v>20198600</v>
      </c>
      <c r="G17" s="20"/>
      <c r="H17" s="20"/>
      <c r="I17" s="42">
        <v>0</v>
      </c>
      <c r="J17" s="42">
        <v>0</v>
      </c>
      <c r="K17" s="42">
        <v>676618</v>
      </c>
      <c r="L17" s="42">
        <v>164851</v>
      </c>
      <c r="M17" s="42">
        <v>177756</v>
      </c>
      <c r="N17" s="20"/>
      <c r="O17" s="20"/>
      <c r="P17" s="42">
        <v>530802</v>
      </c>
      <c r="Q17" s="42">
        <v>168595</v>
      </c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1"/>
      <c r="AN17" s="20">
        <f>SUM(H17:AL17)</f>
        <v>1718622</v>
      </c>
      <c r="AO17" s="20">
        <f>F17+AN17</f>
        <v>21917222</v>
      </c>
      <c r="AP17" s="20">
        <f t="shared" si="3"/>
        <v>21917222</v>
      </c>
    </row>
    <row r="18" spans="3:42" ht="18">
      <c r="C18" s="55"/>
      <c r="D18" s="3" t="s">
        <v>3</v>
      </c>
      <c r="E18" s="46">
        <v>118705757</v>
      </c>
      <c r="F18" s="47">
        <v>118705757</v>
      </c>
      <c r="G18" s="20"/>
      <c r="H18" s="20">
        <v>0</v>
      </c>
      <c r="I18" s="20">
        <v>0</v>
      </c>
      <c r="J18" s="42">
        <v>0</v>
      </c>
      <c r="K18" s="48">
        <v>2509027</v>
      </c>
      <c r="L18" s="42">
        <v>612694</v>
      </c>
      <c r="M18" s="42">
        <v>700061</v>
      </c>
      <c r="N18" s="20"/>
      <c r="O18" s="20"/>
      <c r="P18" s="42">
        <v>2231913</v>
      </c>
      <c r="Q18" s="42">
        <v>698221</v>
      </c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>
        <v>0</v>
      </c>
      <c r="AE18" s="20"/>
      <c r="AF18" s="20"/>
      <c r="AG18" s="20"/>
      <c r="AH18" s="20"/>
      <c r="AI18" s="20"/>
      <c r="AJ18" s="20"/>
      <c r="AK18" s="20"/>
      <c r="AL18" s="20"/>
      <c r="AM18" s="1"/>
      <c r="AN18" s="26">
        <f>SUM(H18:AL18)</f>
        <v>6751916</v>
      </c>
      <c r="AO18" s="26">
        <f>F18+AN18</f>
        <v>125457673</v>
      </c>
      <c r="AP18" s="26">
        <f t="shared" si="3"/>
        <v>125457673</v>
      </c>
    </row>
    <row r="19" spans="3:42">
      <c r="C19" s="55"/>
      <c r="D19" s="3" t="s">
        <v>4</v>
      </c>
      <c r="E19" s="41">
        <f>E18/E17</f>
        <v>5.8769299357381204</v>
      </c>
      <c r="F19" s="41">
        <f>F18/F17</f>
        <v>5.8769299357381204</v>
      </c>
      <c r="G19" s="41" t="e">
        <f>G18/G17</f>
        <v>#DIV/0!</v>
      </c>
      <c r="H19" s="41" t="e">
        <f>H18/H17</f>
        <v>#DIV/0!</v>
      </c>
      <c r="I19" s="41" t="e">
        <f t="shared" ref="I19:AL19" si="4">I18/I17</f>
        <v>#DIV/0!</v>
      </c>
      <c r="J19" s="41" t="e">
        <f t="shared" si="4"/>
        <v>#DIV/0!</v>
      </c>
      <c r="K19" s="41">
        <f t="shared" si="4"/>
        <v>3.7081883721686388</v>
      </c>
      <c r="L19" s="41">
        <f t="shared" si="4"/>
        <v>3.7166532201806479</v>
      </c>
      <c r="M19" s="41">
        <f t="shared" si="4"/>
        <v>3.9383255698823105</v>
      </c>
      <c r="N19" s="41" t="e">
        <f t="shared" si="4"/>
        <v>#DIV/0!</v>
      </c>
      <c r="O19" s="41" t="e">
        <f t="shared" si="4"/>
        <v>#DIV/0!</v>
      </c>
      <c r="P19" s="41">
        <f t="shared" si="4"/>
        <v>4.2047938779431879</v>
      </c>
      <c r="Q19" s="41">
        <f t="shared" si="4"/>
        <v>4.1414098876004628</v>
      </c>
      <c r="R19" s="41" t="e">
        <f t="shared" si="4"/>
        <v>#DIV/0!</v>
      </c>
      <c r="S19" s="41" t="e">
        <f t="shared" si="4"/>
        <v>#DIV/0!</v>
      </c>
      <c r="T19" s="41" t="e">
        <f t="shared" si="4"/>
        <v>#DIV/0!</v>
      </c>
      <c r="U19" s="41" t="e">
        <f t="shared" si="4"/>
        <v>#DIV/0!</v>
      </c>
      <c r="V19" s="41" t="e">
        <f t="shared" si="4"/>
        <v>#DIV/0!</v>
      </c>
      <c r="W19" s="41" t="e">
        <f t="shared" si="4"/>
        <v>#DIV/0!</v>
      </c>
      <c r="X19" s="41" t="e">
        <f t="shared" si="4"/>
        <v>#DIV/0!</v>
      </c>
      <c r="Y19" s="41" t="e">
        <f t="shared" si="4"/>
        <v>#DIV/0!</v>
      </c>
      <c r="Z19" s="41" t="e">
        <f t="shared" si="4"/>
        <v>#DIV/0!</v>
      </c>
      <c r="AA19" s="41" t="e">
        <f t="shared" si="4"/>
        <v>#DIV/0!</v>
      </c>
      <c r="AB19" s="41" t="e">
        <f t="shared" si="4"/>
        <v>#DIV/0!</v>
      </c>
      <c r="AC19" s="41" t="e">
        <f t="shared" si="4"/>
        <v>#DIV/0!</v>
      </c>
      <c r="AD19" s="41" t="e">
        <f t="shared" si="4"/>
        <v>#DIV/0!</v>
      </c>
      <c r="AE19" s="41" t="e">
        <f t="shared" si="4"/>
        <v>#DIV/0!</v>
      </c>
      <c r="AF19" s="41" t="e">
        <f t="shared" si="4"/>
        <v>#DIV/0!</v>
      </c>
      <c r="AG19" s="41" t="e">
        <f t="shared" si="4"/>
        <v>#DIV/0!</v>
      </c>
      <c r="AH19" s="41" t="e">
        <f t="shared" si="4"/>
        <v>#DIV/0!</v>
      </c>
      <c r="AI19" s="41" t="e">
        <f t="shared" si="4"/>
        <v>#DIV/0!</v>
      </c>
      <c r="AJ19" s="41" t="e">
        <f t="shared" si="4"/>
        <v>#DIV/0!</v>
      </c>
      <c r="AK19" s="41" t="e">
        <f t="shared" si="4"/>
        <v>#DIV/0!</v>
      </c>
      <c r="AL19" s="41" t="e">
        <f t="shared" si="4"/>
        <v>#DIV/0!</v>
      </c>
      <c r="AM19" s="1"/>
      <c r="AN19" s="21">
        <f>SUMIF(H19:AL19, "&lt;&gt;#DIV/0!")</f>
        <v>19.70937092777525</v>
      </c>
      <c r="AO19" s="21">
        <f>IFERROR(F19, 0) + IFERROR(AN19, 0)</f>
        <v>25.586300863513372</v>
      </c>
      <c r="AP19" s="21">
        <f t="shared" si="3"/>
        <v>25.586300863513372</v>
      </c>
    </row>
    <row r="20" spans="3:42">
      <c r="C20" s="2"/>
      <c r="D20" s="15"/>
      <c r="E20" s="15"/>
      <c r="F20" s="15"/>
      <c r="G20" s="16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"/>
      <c r="AN20" s="17"/>
      <c r="AO20" s="17"/>
      <c r="AP20" s="17"/>
    </row>
    <row r="21" spans="3:42">
      <c r="C21" s="2"/>
      <c r="D21" s="3" t="s">
        <v>26</v>
      </c>
      <c r="E21" s="20">
        <v>379</v>
      </c>
      <c r="F21" s="20">
        <v>379</v>
      </c>
      <c r="G21" s="20"/>
      <c r="H21" s="20"/>
      <c r="I21" s="20">
        <v>0</v>
      </c>
      <c r="J21" s="20">
        <v>0</v>
      </c>
      <c r="K21" s="20">
        <v>56</v>
      </c>
      <c r="L21" s="20">
        <v>28</v>
      </c>
      <c r="M21" s="20">
        <v>19</v>
      </c>
      <c r="N21" s="20"/>
      <c r="O21" s="20"/>
      <c r="P21" s="20">
        <v>74</v>
      </c>
      <c r="Q21" s="20">
        <v>23</v>
      </c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>
        <v>0</v>
      </c>
      <c r="AH21" s="20">
        <v>0</v>
      </c>
      <c r="AI21" s="20"/>
      <c r="AJ21" s="20"/>
      <c r="AK21" s="20"/>
      <c r="AL21" s="20"/>
      <c r="AM21" s="1"/>
      <c r="AN21" s="44">
        <f>SUM(I21:L21)</f>
        <v>84</v>
      </c>
      <c r="AO21" s="44">
        <f>F21+AN21</f>
        <v>463</v>
      </c>
      <c r="AP21" s="44">
        <f t="shared" ref="AP21:AP26" si="5">AO21</f>
        <v>463</v>
      </c>
    </row>
    <row r="22" spans="3:42">
      <c r="C22" s="55" t="s">
        <v>14</v>
      </c>
      <c r="D22" s="3" t="s">
        <v>6</v>
      </c>
      <c r="E22" s="20">
        <v>20</v>
      </c>
      <c r="F22" s="20">
        <v>20</v>
      </c>
      <c r="G22" s="20"/>
      <c r="H22" s="20"/>
      <c r="I22" s="20">
        <v>0</v>
      </c>
      <c r="J22" s="20">
        <v>0</v>
      </c>
      <c r="K22" s="20">
        <v>18</v>
      </c>
      <c r="L22" s="20">
        <v>17</v>
      </c>
      <c r="M22" s="20">
        <v>14</v>
      </c>
      <c r="N22" s="20"/>
      <c r="O22" s="20"/>
      <c r="P22" s="20">
        <v>21</v>
      </c>
      <c r="Q22" s="20">
        <v>18</v>
      </c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1"/>
      <c r="AN22" s="25">
        <f>SUM(H22:AL22)</f>
        <v>88</v>
      </c>
      <c r="AO22" s="25">
        <f>F22+AN22</f>
        <v>108</v>
      </c>
      <c r="AP22" s="25">
        <f t="shared" si="5"/>
        <v>108</v>
      </c>
    </row>
    <row r="23" spans="3:42">
      <c r="C23" s="55"/>
      <c r="D23" s="3" t="s">
        <v>2</v>
      </c>
      <c r="E23" s="19">
        <f>F23+G23</f>
        <v>0</v>
      </c>
      <c r="F23" s="19">
        <v>0</v>
      </c>
      <c r="G23" s="19"/>
      <c r="H23" s="19">
        <v>200000</v>
      </c>
      <c r="I23" s="19">
        <v>200000</v>
      </c>
      <c r="J23" s="19">
        <v>200000</v>
      </c>
      <c r="K23" s="19">
        <v>200000</v>
      </c>
      <c r="L23" s="19">
        <v>200000</v>
      </c>
      <c r="M23" s="19">
        <v>200000</v>
      </c>
      <c r="N23" s="19">
        <v>200000</v>
      </c>
      <c r="O23" s="19">
        <v>200000</v>
      </c>
      <c r="P23" s="19">
        <v>200000</v>
      </c>
      <c r="Q23" s="19">
        <v>200000</v>
      </c>
      <c r="R23" s="19">
        <v>200000</v>
      </c>
      <c r="S23" s="19">
        <v>200000</v>
      </c>
      <c r="T23" s="19">
        <v>200000</v>
      </c>
      <c r="U23" s="19">
        <v>200000</v>
      </c>
      <c r="V23" s="19">
        <v>200000</v>
      </c>
      <c r="W23" s="19">
        <v>200000</v>
      </c>
      <c r="X23" s="19">
        <v>200000</v>
      </c>
      <c r="Y23" s="19">
        <v>200000</v>
      </c>
      <c r="Z23" s="19">
        <v>200000</v>
      </c>
      <c r="AA23" s="19">
        <v>200000</v>
      </c>
      <c r="AB23" s="19">
        <v>200000</v>
      </c>
      <c r="AC23" s="19">
        <v>200000</v>
      </c>
      <c r="AD23" s="19">
        <v>200000</v>
      </c>
      <c r="AE23" s="19">
        <v>200000</v>
      </c>
      <c r="AF23" s="19">
        <v>200000</v>
      </c>
      <c r="AG23" s="19">
        <v>200000</v>
      </c>
      <c r="AH23" s="19">
        <v>200000</v>
      </c>
      <c r="AI23" s="19">
        <v>200000</v>
      </c>
      <c r="AJ23" s="19">
        <v>200000</v>
      </c>
      <c r="AK23" s="19">
        <v>200000</v>
      </c>
      <c r="AL23" s="19">
        <v>200000</v>
      </c>
      <c r="AM23" s="1"/>
      <c r="AN23" s="18">
        <f>SUM(H23:AL23)</f>
        <v>6200000</v>
      </c>
      <c r="AO23" s="18">
        <f>F23+AN23</f>
        <v>6200000</v>
      </c>
      <c r="AP23" s="18">
        <f t="shared" si="5"/>
        <v>6200000</v>
      </c>
    </row>
    <row r="24" spans="3:42">
      <c r="C24" s="55"/>
      <c r="D24" s="3" t="s">
        <v>7</v>
      </c>
      <c r="E24" s="20">
        <v>192923</v>
      </c>
      <c r="F24" s="1">
        <v>192923</v>
      </c>
      <c r="G24" s="1"/>
      <c r="H24" s="1"/>
      <c r="I24" s="1">
        <v>0</v>
      </c>
      <c r="J24" s="1">
        <v>0</v>
      </c>
      <c r="K24" s="1">
        <v>26257</v>
      </c>
      <c r="L24" s="1">
        <v>8568</v>
      </c>
      <c r="M24" s="1">
        <v>8681</v>
      </c>
      <c r="N24" s="1"/>
      <c r="O24" s="1"/>
      <c r="P24" s="1">
        <v>26590</v>
      </c>
      <c r="Q24" s="1">
        <v>8675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20">
        <f>SUM(H24:AL24)</f>
        <v>78771</v>
      </c>
      <c r="AO24" s="20">
        <f>F24+AN24</f>
        <v>271694</v>
      </c>
      <c r="AP24" s="20">
        <f t="shared" si="5"/>
        <v>271694</v>
      </c>
    </row>
    <row r="25" spans="3:42">
      <c r="C25" s="55"/>
      <c r="D25" s="3" t="s">
        <v>3</v>
      </c>
      <c r="E25" s="20">
        <v>1108432</v>
      </c>
      <c r="F25" s="1">
        <v>1108432</v>
      </c>
      <c r="G25" s="1"/>
      <c r="H25" s="20">
        <v>0</v>
      </c>
      <c r="I25" s="20">
        <v>0</v>
      </c>
      <c r="J25" s="20">
        <v>0</v>
      </c>
      <c r="K25" s="20">
        <v>164454</v>
      </c>
      <c r="L25" s="20">
        <v>86511</v>
      </c>
      <c r="M25" s="20">
        <v>54608</v>
      </c>
      <c r="N25" s="20">
        <v>0</v>
      </c>
      <c r="O25" s="20">
        <v>0</v>
      </c>
      <c r="P25" s="20">
        <v>218640</v>
      </c>
      <c r="Q25" s="20">
        <v>67723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/>
      <c r="AG25" s="20"/>
      <c r="AH25" s="20">
        <v>0</v>
      </c>
      <c r="AI25" s="20">
        <v>0</v>
      </c>
      <c r="AJ25" s="20">
        <v>0</v>
      </c>
      <c r="AK25" s="20">
        <v>0</v>
      </c>
      <c r="AL25" s="20">
        <v>0</v>
      </c>
      <c r="AM25" s="1"/>
      <c r="AN25" s="26">
        <f>SUM(H25:AL25)</f>
        <v>591936</v>
      </c>
      <c r="AO25" s="26">
        <f>F25+AN25</f>
        <v>1700368</v>
      </c>
      <c r="AP25" s="26">
        <f t="shared" si="5"/>
        <v>1700368</v>
      </c>
    </row>
    <row r="26" spans="3:42">
      <c r="C26" s="55"/>
      <c r="D26" s="3" t="s">
        <v>4</v>
      </c>
      <c r="E26" s="41">
        <f>E25/E24</f>
        <v>5.7454632158944241</v>
      </c>
      <c r="F26" s="41">
        <f>F25/F24</f>
        <v>5.7454632158944241</v>
      </c>
      <c r="G26" s="41" t="e">
        <f>G25/G24</f>
        <v>#DIV/0!</v>
      </c>
      <c r="H26" s="41" t="e">
        <f>H25/H24</f>
        <v>#DIV/0!</v>
      </c>
      <c r="I26" s="41" t="e">
        <f t="shared" ref="I26:AK26" si="6">I25/I24</f>
        <v>#DIV/0!</v>
      </c>
      <c r="J26" s="41" t="e">
        <f t="shared" si="6"/>
        <v>#DIV/0!</v>
      </c>
      <c r="K26" s="41">
        <f t="shared" si="6"/>
        <v>6.2632440872910085</v>
      </c>
      <c r="L26" s="41">
        <f t="shared" si="6"/>
        <v>10.096988795518207</v>
      </c>
      <c r="M26" s="41">
        <f t="shared" si="6"/>
        <v>6.2905195254002999</v>
      </c>
      <c r="N26" s="41" t="e">
        <f t="shared" si="6"/>
        <v>#DIV/0!</v>
      </c>
      <c r="O26" s="41" t="e">
        <f t="shared" si="6"/>
        <v>#DIV/0!</v>
      </c>
      <c r="P26" s="41">
        <f t="shared" si="6"/>
        <v>8.222640090259496</v>
      </c>
      <c r="Q26" s="41">
        <f t="shared" si="6"/>
        <v>7.8066858789625364</v>
      </c>
      <c r="R26" s="41" t="e">
        <f t="shared" si="6"/>
        <v>#DIV/0!</v>
      </c>
      <c r="S26" s="41" t="e">
        <f t="shared" si="6"/>
        <v>#DIV/0!</v>
      </c>
      <c r="T26" s="41" t="e">
        <f t="shared" si="6"/>
        <v>#DIV/0!</v>
      </c>
      <c r="U26" s="41" t="e">
        <f t="shared" si="6"/>
        <v>#DIV/0!</v>
      </c>
      <c r="V26" s="41" t="e">
        <f t="shared" si="6"/>
        <v>#DIV/0!</v>
      </c>
      <c r="W26" s="41" t="e">
        <f t="shared" si="6"/>
        <v>#DIV/0!</v>
      </c>
      <c r="X26" s="41" t="e">
        <f t="shared" si="6"/>
        <v>#DIV/0!</v>
      </c>
      <c r="Y26" s="41" t="e">
        <f t="shared" si="6"/>
        <v>#DIV/0!</v>
      </c>
      <c r="Z26" s="41" t="e">
        <f t="shared" si="6"/>
        <v>#DIV/0!</v>
      </c>
      <c r="AA26" s="41" t="e">
        <f t="shared" si="6"/>
        <v>#DIV/0!</v>
      </c>
      <c r="AB26" s="41" t="e">
        <f t="shared" si="6"/>
        <v>#DIV/0!</v>
      </c>
      <c r="AC26" s="41" t="e">
        <f t="shared" si="6"/>
        <v>#DIV/0!</v>
      </c>
      <c r="AD26" s="41" t="e">
        <f t="shared" si="6"/>
        <v>#DIV/0!</v>
      </c>
      <c r="AE26" s="41" t="e">
        <f t="shared" si="6"/>
        <v>#DIV/0!</v>
      </c>
      <c r="AF26" s="41" t="e">
        <f t="shared" si="6"/>
        <v>#DIV/0!</v>
      </c>
      <c r="AG26" s="41" t="e">
        <f t="shared" si="6"/>
        <v>#DIV/0!</v>
      </c>
      <c r="AH26" s="41" t="e">
        <f t="shared" si="6"/>
        <v>#DIV/0!</v>
      </c>
      <c r="AI26" s="41" t="e">
        <f t="shared" si="6"/>
        <v>#DIV/0!</v>
      </c>
      <c r="AJ26" s="41" t="e">
        <f t="shared" si="6"/>
        <v>#DIV/0!</v>
      </c>
      <c r="AK26" s="41" t="e">
        <f t="shared" si="6"/>
        <v>#DIV/0!</v>
      </c>
      <c r="AL26" s="41" t="e">
        <f>AL25/AL24</f>
        <v>#DIV/0!</v>
      </c>
      <c r="AM26" s="1"/>
      <c r="AN26" s="21">
        <f>SUMIF(H26:AL26, "&lt;&gt;#DIV/0!")</f>
        <v>38.680078377431542</v>
      </c>
      <c r="AO26" s="21">
        <f>IFERROR(F26, 0) + IFERROR(AN26, 0)</f>
        <v>44.425541593325967</v>
      </c>
      <c r="AP26" s="21">
        <f t="shared" si="5"/>
        <v>44.425541593325967</v>
      </c>
    </row>
    <row r="27" spans="3:42">
      <c r="C27" s="2"/>
      <c r="D27" s="15"/>
      <c r="E27" s="15"/>
      <c r="F27" s="15"/>
      <c r="G27" s="16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"/>
      <c r="AN27" s="17"/>
      <c r="AO27" s="17"/>
      <c r="AP27" s="17"/>
    </row>
    <row r="28" spans="3:42">
      <c r="C28" s="2"/>
      <c r="D28" s="3" t="s">
        <v>27</v>
      </c>
      <c r="E28" s="20">
        <v>304</v>
      </c>
      <c r="F28" s="20">
        <v>304</v>
      </c>
      <c r="G28" s="20"/>
      <c r="H28" s="20"/>
      <c r="I28" s="20">
        <v>0</v>
      </c>
      <c r="J28" s="20">
        <v>0</v>
      </c>
      <c r="K28" s="20">
        <v>56</v>
      </c>
      <c r="L28" s="20">
        <v>15</v>
      </c>
      <c r="M28" s="20">
        <v>17</v>
      </c>
      <c r="N28" s="20"/>
      <c r="O28" s="20"/>
      <c r="P28" s="20">
        <v>83</v>
      </c>
      <c r="Q28" s="20">
        <v>24</v>
      </c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>
        <v>0</v>
      </c>
      <c r="AI28" s="20"/>
      <c r="AJ28" s="20"/>
      <c r="AK28" s="20"/>
      <c r="AL28" s="20"/>
      <c r="AM28" s="1"/>
      <c r="AN28" s="44">
        <f>SUM(H28:AL28)</f>
        <v>195</v>
      </c>
      <c r="AO28" s="44">
        <f>AN28+F28</f>
        <v>499</v>
      </c>
      <c r="AP28" s="44">
        <f>AO28</f>
        <v>499</v>
      </c>
    </row>
    <row r="29" spans="3:42">
      <c r="C29" s="55" t="s">
        <v>24</v>
      </c>
      <c r="D29" s="3" t="s">
        <v>6</v>
      </c>
      <c r="E29" s="20">
        <v>19</v>
      </c>
      <c r="F29" s="20">
        <v>19</v>
      </c>
      <c r="G29" s="20"/>
      <c r="H29" s="20">
        <v>0</v>
      </c>
      <c r="I29" s="20">
        <v>0</v>
      </c>
      <c r="J29" s="20">
        <v>0</v>
      </c>
      <c r="K29" s="20">
        <v>19</v>
      </c>
      <c r="L29" s="20">
        <v>17</v>
      </c>
      <c r="M29" s="20">
        <v>11</v>
      </c>
      <c r="N29" s="20"/>
      <c r="O29" s="20"/>
      <c r="P29" s="20">
        <v>25</v>
      </c>
      <c r="Q29" s="20">
        <v>18</v>
      </c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1"/>
      <c r="AN29" s="25">
        <f>SUM(H29:AL29)</f>
        <v>90</v>
      </c>
      <c r="AO29" s="25">
        <f>F29+AN29</f>
        <v>109</v>
      </c>
      <c r="AP29" s="25">
        <f t="shared" ref="AP29:AP33" si="7">AO29</f>
        <v>109</v>
      </c>
    </row>
    <row r="30" spans="3:42">
      <c r="C30" s="55"/>
      <c r="D30" s="3" t="s">
        <v>2</v>
      </c>
      <c r="E30" s="19">
        <f>F30+G30</f>
        <v>0</v>
      </c>
      <c r="F30" s="19">
        <v>0</v>
      </c>
      <c r="G30" s="19">
        <v>0</v>
      </c>
      <c r="H30" s="19">
        <v>200000</v>
      </c>
      <c r="I30" s="19">
        <v>200000</v>
      </c>
      <c r="J30" s="19">
        <v>200000</v>
      </c>
      <c r="K30" s="19">
        <v>200000</v>
      </c>
      <c r="L30" s="19">
        <v>200000</v>
      </c>
      <c r="M30" s="19">
        <v>200000</v>
      </c>
      <c r="N30" s="19">
        <v>200000</v>
      </c>
      <c r="O30" s="19">
        <v>200000</v>
      </c>
      <c r="P30" s="19">
        <v>200000</v>
      </c>
      <c r="Q30" s="19">
        <v>200000</v>
      </c>
      <c r="R30" s="19">
        <v>200000</v>
      </c>
      <c r="S30" s="19">
        <v>200000</v>
      </c>
      <c r="T30" s="19">
        <v>200000</v>
      </c>
      <c r="U30" s="19">
        <v>200000</v>
      </c>
      <c r="V30" s="19">
        <v>200000</v>
      </c>
      <c r="W30" s="19">
        <v>200000</v>
      </c>
      <c r="X30" s="19">
        <v>200000</v>
      </c>
      <c r="Y30" s="19">
        <v>200000</v>
      </c>
      <c r="Z30" s="19">
        <v>200000</v>
      </c>
      <c r="AA30" s="19">
        <v>200000</v>
      </c>
      <c r="AB30" s="19">
        <v>200000</v>
      </c>
      <c r="AC30" s="19">
        <v>200000</v>
      </c>
      <c r="AD30" s="19">
        <v>200000</v>
      </c>
      <c r="AE30" s="19">
        <v>200000</v>
      </c>
      <c r="AF30" s="19">
        <v>200000</v>
      </c>
      <c r="AG30" s="19">
        <v>200000</v>
      </c>
      <c r="AH30" s="19">
        <v>200000</v>
      </c>
      <c r="AI30" s="19">
        <v>200000</v>
      </c>
      <c r="AJ30" s="19">
        <v>200000</v>
      </c>
      <c r="AK30" s="19">
        <v>200000</v>
      </c>
      <c r="AL30" s="19">
        <v>200000</v>
      </c>
      <c r="AM30" s="1"/>
      <c r="AN30" s="18">
        <f>SUM(H30:AL30)</f>
        <v>6200000</v>
      </c>
      <c r="AO30" s="18">
        <f>F30+AN30</f>
        <v>6200000</v>
      </c>
      <c r="AP30" s="18">
        <f t="shared" si="7"/>
        <v>6200000</v>
      </c>
    </row>
    <row r="31" spans="3:42" ht="18.75">
      <c r="C31" s="55"/>
      <c r="D31" s="3" t="s">
        <v>7</v>
      </c>
      <c r="E31" s="43">
        <v>66374</v>
      </c>
      <c r="F31" s="43">
        <v>66374</v>
      </c>
      <c r="G31" s="1"/>
      <c r="H31" s="1"/>
      <c r="I31" s="43">
        <v>0</v>
      </c>
      <c r="J31" s="1">
        <v>0</v>
      </c>
      <c r="K31" s="43">
        <v>15455</v>
      </c>
      <c r="L31" s="1">
        <v>2005</v>
      </c>
      <c r="M31" s="1">
        <v>2565</v>
      </c>
      <c r="N31" s="1"/>
      <c r="O31" s="1"/>
      <c r="P31" s="1">
        <v>12154</v>
      </c>
      <c r="Q31" s="43">
        <v>4343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>
        <v>0</v>
      </c>
      <c r="AI31" s="1"/>
      <c r="AJ31" s="1"/>
      <c r="AK31" s="1"/>
      <c r="AL31" s="1"/>
      <c r="AM31" s="1"/>
      <c r="AN31" s="20">
        <f>SUM(H31:AL31)</f>
        <v>36522</v>
      </c>
      <c r="AO31" s="20">
        <f>F31+AN31</f>
        <v>102896</v>
      </c>
      <c r="AP31" s="20">
        <f t="shared" si="7"/>
        <v>102896</v>
      </c>
    </row>
    <row r="32" spans="3:42">
      <c r="C32" s="55"/>
      <c r="D32" s="3" t="s">
        <v>3</v>
      </c>
      <c r="E32" s="20">
        <v>760000</v>
      </c>
      <c r="F32" s="1">
        <v>760000</v>
      </c>
      <c r="G32" s="1"/>
      <c r="H32" s="20"/>
      <c r="I32" s="20">
        <v>0</v>
      </c>
      <c r="J32" s="20">
        <v>0</v>
      </c>
      <c r="K32" s="20">
        <v>140000</v>
      </c>
      <c r="L32" s="20">
        <v>37500</v>
      </c>
      <c r="M32" s="20">
        <v>43605</v>
      </c>
      <c r="N32" s="20"/>
      <c r="O32" s="20"/>
      <c r="P32" s="20">
        <v>207500</v>
      </c>
      <c r="Q32" s="20">
        <v>60000</v>
      </c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1"/>
      <c r="AN32" s="26">
        <f>SUM(H32:AL32)</f>
        <v>488605</v>
      </c>
      <c r="AO32" s="26">
        <f>F32+AN32</f>
        <v>1248605</v>
      </c>
      <c r="AP32" s="26">
        <f t="shared" si="7"/>
        <v>1248605</v>
      </c>
    </row>
    <row r="33" spans="3:42">
      <c r="C33" s="55"/>
      <c r="D33" s="3" t="s">
        <v>4</v>
      </c>
      <c r="E33" s="21">
        <f>E32/E31</f>
        <v>11.450266670684304</v>
      </c>
      <c r="F33" s="41">
        <f>F32/F31</f>
        <v>11.450266670684304</v>
      </c>
      <c r="G33" s="41" t="e">
        <f>G32/G31</f>
        <v>#DIV/0!</v>
      </c>
      <c r="H33" s="41" t="e">
        <f>H32/H31</f>
        <v>#DIV/0!</v>
      </c>
      <c r="I33" s="41" t="e">
        <f t="shared" ref="I33:AL33" si="8">I32/I31</f>
        <v>#DIV/0!</v>
      </c>
      <c r="J33" s="41" t="e">
        <f t="shared" si="8"/>
        <v>#DIV/0!</v>
      </c>
      <c r="K33" s="41">
        <f t="shared" si="8"/>
        <v>9.0585571012617283</v>
      </c>
      <c r="L33" s="41">
        <f t="shared" si="8"/>
        <v>18.703241895261847</v>
      </c>
      <c r="M33" s="41">
        <f t="shared" si="8"/>
        <v>17</v>
      </c>
      <c r="N33" s="41" t="e">
        <f t="shared" si="8"/>
        <v>#DIV/0!</v>
      </c>
      <c r="O33" s="41" t="e">
        <f t="shared" si="8"/>
        <v>#DIV/0!</v>
      </c>
      <c r="P33" s="41">
        <f t="shared" si="8"/>
        <v>17.072568701662004</v>
      </c>
      <c r="Q33" s="41">
        <f t="shared" si="8"/>
        <v>13.815335021874281</v>
      </c>
      <c r="R33" s="41" t="e">
        <f t="shared" si="8"/>
        <v>#DIV/0!</v>
      </c>
      <c r="S33" s="41" t="e">
        <f t="shared" si="8"/>
        <v>#DIV/0!</v>
      </c>
      <c r="T33" s="41" t="e">
        <f t="shared" si="8"/>
        <v>#DIV/0!</v>
      </c>
      <c r="U33" s="41" t="e">
        <f t="shared" si="8"/>
        <v>#DIV/0!</v>
      </c>
      <c r="V33" s="41" t="e">
        <f t="shared" si="8"/>
        <v>#DIV/0!</v>
      </c>
      <c r="W33" s="41" t="e">
        <f t="shared" si="8"/>
        <v>#DIV/0!</v>
      </c>
      <c r="X33" s="41" t="e">
        <f t="shared" si="8"/>
        <v>#DIV/0!</v>
      </c>
      <c r="Y33" s="41" t="e">
        <f t="shared" si="8"/>
        <v>#DIV/0!</v>
      </c>
      <c r="Z33" s="41" t="e">
        <f t="shared" si="8"/>
        <v>#DIV/0!</v>
      </c>
      <c r="AA33" s="41" t="e">
        <f t="shared" si="8"/>
        <v>#DIV/0!</v>
      </c>
      <c r="AB33" s="41" t="e">
        <f t="shared" si="8"/>
        <v>#DIV/0!</v>
      </c>
      <c r="AC33" s="41" t="e">
        <f t="shared" si="8"/>
        <v>#DIV/0!</v>
      </c>
      <c r="AD33" s="41" t="e">
        <f t="shared" si="8"/>
        <v>#DIV/0!</v>
      </c>
      <c r="AE33" s="41" t="e">
        <f t="shared" si="8"/>
        <v>#DIV/0!</v>
      </c>
      <c r="AF33" s="41" t="e">
        <f t="shared" si="8"/>
        <v>#DIV/0!</v>
      </c>
      <c r="AG33" s="41" t="e">
        <f t="shared" si="8"/>
        <v>#DIV/0!</v>
      </c>
      <c r="AH33" s="41" t="e">
        <f t="shared" si="8"/>
        <v>#DIV/0!</v>
      </c>
      <c r="AI33" s="41" t="e">
        <f t="shared" si="8"/>
        <v>#DIV/0!</v>
      </c>
      <c r="AJ33" s="41" t="e">
        <f t="shared" si="8"/>
        <v>#DIV/0!</v>
      </c>
      <c r="AK33" s="41" t="e">
        <f t="shared" si="8"/>
        <v>#DIV/0!</v>
      </c>
      <c r="AL33" s="41" t="e">
        <f t="shared" si="8"/>
        <v>#DIV/0!</v>
      </c>
      <c r="AM33" s="1"/>
      <c r="AN33" s="29">
        <f>SUMIF(H33:AL33, "&lt;&gt;#DIV/0!")</f>
        <v>75.64970272005985</v>
      </c>
      <c r="AO33" s="21">
        <f>IFERROR(F33, 0) + IFERROR(AN33, 0)</f>
        <v>87.09996939074415</v>
      </c>
      <c r="AP33" s="21">
        <f t="shared" si="7"/>
        <v>87.09996939074415</v>
      </c>
    </row>
    <row r="34" spans="3:42">
      <c r="C34" s="2"/>
      <c r="D34" s="15"/>
      <c r="E34" s="15"/>
      <c r="F34" s="15"/>
      <c r="G34" s="16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"/>
      <c r="AN34" s="17"/>
      <c r="AO34" s="17"/>
      <c r="AP34" s="17"/>
    </row>
    <row r="35" spans="3:42">
      <c r="C35" s="53" t="s">
        <v>16</v>
      </c>
      <c r="D35" s="3" t="s">
        <v>11</v>
      </c>
      <c r="E35" s="20">
        <v>0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1"/>
      <c r="AN35" s="20">
        <f>SUM(H35:AL35)</f>
        <v>0</v>
      </c>
      <c r="AO35" s="20">
        <f>F35+AN35</f>
        <v>0</v>
      </c>
      <c r="AP35" s="20">
        <f>AO35</f>
        <v>0</v>
      </c>
    </row>
    <row r="36" spans="3:42">
      <c r="C36" s="53"/>
      <c r="D36" s="3" t="s">
        <v>3</v>
      </c>
      <c r="E36" s="20">
        <f>F36</f>
        <v>0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1"/>
      <c r="AN36" s="20"/>
      <c r="AO36" s="20"/>
      <c r="AP36" s="20"/>
    </row>
    <row r="37" spans="3:42">
      <c r="C37" s="54"/>
      <c r="D37" s="3" t="s">
        <v>4</v>
      </c>
      <c r="E37" s="41" t="e">
        <f>E36/E35</f>
        <v>#DIV/0!</v>
      </c>
      <c r="F37" s="41" t="e">
        <f>F36/F35</f>
        <v>#DIV/0!</v>
      </c>
      <c r="G37" s="41" t="e">
        <f>G36/G35</f>
        <v>#DIV/0!</v>
      </c>
      <c r="H37" s="41" t="e">
        <f>H36/H35</f>
        <v>#DIV/0!</v>
      </c>
      <c r="I37" s="41" t="e">
        <f t="shared" ref="I37:AL37" si="9">I36/I35</f>
        <v>#DIV/0!</v>
      </c>
      <c r="J37" s="41" t="e">
        <f t="shared" si="9"/>
        <v>#DIV/0!</v>
      </c>
      <c r="K37" s="41" t="e">
        <f t="shared" si="9"/>
        <v>#DIV/0!</v>
      </c>
      <c r="L37" s="41" t="e">
        <f t="shared" si="9"/>
        <v>#DIV/0!</v>
      </c>
      <c r="M37" s="41" t="e">
        <f t="shared" si="9"/>
        <v>#DIV/0!</v>
      </c>
      <c r="N37" s="41" t="e">
        <f t="shared" si="9"/>
        <v>#DIV/0!</v>
      </c>
      <c r="O37" s="41" t="e">
        <f t="shared" si="9"/>
        <v>#DIV/0!</v>
      </c>
      <c r="P37" s="41" t="e">
        <f t="shared" si="9"/>
        <v>#DIV/0!</v>
      </c>
      <c r="Q37" s="41" t="e">
        <f t="shared" si="9"/>
        <v>#DIV/0!</v>
      </c>
      <c r="R37" s="41" t="e">
        <f t="shared" si="9"/>
        <v>#DIV/0!</v>
      </c>
      <c r="S37" s="41" t="e">
        <f t="shared" si="9"/>
        <v>#DIV/0!</v>
      </c>
      <c r="T37" s="41" t="e">
        <f t="shared" si="9"/>
        <v>#DIV/0!</v>
      </c>
      <c r="U37" s="41" t="e">
        <f t="shared" si="9"/>
        <v>#DIV/0!</v>
      </c>
      <c r="V37" s="41" t="e">
        <f t="shared" si="9"/>
        <v>#DIV/0!</v>
      </c>
      <c r="W37" s="41" t="e">
        <f t="shared" si="9"/>
        <v>#DIV/0!</v>
      </c>
      <c r="X37" s="41" t="e">
        <f t="shared" si="9"/>
        <v>#DIV/0!</v>
      </c>
      <c r="Y37" s="41" t="e">
        <f t="shared" si="9"/>
        <v>#DIV/0!</v>
      </c>
      <c r="Z37" s="41" t="e">
        <f t="shared" si="9"/>
        <v>#DIV/0!</v>
      </c>
      <c r="AA37" s="41" t="e">
        <f t="shared" si="9"/>
        <v>#DIV/0!</v>
      </c>
      <c r="AB37" s="41" t="e">
        <f t="shared" si="9"/>
        <v>#DIV/0!</v>
      </c>
      <c r="AC37" s="41" t="e">
        <f t="shared" si="9"/>
        <v>#DIV/0!</v>
      </c>
      <c r="AD37" s="41" t="e">
        <f t="shared" si="9"/>
        <v>#DIV/0!</v>
      </c>
      <c r="AE37" s="41" t="e">
        <f t="shared" si="9"/>
        <v>#DIV/0!</v>
      </c>
      <c r="AF37" s="41" t="e">
        <f t="shared" si="9"/>
        <v>#DIV/0!</v>
      </c>
      <c r="AG37" s="41" t="e">
        <f t="shared" si="9"/>
        <v>#DIV/0!</v>
      </c>
      <c r="AH37" s="41" t="e">
        <f t="shared" si="9"/>
        <v>#DIV/0!</v>
      </c>
      <c r="AI37" s="41" t="e">
        <f t="shared" si="9"/>
        <v>#DIV/0!</v>
      </c>
      <c r="AJ37" s="41" t="e">
        <f t="shared" si="9"/>
        <v>#DIV/0!</v>
      </c>
      <c r="AK37" s="41" t="e">
        <f t="shared" si="9"/>
        <v>#DIV/0!</v>
      </c>
      <c r="AL37" s="41" t="e">
        <f t="shared" si="9"/>
        <v>#DIV/0!</v>
      </c>
      <c r="AM37" s="1"/>
      <c r="AN37" s="29">
        <f>SUMIF(H37:AL37, "&lt;&gt;#DIV/0!")</f>
        <v>0</v>
      </c>
      <c r="AO37" s="29">
        <f>IFERROR(F37, 0) + IFERROR(AN37, 0)</f>
        <v>0</v>
      </c>
      <c r="AP37" s="29">
        <f>AO37</f>
        <v>0</v>
      </c>
    </row>
    <row r="38" spans="3:42">
      <c r="C38" s="2"/>
      <c r="D38" s="15"/>
      <c r="E38" s="15"/>
      <c r="F38" s="15"/>
      <c r="G38" s="16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3"/>
      <c r="AN38" s="17"/>
      <c r="AO38" s="17"/>
      <c r="AP38" s="17"/>
    </row>
    <row r="39" spans="3:42">
      <c r="C39" s="55" t="s">
        <v>17</v>
      </c>
      <c r="D39" s="3" t="s">
        <v>9</v>
      </c>
      <c r="E39" s="20"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3:42">
      <c r="C40" s="55"/>
      <c r="D40" s="3" t="s">
        <v>10</v>
      </c>
      <c r="E40" s="20"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3:42">
      <c r="C41" s="15"/>
      <c r="D41" s="15"/>
      <c r="E41" s="15"/>
      <c r="F41" s="16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5"/>
      <c r="AM41" s="1"/>
      <c r="AN41" s="15"/>
      <c r="AO41" s="15"/>
      <c r="AP41" s="15"/>
    </row>
    <row r="42" spans="3:42">
      <c r="C42" s="1"/>
      <c r="D42" s="50" t="s">
        <v>28</v>
      </c>
      <c r="E42" s="20">
        <v>0</v>
      </c>
      <c r="F42" s="1"/>
      <c r="G42" s="20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>
        <v>43433</v>
      </c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>
        <f>SUM(H42:AL42)</f>
        <v>43433</v>
      </c>
      <c r="AO42" s="19">
        <f>AN42+F42</f>
        <v>43433</v>
      </c>
      <c r="AP42" s="19">
        <f>AO42</f>
        <v>43433</v>
      </c>
    </row>
    <row r="43" spans="3:42">
      <c r="C43" s="1"/>
      <c r="D43" s="50" t="s">
        <v>29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>
        <v>23000</v>
      </c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>
        <f t="shared" ref="AN43:AN45" si="10">SUM(H43:AL43)</f>
        <v>23000</v>
      </c>
      <c r="AO43" s="19">
        <f t="shared" ref="AO43:AO45" si="11">AN43+F43</f>
        <v>23000</v>
      </c>
      <c r="AP43" s="19">
        <f t="shared" ref="AP43:AP45" si="12">AO43</f>
        <v>23000</v>
      </c>
    </row>
    <row r="44" spans="3:42">
      <c r="C44" s="1"/>
      <c r="D44" s="50" t="s">
        <v>30</v>
      </c>
      <c r="E44" s="20"/>
      <c r="F44" s="1"/>
      <c r="G44" s="20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>
        <v>54545</v>
      </c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>
        <f t="shared" si="10"/>
        <v>54545</v>
      </c>
      <c r="AO44" s="19">
        <f t="shared" si="11"/>
        <v>54545</v>
      </c>
      <c r="AP44" s="19">
        <f t="shared" si="12"/>
        <v>54545</v>
      </c>
    </row>
    <row r="45" spans="3:42">
      <c r="C45" s="1"/>
      <c r="D45" s="50" t="s">
        <v>31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>
        <f t="shared" si="10"/>
        <v>0</v>
      </c>
      <c r="AO45" s="19">
        <f t="shared" si="11"/>
        <v>0</v>
      </c>
      <c r="AP45" s="19">
        <f t="shared" si="12"/>
        <v>0</v>
      </c>
    </row>
  </sheetData>
  <mergeCells count="6">
    <mergeCell ref="C39:C40"/>
    <mergeCell ref="C35:C37"/>
    <mergeCell ref="C8:C12"/>
    <mergeCell ref="C15:C19"/>
    <mergeCell ref="C22:C26"/>
    <mergeCell ref="C29:C3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 </vt:lpstr>
      <vt:lpstr>Tracker </vt:lpstr>
      <vt:lpstr>Data 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</dc:creator>
  <cp:lastModifiedBy>ASAA</cp:lastModifiedBy>
  <dcterms:created xsi:type="dcterms:W3CDTF">2025-02-25T09:43:40Z</dcterms:created>
  <dcterms:modified xsi:type="dcterms:W3CDTF">2025-03-12T07:22:58Z</dcterms:modified>
</cp:coreProperties>
</file>