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generativeaistrategy.sharepoint.com/sites/GenerativeAILeadership/Gedeelde documenten/Finance/Business_Case_and_Liquidity/Working_Capital/"/>
    </mc:Choice>
  </mc:AlternateContent>
  <xr:revisionPtr revIDLastSave="3008" documentId="8_{88AD2C9E-9E7B-472F-8729-3019CDB71A8C}" xr6:coauthVersionLast="47" xr6:coauthVersionMax="47" xr10:uidLastSave="{E0D63EB7-EFC5-47EE-A9F4-F1B80495CC86}"/>
  <bookViews>
    <workbookView xWindow="-105" yWindow="0" windowWidth="26010" windowHeight="20985" xr2:uid="{B87DCEB9-034D-4200-9431-9B871E43A9D6}"/>
  </bookViews>
  <sheets>
    <sheet name="Overview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42" i="7" l="1"/>
  <c r="BJ242" i="7"/>
  <c r="BJ253" i="7"/>
  <c r="BJ263" i="7"/>
  <c r="BJ272" i="7"/>
  <c r="BJ275" i="7"/>
  <c r="BJ284" i="7"/>
  <c r="BJ280" i="7" s="1"/>
  <c r="BJ286" i="7"/>
  <c r="BJ291" i="7"/>
  <c r="BJ290" i="7" s="1"/>
  <c r="BR347" i="7"/>
  <c r="BP347" i="7"/>
  <c r="BN347" i="7"/>
  <c r="BL347" i="7"/>
  <c r="BN242" i="7"/>
  <c r="BJ271" i="7" l="1"/>
  <c r="BN223" i="7"/>
  <c r="BF229" i="7" l="1"/>
  <c r="BF226" i="7"/>
  <c r="BF227" i="7"/>
  <c r="BD164" i="7"/>
  <c r="BD227" i="7"/>
  <c r="AZ154" i="7"/>
  <c r="BN222" i="7" l="1"/>
  <c r="X219" i="7"/>
  <c r="Z219" i="7"/>
  <c r="AB219" i="7"/>
  <c r="AD219" i="7"/>
  <c r="AF219" i="7"/>
  <c r="AH219" i="7"/>
  <c r="AJ219" i="7"/>
  <c r="AL219" i="7"/>
  <c r="AN219" i="7"/>
  <c r="AP219" i="7"/>
  <c r="AR219" i="7"/>
  <c r="AT219" i="7"/>
  <c r="AV219" i="7"/>
  <c r="AX219" i="7"/>
  <c r="AZ219" i="7"/>
  <c r="BB219" i="7"/>
  <c r="BD219" i="7"/>
  <c r="BF219" i="7"/>
  <c r="BH219" i="7"/>
  <c r="BJ219" i="7"/>
  <c r="BL219" i="7"/>
  <c r="BN219" i="7"/>
  <c r="BP219" i="7"/>
  <c r="BR219" i="7"/>
  <c r="BR82" i="7" l="1"/>
  <c r="BP82" i="7"/>
  <c r="BN82" i="7"/>
  <c r="BL82" i="7"/>
  <c r="BJ82" i="7"/>
  <c r="BH82" i="7"/>
  <c r="BF82" i="7"/>
  <c r="BD82" i="7"/>
  <c r="BB82" i="7"/>
  <c r="AZ82" i="7"/>
  <c r="AX82" i="7"/>
  <c r="AV82" i="7"/>
  <c r="AT82" i="7"/>
  <c r="AR82" i="7"/>
  <c r="AP82" i="7"/>
  <c r="AN82" i="7"/>
  <c r="AL82" i="7"/>
  <c r="AJ82" i="7"/>
  <c r="AH82" i="7"/>
  <c r="AF82" i="7"/>
  <c r="AD82" i="7"/>
  <c r="AB82" i="7"/>
  <c r="Z82" i="7"/>
  <c r="X82" i="7"/>
  <c r="X218" i="7"/>
  <c r="X217" i="7" s="1"/>
  <c r="Z218" i="7"/>
  <c r="Z217" i="7" s="1"/>
  <c r="AB218" i="7"/>
  <c r="AB217" i="7" s="1"/>
  <c r="AD218" i="7"/>
  <c r="AD217" i="7" s="1"/>
  <c r="AF218" i="7"/>
  <c r="AF217" i="7" s="1"/>
  <c r="AH218" i="7"/>
  <c r="AJ221" i="7"/>
  <c r="AJ218" i="7"/>
  <c r="AJ217" i="7" s="1"/>
  <c r="AL221" i="7"/>
  <c r="AL218" i="7"/>
  <c r="AN221" i="7"/>
  <c r="AN218" i="7"/>
  <c r="AP221" i="7"/>
  <c r="AP218" i="7"/>
  <c r="AR218" i="7"/>
  <c r="AT218" i="7"/>
  <c r="AV218" i="7"/>
  <c r="AX218" i="7"/>
  <c r="AZ218" i="7"/>
  <c r="BB218" i="7"/>
  <c r="BD218" i="7"/>
  <c r="BE221" i="7"/>
  <c r="BF218" i="7"/>
  <c r="BH218" i="7"/>
  <c r="BJ218" i="7"/>
  <c r="BL218" i="7"/>
  <c r="BN221" i="7"/>
  <c r="BN218" i="7"/>
  <c r="BP221" i="7"/>
  <c r="BP218" i="7"/>
  <c r="BP217" i="7" s="1"/>
  <c r="BR221" i="7"/>
  <c r="BR218" i="7"/>
  <c r="AV361" i="7"/>
  <c r="AX361" i="7"/>
  <c r="AZ361" i="7"/>
  <c r="BB361" i="7"/>
  <c r="BD361" i="7"/>
  <c r="BR361" i="7"/>
  <c r="BP361" i="7"/>
  <c r="BN361" i="7"/>
  <c r="BL361" i="7"/>
  <c r="BJ361" i="7"/>
  <c r="BH361" i="7"/>
  <c r="BF361" i="7"/>
  <c r="T140" i="7"/>
  <c r="V140" i="7"/>
  <c r="X140" i="7"/>
  <c r="Z140" i="7"/>
  <c r="T123" i="7"/>
  <c r="V123" i="7"/>
  <c r="X123" i="7"/>
  <c r="Z123" i="7"/>
  <c r="AB140" i="7"/>
  <c r="AD140" i="7"/>
  <c r="AF140" i="7"/>
  <c r="AH140" i="7"/>
  <c r="AJ140" i="7"/>
  <c r="AL140" i="7"/>
  <c r="AN140" i="7"/>
  <c r="AP140" i="7"/>
  <c r="AR140" i="7"/>
  <c r="BR140" i="7"/>
  <c r="BP140" i="7"/>
  <c r="BN140" i="7"/>
  <c r="BL140" i="7"/>
  <c r="BJ140" i="7"/>
  <c r="BH140" i="7"/>
  <c r="BF140" i="7"/>
  <c r="BD140" i="7"/>
  <c r="BB140" i="7"/>
  <c r="AZ140" i="7"/>
  <c r="AX140" i="7"/>
  <c r="AV140" i="7"/>
  <c r="AT140" i="7"/>
  <c r="A137" i="7"/>
  <c r="A132" i="7"/>
  <c r="A127" i="7"/>
  <c r="AX125" i="7"/>
  <c r="AV125" i="7"/>
  <c r="AT125" i="7"/>
  <c r="AR125" i="7"/>
  <c r="AP125" i="7"/>
  <c r="AN125" i="7"/>
  <c r="BR123" i="7"/>
  <c r="BP123" i="7"/>
  <c r="BL123" i="7"/>
  <c r="BJ123" i="7"/>
  <c r="BF123" i="7"/>
  <c r="BB123" i="7"/>
  <c r="AZ123" i="7"/>
  <c r="AX123" i="7"/>
  <c r="AT123" i="7"/>
  <c r="AR123" i="7"/>
  <c r="AP123" i="7"/>
  <c r="AN123" i="7"/>
  <c r="AL123" i="7"/>
  <c r="AJ123" i="7"/>
  <c r="AH123" i="7"/>
  <c r="AF123" i="7"/>
  <c r="AD123" i="7"/>
  <c r="AB123" i="7"/>
  <c r="A120" i="7"/>
  <c r="A115" i="7"/>
  <c r="A110" i="7"/>
  <c r="AX197" i="7"/>
  <c r="AV197" i="7"/>
  <c r="AT197" i="7"/>
  <c r="AR197" i="7"/>
  <c r="AP197" i="7"/>
  <c r="AN197" i="7"/>
  <c r="AX108" i="7"/>
  <c r="AV108" i="7"/>
  <c r="AT108" i="7"/>
  <c r="AR108" i="7"/>
  <c r="AP108" i="7"/>
  <c r="AN108" i="7"/>
  <c r="AL142" i="7"/>
  <c r="AJ142" i="7"/>
  <c r="AH142" i="7"/>
  <c r="AF142" i="7"/>
  <c r="AD142" i="7"/>
  <c r="AB142" i="7"/>
  <c r="Z142" i="7"/>
  <c r="X142" i="7"/>
  <c r="V142" i="7"/>
  <c r="T142" i="7"/>
  <c r="AX91" i="7"/>
  <c r="AX142" i="7" s="1"/>
  <c r="AV91" i="7"/>
  <c r="AV142" i="7" s="1"/>
  <c r="AT91" i="7"/>
  <c r="AT142" i="7" s="1"/>
  <c r="AR91" i="7"/>
  <c r="AR142" i="7" s="1"/>
  <c r="AP91" i="7"/>
  <c r="AP142" i="7" s="1"/>
  <c r="AN91" i="7"/>
  <c r="AN142" i="7" s="1"/>
  <c r="T443" i="7"/>
  <c r="V443" i="7"/>
  <c r="T364" i="7"/>
  <c r="V364" i="7"/>
  <c r="X364" i="7"/>
  <c r="Z364" i="7"/>
  <c r="AB364" i="7"/>
  <c r="AD364" i="7"/>
  <c r="AF364" i="7"/>
  <c r="AH364" i="7"/>
  <c r="AJ364" i="7"/>
  <c r="AL364" i="7"/>
  <c r="AN364" i="7"/>
  <c r="AP364" i="7"/>
  <c r="AR364" i="7"/>
  <c r="T453" i="7"/>
  <c r="V453" i="7"/>
  <c r="X453" i="7"/>
  <c r="Z453" i="7"/>
  <c r="AP217" i="7" l="1"/>
  <c r="BN217" i="7"/>
  <c r="AN217" i="7"/>
  <c r="AL217" i="7"/>
  <c r="BR217" i="7"/>
  <c r="T486" i="7"/>
  <c r="V486" i="7"/>
  <c r="X486" i="7"/>
  <c r="Z486" i="7"/>
  <c r="AB486" i="7"/>
  <c r="AD486" i="7"/>
  <c r="AF486" i="7"/>
  <c r="AH486" i="7"/>
  <c r="AJ486" i="7"/>
  <c r="AL486" i="7"/>
  <c r="AN486" i="7"/>
  <c r="AP486" i="7"/>
  <c r="AR486" i="7"/>
  <c r="AT486" i="7"/>
  <c r="AV486" i="7"/>
  <c r="AX486" i="7"/>
  <c r="AZ486" i="7"/>
  <c r="BB486" i="7"/>
  <c r="BD486" i="7"/>
  <c r="BF486" i="7"/>
  <c r="AD8" i="7"/>
  <c r="AD7" i="7" s="1"/>
  <c r="AD16" i="7"/>
  <c r="AD27" i="7"/>
  <c r="AD21" i="7" s="1"/>
  <c r="AD45" i="7"/>
  <c r="AD41" i="7" s="1"/>
  <c r="AD58" i="7"/>
  <c r="AD150" i="7"/>
  <c r="AD170" i="7"/>
  <c r="AD180" i="7"/>
  <c r="AD177" i="7" s="1"/>
  <c r="AD190" i="7"/>
  <c r="AD235" i="7"/>
  <c r="AD242" i="7"/>
  <c r="AD247" i="7"/>
  <c r="AD248" i="7"/>
  <c r="AD249" i="7"/>
  <c r="AD253" i="7"/>
  <c r="AD263" i="7"/>
  <c r="AD272" i="7"/>
  <c r="AD275" i="7"/>
  <c r="AD280" i="7"/>
  <c r="AD286" i="7"/>
  <c r="AD291" i="7"/>
  <c r="AD290" i="7" s="1"/>
  <c r="AD302" i="7"/>
  <c r="AD305" i="7"/>
  <c r="AD308" i="7"/>
  <c r="AD311" i="7"/>
  <c r="AD314" i="7"/>
  <c r="AD317" i="7"/>
  <c r="AD320" i="7"/>
  <c r="AD323" i="7"/>
  <c r="AD326" i="7"/>
  <c r="AD329" i="7"/>
  <c r="AD333" i="7"/>
  <c r="AD350" i="7"/>
  <c r="AD356" i="7"/>
  <c r="AD360" i="7"/>
  <c r="AD383" i="7"/>
  <c r="AD401" i="7"/>
  <c r="AD400" i="7" s="1"/>
  <c r="AD407" i="7"/>
  <c r="AD410" i="7"/>
  <c r="AD413" i="7"/>
  <c r="AD416" i="7"/>
  <c r="AD419" i="7"/>
  <c r="AD422" i="7"/>
  <c r="AD429" i="7"/>
  <c r="AD431" i="7"/>
  <c r="AD434" i="7"/>
  <c r="AD437" i="7"/>
  <c r="AD443" i="7"/>
  <c r="AD454" i="7"/>
  <c r="AD453" i="7" s="1"/>
  <c r="AD458" i="7"/>
  <c r="AD457" i="7" s="1"/>
  <c r="AD461" i="7"/>
  <c r="AD463" i="7"/>
  <c r="AD465" i="7"/>
  <c r="AD469" i="7"/>
  <c r="AD472" i="7"/>
  <c r="AD478" i="7"/>
  <c r="T478" i="7"/>
  <c r="V478" i="7"/>
  <c r="X478" i="7"/>
  <c r="Z478" i="7"/>
  <c r="AB478" i="7"/>
  <c r="AF478" i="7"/>
  <c r="AH478" i="7"/>
  <c r="AJ478" i="7"/>
  <c r="AL478" i="7"/>
  <c r="AP478" i="7"/>
  <c r="AR478" i="7"/>
  <c r="T472" i="7"/>
  <c r="V472" i="7"/>
  <c r="X472" i="7"/>
  <c r="Z472" i="7"/>
  <c r="AB472" i="7"/>
  <c r="AF472" i="7"/>
  <c r="AH472" i="7"/>
  <c r="AJ472" i="7"/>
  <c r="AL472" i="7"/>
  <c r="AN472" i="7"/>
  <c r="AV472" i="7"/>
  <c r="AX472" i="7"/>
  <c r="T469" i="7"/>
  <c r="V469" i="7"/>
  <c r="X469" i="7"/>
  <c r="Z469" i="7"/>
  <c r="AB469" i="7"/>
  <c r="AF469" i="7"/>
  <c r="AH469" i="7"/>
  <c r="AJ469" i="7"/>
  <c r="AL469" i="7"/>
  <c r="AN469" i="7"/>
  <c r="AP469" i="7"/>
  <c r="AR469" i="7"/>
  <c r="AT469" i="7"/>
  <c r="AV469" i="7"/>
  <c r="AX469" i="7"/>
  <c r="AZ469" i="7"/>
  <c r="BB469" i="7"/>
  <c r="BD469" i="7"/>
  <c r="BF469" i="7"/>
  <c r="V461" i="7"/>
  <c r="T461" i="7"/>
  <c r="X461" i="7"/>
  <c r="Z461" i="7"/>
  <c r="AB461" i="7"/>
  <c r="AF461" i="7"/>
  <c r="AH461" i="7"/>
  <c r="AJ461" i="7"/>
  <c r="AL461" i="7"/>
  <c r="AN461" i="7"/>
  <c r="AP461" i="7"/>
  <c r="AR461" i="7"/>
  <c r="AT461" i="7"/>
  <c r="AV461" i="7"/>
  <c r="AX461" i="7"/>
  <c r="AZ461" i="7"/>
  <c r="BB461" i="7"/>
  <c r="BD461" i="7"/>
  <c r="T465" i="7"/>
  <c r="T463" i="7"/>
  <c r="V465" i="7"/>
  <c r="V463" i="7"/>
  <c r="X465" i="7"/>
  <c r="X463" i="7"/>
  <c r="Z465" i="7"/>
  <c r="Z463" i="7"/>
  <c r="AB465" i="7"/>
  <c r="AB463" i="7"/>
  <c r="AF465" i="7"/>
  <c r="AF463" i="7"/>
  <c r="AH465" i="7"/>
  <c r="AH463" i="7"/>
  <c r="AJ465" i="7"/>
  <c r="AJ463" i="7"/>
  <c r="AL465" i="7"/>
  <c r="AL463" i="7"/>
  <c r="AN465" i="7"/>
  <c r="AN463" i="7"/>
  <c r="AP465" i="7"/>
  <c r="AP463" i="7"/>
  <c r="AR465" i="7"/>
  <c r="AR463" i="7"/>
  <c r="AT465" i="7"/>
  <c r="AT463" i="7"/>
  <c r="AV465" i="7"/>
  <c r="AV463" i="7"/>
  <c r="AX465" i="7"/>
  <c r="AX463" i="7"/>
  <c r="AZ465" i="7"/>
  <c r="AZ463" i="7"/>
  <c r="BB465" i="7"/>
  <c r="BB463" i="7"/>
  <c r="BD465" i="7"/>
  <c r="BD463" i="7"/>
  <c r="BF465" i="7"/>
  <c r="BF463" i="7"/>
  <c r="BF461" i="7"/>
  <c r="T458" i="7"/>
  <c r="T457" i="7" s="1"/>
  <c r="V458" i="7"/>
  <c r="V457" i="7" s="1"/>
  <c r="X458" i="7"/>
  <c r="X457" i="7" s="1"/>
  <c r="Z458" i="7"/>
  <c r="Z457" i="7" s="1"/>
  <c r="AB458" i="7"/>
  <c r="AB457" i="7" s="1"/>
  <c r="AF458" i="7"/>
  <c r="AF457" i="7" s="1"/>
  <c r="AH458" i="7"/>
  <c r="AH457" i="7" s="1"/>
  <c r="AJ458" i="7"/>
  <c r="AJ457" i="7" s="1"/>
  <c r="AL458" i="7"/>
  <c r="AL457" i="7" s="1"/>
  <c r="AN458" i="7"/>
  <c r="AN457" i="7" s="1"/>
  <c r="AP458" i="7"/>
  <c r="AP457" i="7" s="1"/>
  <c r="AR458" i="7"/>
  <c r="AR457" i="7" s="1"/>
  <c r="AT458" i="7"/>
  <c r="AT457" i="7" s="1"/>
  <c r="AV458" i="7"/>
  <c r="AV457" i="7" s="1"/>
  <c r="AX458" i="7"/>
  <c r="AX457" i="7" s="1"/>
  <c r="AZ458" i="7"/>
  <c r="AZ457" i="7" s="1"/>
  <c r="BB458" i="7"/>
  <c r="BB457" i="7" s="1"/>
  <c r="BD458" i="7"/>
  <c r="BD457" i="7" s="1"/>
  <c r="BF458" i="7"/>
  <c r="BF457" i="7" s="1"/>
  <c r="BR458" i="7"/>
  <c r="BR457" i="7" s="1"/>
  <c r="BP458" i="7"/>
  <c r="BP457" i="7" s="1"/>
  <c r="BN458" i="7"/>
  <c r="BN457" i="7" s="1"/>
  <c r="BL458" i="7"/>
  <c r="BL457" i="7" s="1"/>
  <c r="BJ458" i="7"/>
  <c r="BJ457" i="7" s="1"/>
  <c r="BR461" i="7"/>
  <c r="BP461" i="7"/>
  <c r="BN461" i="7"/>
  <c r="BL461" i="7"/>
  <c r="BJ461" i="7"/>
  <c r="BR463" i="7"/>
  <c r="BP463" i="7"/>
  <c r="BN463" i="7"/>
  <c r="BL463" i="7"/>
  <c r="BJ463" i="7"/>
  <c r="BR465" i="7"/>
  <c r="BP465" i="7"/>
  <c r="BN465" i="7"/>
  <c r="BL465" i="7"/>
  <c r="BJ465" i="7"/>
  <c r="BP469" i="7"/>
  <c r="BR469" i="7"/>
  <c r="BN469" i="7"/>
  <c r="BL469" i="7"/>
  <c r="BJ469" i="7"/>
  <c r="BR486" i="7"/>
  <c r="BP486" i="7"/>
  <c r="BN486" i="7"/>
  <c r="BL486" i="7"/>
  <c r="BJ486" i="7"/>
  <c r="BH486" i="7"/>
  <c r="BH469" i="7"/>
  <c r="BH465" i="7"/>
  <c r="BH463" i="7"/>
  <c r="BH461" i="7"/>
  <c r="BD453" i="7"/>
  <c r="BF453" i="7"/>
  <c r="BR453" i="7"/>
  <c r="BP453" i="7"/>
  <c r="BN453" i="7"/>
  <c r="BL453" i="7"/>
  <c r="BJ453" i="7"/>
  <c r="X443" i="7"/>
  <c r="Z443" i="7"/>
  <c r="AB443" i="7"/>
  <c r="AF443" i="7"/>
  <c r="AH443" i="7"/>
  <c r="AJ443" i="7"/>
  <c r="AL443" i="7"/>
  <c r="AP443" i="7"/>
  <c r="AR443" i="7"/>
  <c r="BF443" i="7"/>
  <c r="BR443" i="7"/>
  <c r="BP443" i="7"/>
  <c r="BN443" i="7"/>
  <c r="BL443" i="7"/>
  <c r="BJ443" i="7"/>
  <c r="T437" i="7"/>
  <c r="T434" i="7"/>
  <c r="T431" i="7"/>
  <c r="V437" i="7"/>
  <c r="V434" i="7"/>
  <c r="V431" i="7"/>
  <c r="X437" i="7"/>
  <c r="X434" i="7"/>
  <c r="X431" i="7"/>
  <c r="Z437" i="7"/>
  <c r="Z434" i="7"/>
  <c r="Z431" i="7"/>
  <c r="AB437" i="7"/>
  <c r="AB434" i="7"/>
  <c r="AB431" i="7"/>
  <c r="AF437" i="7"/>
  <c r="AF434" i="7"/>
  <c r="AF431" i="7"/>
  <c r="AH437" i="7"/>
  <c r="AH434" i="7"/>
  <c r="AH431" i="7"/>
  <c r="AJ437" i="7"/>
  <c r="AJ434" i="7"/>
  <c r="AJ431" i="7"/>
  <c r="AL437" i="7"/>
  <c r="AL434" i="7"/>
  <c r="AL431" i="7"/>
  <c r="AN437" i="7"/>
  <c r="AN434" i="7"/>
  <c r="AN431" i="7"/>
  <c r="AP437" i="7"/>
  <c r="AP434" i="7"/>
  <c r="AP431" i="7"/>
  <c r="AR437" i="7"/>
  <c r="AR434" i="7"/>
  <c r="AR431" i="7"/>
  <c r="AT437" i="7"/>
  <c r="AT434" i="7"/>
  <c r="AT431" i="7"/>
  <c r="AV437" i="7"/>
  <c r="AV434" i="7"/>
  <c r="AV431" i="7"/>
  <c r="AX437" i="7"/>
  <c r="AX434" i="7"/>
  <c r="AX431" i="7"/>
  <c r="AZ437" i="7"/>
  <c r="AZ434" i="7"/>
  <c r="AZ431" i="7"/>
  <c r="BB434" i="7"/>
  <c r="BB431" i="7"/>
  <c r="BD434" i="7"/>
  <c r="BD431" i="7"/>
  <c r="BF437" i="7"/>
  <c r="BF434" i="7"/>
  <c r="BF431" i="7"/>
  <c r="BR437" i="7"/>
  <c r="BR434" i="7"/>
  <c r="BR431" i="7"/>
  <c r="BP437" i="7"/>
  <c r="BP434" i="7"/>
  <c r="BP431" i="7"/>
  <c r="BN437" i="7"/>
  <c r="BN434" i="7"/>
  <c r="BN431" i="7"/>
  <c r="BL437" i="7"/>
  <c r="BL434" i="7"/>
  <c r="BL431" i="7"/>
  <c r="BJ437" i="7"/>
  <c r="T407" i="7"/>
  <c r="V407" i="7"/>
  <c r="X407" i="7"/>
  <c r="Z407" i="7"/>
  <c r="AB407" i="7"/>
  <c r="AF407" i="7"/>
  <c r="AH407" i="7"/>
  <c r="AJ407" i="7"/>
  <c r="AL407" i="7"/>
  <c r="AN407" i="7"/>
  <c r="AP407" i="7"/>
  <c r="AR407" i="7"/>
  <c r="AT407" i="7"/>
  <c r="AV407" i="7"/>
  <c r="AX407" i="7"/>
  <c r="AZ407" i="7"/>
  <c r="BB407" i="7"/>
  <c r="BD407" i="7"/>
  <c r="BF407" i="7"/>
  <c r="BR407" i="7"/>
  <c r="BP407" i="7"/>
  <c r="BN407" i="7"/>
  <c r="BL407" i="7"/>
  <c r="BJ407" i="7"/>
  <c r="BH453" i="7"/>
  <c r="BH443" i="7"/>
  <c r="BH437" i="7"/>
  <c r="BH434" i="7"/>
  <c r="BH431" i="7"/>
  <c r="BH422" i="7"/>
  <c r="BJ434" i="7"/>
  <c r="BJ431" i="7"/>
  <c r="T429" i="7"/>
  <c r="V429" i="7"/>
  <c r="X429" i="7"/>
  <c r="Z429" i="7"/>
  <c r="AB429" i="7"/>
  <c r="AF429" i="7"/>
  <c r="AH429" i="7"/>
  <c r="AJ429" i="7"/>
  <c r="AL429" i="7"/>
  <c r="AN429" i="7"/>
  <c r="AP429" i="7"/>
  <c r="AR429" i="7"/>
  <c r="AT429" i="7"/>
  <c r="AV429" i="7"/>
  <c r="AX429" i="7"/>
  <c r="AZ429" i="7"/>
  <c r="BB429" i="7"/>
  <c r="BD429" i="7"/>
  <c r="BF429" i="7"/>
  <c r="BH429" i="7"/>
  <c r="BR429" i="7"/>
  <c r="BP429" i="7"/>
  <c r="BN429" i="7"/>
  <c r="BL429" i="7"/>
  <c r="BJ429" i="7"/>
  <c r="T422" i="7"/>
  <c r="V422" i="7"/>
  <c r="X422" i="7"/>
  <c r="Z422" i="7"/>
  <c r="AF422" i="7"/>
  <c r="AH422" i="7"/>
  <c r="AL422" i="7"/>
  <c r="AN422" i="7"/>
  <c r="AP422" i="7"/>
  <c r="AR422" i="7"/>
  <c r="AT422" i="7"/>
  <c r="AV422" i="7"/>
  <c r="AX422" i="7"/>
  <c r="AZ422" i="7"/>
  <c r="BB422" i="7"/>
  <c r="BD422" i="7"/>
  <c r="BF422" i="7"/>
  <c r="BR422" i="7"/>
  <c r="BP422" i="7"/>
  <c r="BN422" i="7"/>
  <c r="BL422" i="7"/>
  <c r="BJ422" i="7"/>
  <c r="T383" i="7"/>
  <c r="V383" i="7"/>
  <c r="X383" i="7"/>
  <c r="Z383" i="7"/>
  <c r="T360" i="7"/>
  <c r="T350" i="7"/>
  <c r="V350" i="7"/>
  <c r="X350" i="7"/>
  <c r="Z350" i="7"/>
  <c r="T333" i="7"/>
  <c r="V333" i="7"/>
  <c r="X333" i="7"/>
  <c r="Z333" i="7"/>
  <c r="T400" i="7"/>
  <c r="V400" i="7"/>
  <c r="X400" i="7"/>
  <c r="Z400" i="7"/>
  <c r="AB400" i="7"/>
  <c r="BR400" i="7"/>
  <c r="BP400" i="7"/>
  <c r="BN400" i="7"/>
  <c r="BL400" i="7"/>
  <c r="BJ400" i="7"/>
  <c r="BH400" i="7"/>
  <c r="V360" i="7"/>
  <c r="X360" i="7"/>
  <c r="Z360" i="7"/>
  <c r="AB360" i="7"/>
  <c r="AF360" i="7"/>
  <c r="AH360" i="7"/>
  <c r="AJ360" i="7"/>
  <c r="AL360" i="7"/>
  <c r="AN360" i="7"/>
  <c r="AP360" i="7"/>
  <c r="AR360" i="7"/>
  <c r="AT360" i="7"/>
  <c r="AV360" i="7"/>
  <c r="AX360" i="7"/>
  <c r="AZ360" i="7"/>
  <c r="BB360" i="7"/>
  <c r="BD360" i="7"/>
  <c r="BF360" i="7"/>
  <c r="BR360" i="7"/>
  <c r="BP360" i="7"/>
  <c r="BN360" i="7"/>
  <c r="BL360" i="7"/>
  <c r="BJ360" i="7"/>
  <c r="BH360" i="7"/>
  <c r="T356" i="7"/>
  <c r="V356" i="7"/>
  <c r="X356" i="7"/>
  <c r="Z356" i="7"/>
  <c r="AB356" i="7"/>
  <c r="AF356" i="7"/>
  <c r="AH356" i="7"/>
  <c r="AJ356" i="7"/>
  <c r="AL356" i="7"/>
  <c r="AN356" i="7"/>
  <c r="AP356" i="7"/>
  <c r="AR356" i="7"/>
  <c r="AT356" i="7"/>
  <c r="AV356" i="7"/>
  <c r="AX356" i="7"/>
  <c r="AZ356" i="7"/>
  <c r="BB356" i="7"/>
  <c r="BD356" i="7"/>
  <c r="BF356" i="7"/>
  <c r="BR356" i="7"/>
  <c r="BP356" i="7"/>
  <c r="BN356" i="7"/>
  <c r="BL356" i="7"/>
  <c r="BJ356" i="7"/>
  <c r="BH356" i="7"/>
  <c r="T302" i="7"/>
  <c r="V302" i="7"/>
  <c r="X302" i="7"/>
  <c r="Z302" i="7"/>
  <c r="AB302" i="7"/>
  <c r="AH302" i="7"/>
  <c r="AJ302" i="7"/>
  <c r="AL302" i="7"/>
  <c r="AN302" i="7"/>
  <c r="AP302" i="7"/>
  <c r="AR302" i="7"/>
  <c r="AT302" i="7"/>
  <c r="AV302" i="7"/>
  <c r="AX302" i="7"/>
  <c r="AZ302" i="7"/>
  <c r="BB302" i="7"/>
  <c r="BD302" i="7"/>
  <c r="BF302" i="7"/>
  <c r="BR302" i="7"/>
  <c r="BP302" i="7"/>
  <c r="BN302" i="7"/>
  <c r="BL302" i="7"/>
  <c r="BJ302" i="7"/>
  <c r="AB383" i="7"/>
  <c r="AF383" i="7"/>
  <c r="AH383" i="7"/>
  <c r="AJ383" i="7"/>
  <c r="AL383" i="7"/>
  <c r="AP383" i="7"/>
  <c r="AR383" i="7"/>
  <c r="BB291" i="7"/>
  <c r="BB290" i="7" s="1"/>
  <c r="T272" i="7"/>
  <c r="T253" i="7"/>
  <c r="V253" i="7"/>
  <c r="X253" i="7"/>
  <c r="Z253" i="7"/>
  <c r="AB253" i="7"/>
  <c r="AF253" i="7"/>
  <c r="AH253" i="7"/>
  <c r="AJ253" i="7"/>
  <c r="AL253" i="7"/>
  <c r="AN253" i="7"/>
  <c r="AP253" i="7"/>
  <c r="AR253" i="7"/>
  <c r="AT253" i="7"/>
  <c r="AV253" i="7"/>
  <c r="BR253" i="7"/>
  <c r="BP253" i="7"/>
  <c r="BN253" i="7"/>
  <c r="BL253" i="7"/>
  <c r="BH253" i="7"/>
  <c r="BF253" i="7"/>
  <c r="BD253" i="7"/>
  <c r="AZ253" i="7"/>
  <c r="T291" i="7"/>
  <c r="T290" i="7" s="1"/>
  <c r="V291" i="7"/>
  <c r="V290" i="7" s="1"/>
  <c r="X291" i="7"/>
  <c r="X290" i="7" s="1"/>
  <c r="Z291" i="7"/>
  <c r="Z290" i="7" s="1"/>
  <c r="AB291" i="7"/>
  <c r="AB290" i="7" s="1"/>
  <c r="AF291" i="7"/>
  <c r="AF290" i="7" s="1"/>
  <c r="AH291" i="7"/>
  <c r="AH290" i="7" s="1"/>
  <c r="AJ291" i="7"/>
  <c r="AJ290" i="7" s="1"/>
  <c r="AL291" i="7"/>
  <c r="AL290" i="7" s="1"/>
  <c r="AN291" i="7"/>
  <c r="AN290" i="7" s="1"/>
  <c r="AP291" i="7"/>
  <c r="AP290" i="7" s="1"/>
  <c r="AZ291" i="7"/>
  <c r="AZ290" i="7" s="1"/>
  <c r="BD291" i="7"/>
  <c r="BD290" i="7" s="1"/>
  <c r="BR291" i="7"/>
  <c r="BR290" i="7" s="1"/>
  <c r="BP291" i="7"/>
  <c r="BN291" i="7"/>
  <c r="BN290" i="7" s="1"/>
  <c r="BL291" i="7"/>
  <c r="BL290" i="7" s="1"/>
  <c r="BF291" i="7"/>
  <c r="BF290" i="7" s="1"/>
  <c r="T286" i="7"/>
  <c r="V286" i="7"/>
  <c r="X286" i="7"/>
  <c r="Z286" i="7"/>
  <c r="AB286" i="7"/>
  <c r="AF286" i="7"/>
  <c r="AH286" i="7"/>
  <c r="AJ286" i="7"/>
  <c r="AL286" i="7"/>
  <c r="AN286" i="7"/>
  <c r="AP286" i="7"/>
  <c r="AR286" i="7"/>
  <c r="AT286" i="7"/>
  <c r="AV286" i="7"/>
  <c r="AX286" i="7"/>
  <c r="AZ286" i="7"/>
  <c r="BB286" i="7"/>
  <c r="BD286" i="7"/>
  <c r="BF286" i="7"/>
  <c r="BR286" i="7"/>
  <c r="BP286" i="7"/>
  <c r="BN286" i="7"/>
  <c r="BL286" i="7"/>
  <c r="T280" i="7"/>
  <c r="V280" i="7"/>
  <c r="X280" i="7"/>
  <c r="Z280" i="7"/>
  <c r="AB280" i="7"/>
  <c r="AF280" i="7"/>
  <c r="AH280" i="7"/>
  <c r="V275" i="7"/>
  <c r="X275" i="7"/>
  <c r="Z275" i="7"/>
  <c r="AB275" i="7"/>
  <c r="AF275" i="7"/>
  <c r="AH275" i="7"/>
  <c r="AJ275" i="7"/>
  <c r="AL275" i="7"/>
  <c r="AN275" i="7"/>
  <c r="AP275" i="7"/>
  <c r="AR275" i="7"/>
  <c r="AT275" i="7"/>
  <c r="AX275" i="7"/>
  <c r="AZ275" i="7"/>
  <c r="BB275" i="7"/>
  <c r="BD275" i="7"/>
  <c r="BF275" i="7"/>
  <c r="BR275" i="7"/>
  <c r="BP275" i="7"/>
  <c r="BN275" i="7"/>
  <c r="BL275" i="7"/>
  <c r="BR272" i="7"/>
  <c r="BP272" i="7"/>
  <c r="BN272" i="7"/>
  <c r="BL272" i="7"/>
  <c r="V272" i="7"/>
  <c r="X272" i="7"/>
  <c r="Z272" i="7"/>
  <c r="AB272" i="7"/>
  <c r="AF272" i="7"/>
  <c r="AH272" i="7"/>
  <c r="AJ272" i="7"/>
  <c r="AL272" i="7"/>
  <c r="AN272" i="7"/>
  <c r="AP272" i="7"/>
  <c r="AR272" i="7"/>
  <c r="AT272" i="7"/>
  <c r="AV272" i="7"/>
  <c r="AX272" i="7"/>
  <c r="AZ272" i="7"/>
  <c r="BB272" i="7"/>
  <c r="BD272" i="7"/>
  <c r="AH266" i="7"/>
  <c r="AV266" i="7"/>
  <c r="AX266" i="7"/>
  <c r="AZ266" i="7"/>
  <c r="BB266" i="7"/>
  <c r="BD266" i="7"/>
  <c r="BF266" i="7"/>
  <c r="T263" i="7"/>
  <c r="V263" i="7"/>
  <c r="X263" i="7"/>
  <c r="Z263" i="7"/>
  <c r="AB263" i="7"/>
  <c r="AF263" i="7"/>
  <c r="AH263" i="7"/>
  <c r="AJ263" i="7"/>
  <c r="AL263" i="7"/>
  <c r="AN263" i="7"/>
  <c r="AP263" i="7"/>
  <c r="AR263" i="7"/>
  <c r="AT263" i="7"/>
  <c r="AV263" i="7"/>
  <c r="AX263" i="7"/>
  <c r="AZ263" i="7"/>
  <c r="BB263" i="7"/>
  <c r="BD263" i="7"/>
  <c r="BF263" i="7"/>
  <c r="BH263" i="7"/>
  <c r="BR263" i="7"/>
  <c r="BP263" i="7"/>
  <c r="BN263" i="7"/>
  <c r="BL263" i="7"/>
  <c r="T237" i="7"/>
  <c r="V237" i="7"/>
  <c r="X237" i="7"/>
  <c r="Z237" i="7"/>
  <c r="AB237" i="7"/>
  <c r="AF237" i="7"/>
  <c r="AH237" i="7"/>
  <c r="AJ237" i="7"/>
  <c r="AL237" i="7"/>
  <c r="AN237" i="7"/>
  <c r="AP237" i="7"/>
  <c r="AR237" i="7"/>
  <c r="AV237" i="7"/>
  <c r="T235" i="7"/>
  <c r="V235" i="7"/>
  <c r="X235" i="7"/>
  <c r="Z235" i="7"/>
  <c r="AB235" i="7"/>
  <c r="AF235" i="7"/>
  <c r="AH235" i="7"/>
  <c r="AJ235" i="7"/>
  <c r="AL235" i="7"/>
  <c r="AN235" i="7"/>
  <c r="AP235" i="7"/>
  <c r="AR235" i="7"/>
  <c r="AT235" i="7"/>
  <c r="AV235" i="7"/>
  <c r="AX235" i="7"/>
  <c r="AZ235" i="7"/>
  <c r="BB235" i="7"/>
  <c r="BD235" i="7"/>
  <c r="BF235" i="7"/>
  <c r="BR235" i="7"/>
  <c r="BP235" i="7"/>
  <c r="BN235" i="7"/>
  <c r="BL235" i="7"/>
  <c r="BJ235" i="7"/>
  <c r="T217" i="7"/>
  <c r="V217" i="7"/>
  <c r="BJ223" i="7"/>
  <c r="BJ221" i="7" s="1"/>
  <c r="BJ217" i="7" s="1"/>
  <c r="BJ238" i="7"/>
  <c r="BJ239" i="7"/>
  <c r="BJ241" i="7"/>
  <c r="BL222" i="7"/>
  <c r="BL223" i="7"/>
  <c r="BL238" i="7"/>
  <c r="BL239" i="7"/>
  <c r="BL241" i="7"/>
  <c r="BL244" i="7"/>
  <c r="BL245" i="7"/>
  <c r="BL284" i="7"/>
  <c r="BL280" i="7" s="1"/>
  <c r="BN238" i="7"/>
  <c r="BN239" i="7"/>
  <c r="BN284" i="7"/>
  <c r="BN280" i="7" s="1"/>
  <c r="BP238" i="7"/>
  <c r="BP239" i="7"/>
  <c r="BP284" i="7"/>
  <c r="BP280" i="7" s="1"/>
  <c r="BH222" i="7"/>
  <c r="BH221" i="7" s="1"/>
  <c r="BH217" i="7" s="1"/>
  <c r="BH224" i="7"/>
  <c r="BH226" i="7"/>
  <c r="BH235" i="7"/>
  <c r="BH238" i="7"/>
  <c r="BH239" i="7"/>
  <c r="BH241" i="7"/>
  <c r="BH243" i="7"/>
  <c r="BH246" i="7"/>
  <c r="BH248" i="7"/>
  <c r="BH250" i="7"/>
  <c r="BH266" i="7"/>
  <c r="BH272" i="7"/>
  <c r="BH275" i="7"/>
  <c r="BH284" i="7"/>
  <c r="BH280" i="7" s="1"/>
  <c r="BH288" i="7"/>
  <c r="BH286" i="7" s="1"/>
  <c r="BH291" i="7"/>
  <c r="BH290" i="7" s="1"/>
  <c r="BF222" i="7"/>
  <c r="BF223" i="7"/>
  <c r="BF224" i="7"/>
  <c r="BF225" i="7"/>
  <c r="BF228" i="7"/>
  <c r="BF230" i="7"/>
  <c r="BF241" i="7"/>
  <c r="BF243" i="7"/>
  <c r="BF246" i="7"/>
  <c r="BF247" i="7"/>
  <c r="BF248" i="7"/>
  <c r="BF250" i="7"/>
  <c r="BF273" i="7"/>
  <c r="BF272" i="7" s="1"/>
  <c r="BF284" i="7"/>
  <c r="BF280" i="7" s="1"/>
  <c r="BD223" i="7"/>
  <c r="BD228" i="7"/>
  <c r="BD229" i="7"/>
  <c r="BD243" i="7"/>
  <c r="BD249" i="7"/>
  <c r="BD241" i="7" s="1"/>
  <c r="BD284" i="7"/>
  <c r="BD285" i="7"/>
  <c r="BB223" i="7"/>
  <c r="BB224" i="7"/>
  <c r="BB227" i="7"/>
  <c r="BB228" i="7"/>
  <c r="BB229" i="7"/>
  <c r="BB230" i="7"/>
  <c r="BB233" i="7"/>
  <c r="BB234" i="7"/>
  <c r="BB241" i="7"/>
  <c r="BB245" i="7"/>
  <c r="BB249" i="7"/>
  <c r="BB251" i="7"/>
  <c r="BB256" i="7"/>
  <c r="BB253" i="7" s="1"/>
  <c r="BB284" i="7"/>
  <c r="BB280" i="7" s="1"/>
  <c r="AZ223" i="7"/>
  <c r="AZ224" i="7"/>
  <c r="AZ225" i="7"/>
  <c r="AZ227" i="7"/>
  <c r="AZ228" i="7"/>
  <c r="AZ241" i="7"/>
  <c r="AZ237" i="7" s="1"/>
  <c r="AZ284" i="7"/>
  <c r="AZ280" i="7" s="1"/>
  <c r="AX222" i="7"/>
  <c r="AX223" i="7"/>
  <c r="AX241" i="7"/>
  <c r="AX237" i="7" s="1"/>
  <c r="AX257" i="7"/>
  <c r="AX256" i="7" s="1"/>
  <c r="AX253" i="7" s="1"/>
  <c r="AX284" i="7"/>
  <c r="AX280" i="7" s="1"/>
  <c r="AX292" i="7"/>
  <c r="AX291" i="7" s="1"/>
  <c r="AX290" i="7" s="1"/>
  <c r="AV222" i="7"/>
  <c r="AV223" i="7"/>
  <c r="AV224" i="7"/>
  <c r="AV225" i="7"/>
  <c r="AV227" i="7"/>
  <c r="AV228" i="7"/>
  <c r="AV229" i="7"/>
  <c r="AV277" i="7"/>
  <c r="AV275" i="7" s="1"/>
  <c r="AV284" i="7"/>
  <c r="AV280" i="7" s="1"/>
  <c r="AV292" i="7"/>
  <c r="AV291" i="7" s="1"/>
  <c r="AV290" i="7" s="1"/>
  <c r="AT223" i="7"/>
  <c r="AT224" i="7"/>
  <c r="AT242" i="7"/>
  <c r="AT243" i="7"/>
  <c r="AT284" i="7"/>
  <c r="AT280" i="7" s="1"/>
  <c r="AT296" i="7"/>
  <c r="AT291" i="7" s="1"/>
  <c r="AT290" i="7" s="1"/>
  <c r="AR222" i="7"/>
  <c r="AR223" i="7"/>
  <c r="AR224" i="7"/>
  <c r="AR225" i="7"/>
  <c r="AR227" i="7"/>
  <c r="AR221" i="7" s="1"/>
  <c r="AR217" i="7" s="1"/>
  <c r="AR284" i="7"/>
  <c r="AR280" i="7" s="1"/>
  <c r="AR296" i="7"/>
  <c r="AR291" i="7" s="1"/>
  <c r="AR290" i="7" s="1"/>
  <c r="AP284" i="7"/>
  <c r="AP280" i="7" s="1"/>
  <c r="AN284" i="7"/>
  <c r="AN280" i="7" s="1"/>
  <c r="AL283" i="7"/>
  <c r="AL280" i="7" s="1"/>
  <c r="AJ283" i="7"/>
  <c r="AJ280" i="7" s="1"/>
  <c r="AH222" i="7"/>
  <c r="AH221" i="7" s="1"/>
  <c r="AH217" i="7" s="1"/>
  <c r="AT221" i="7" l="1"/>
  <c r="AT217" i="7" s="1"/>
  <c r="BL221" i="7"/>
  <c r="BL217" i="7" s="1"/>
  <c r="AX221" i="7"/>
  <c r="AX217" i="7" s="1"/>
  <c r="AX216" i="7" s="1"/>
  <c r="AX200" i="7" s="1"/>
  <c r="BB221" i="7"/>
  <c r="BB217" i="7" s="1"/>
  <c r="BF221" i="7"/>
  <c r="BF217" i="7" s="1"/>
  <c r="AV221" i="7"/>
  <c r="AV217" i="7" s="1"/>
  <c r="AR210" i="7"/>
  <c r="AR203" i="7"/>
  <c r="AL210" i="7"/>
  <c r="AL203" i="7"/>
  <c r="AX203" i="7"/>
  <c r="AX210" i="7"/>
  <c r="AF203" i="7"/>
  <c r="AF210" i="7"/>
  <c r="BJ210" i="7"/>
  <c r="BJ203" i="7"/>
  <c r="BL203" i="7"/>
  <c r="BL210" i="7"/>
  <c r="AT210" i="7"/>
  <c r="AT203" i="7"/>
  <c r="AH203" i="7"/>
  <c r="AH210" i="7"/>
  <c r="T210" i="7"/>
  <c r="T203" i="7"/>
  <c r="BR203" i="7"/>
  <c r="BR210" i="7"/>
  <c r="BN210" i="7"/>
  <c r="BN203" i="7"/>
  <c r="V210" i="7"/>
  <c r="V203" i="7"/>
  <c r="AD203" i="7"/>
  <c r="AD210" i="7"/>
  <c r="BH210" i="7"/>
  <c r="BH203" i="7"/>
  <c r="AZ210" i="7"/>
  <c r="AZ203" i="7"/>
  <c r="AB210" i="7"/>
  <c r="AB203" i="7"/>
  <c r="Z210" i="7"/>
  <c r="Z203" i="7"/>
  <c r="AP210" i="7"/>
  <c r="AP203" i="7"/>
  <c r="AJ210" i="7"/>
  <c r="AJ203" i="7"/>
  <c r="X210" i="7"/>
  <c r="X203" i="7"/>
  <c r="BF210" i="7"/>
  <c r="BF203" i="7"/>
  <c r="AV203" i="7"/>
  <c r="AV210" i="7"/>
  <c r="BB210" i="7"/>
  <c r="BB203" i="7"/>
  <c r="BD210" i="7"/>
  <c r="BD203" i="7"/>
  <c r="AN210" i="7"/>
  <c r="AN203" i="7"/>
  <c r="BP290" i="7"/>
  <c r="AD149" i="7"/>
  <c r="AD271" i="7"/>
  <c r="AD207" i="7" s="1"/>
  <c r="AD237" i="7"/>
  <c r="AD216" i="7" s="1"/>
  <c r="AD301" i="7"/>
  <c r="AD300" i="7" s="1"/>
  <c r="AD201" i="7" s="1"/>
  <c r="AD406" i="7"/>
  <c r="AD405" i="7" s="1"/>
  <c r="AD208" i="7" s="1"/>
  <c r="AD456" i="7"/>
  <c r="AD15" i="7"/>
  <c r="Z456" i="7"/>
  <c r="AL456" i="7"/>
  <c r="AJ456" i="7"/>
  <c r="T456" i="7"/>
  <c r="AB456" i="7"/>
  <c r="V456" i="7"/>
  <c r="X456" i="7"/>
  <c r="AF456" i="7"/>
  <c r="AH456" i="7"/>
  <c r="BD280" i="7"/>
  <c r="BD271" i="7" s="1"/>
  <c r="BD207" i="7" s="1"/>
  <c r="BB271" i="7"/>
  <c r="BB207" i="7" s="1"/>
  <c r="AT237" i="7"/>
  <c r="AR216" i="7"/>
  <c r="AR200" i="7" s="1"/>
  <c r="BP237" i="7"/>
  <c r="BP216" i="7" s="1"/>
  <c r="BP200" i="7" s="1"/>
  <c r="AV216" i="7"/>
  <c r="AV200" i="7" s="1"/>
  <c r="BL237" i="7"/>
  <c r="BF237" i="7"/>
  <c r="BN237" i="7"/>
  <c r="BN216" i="7" s="1"/>
  <c r="BN200" i="7" s="1"/>
  <c r="BJ237" i="7"/>
  <c r="BJ216" i="7" s="1"/>
  <c r="BJ200" i="7" s="1"/>
  <c r="BN271" i="7"/>
  <c r="BN207" i="7" s="1"/>
  <c r="BB237" i="7"/>
  <c r="BL271" i="7"/>
  <c r="BL207" i="7" s="1"/>
  <c r="AZ271" i="7"/>
  <c r="AZ207" i="7" s="1"/>
  <c r="BH237" i="7"/>
  <c r="BD237" i="7"/>
  <c r="AN216" i="7"/>
  <c r="AN200" i="7" s="1"/>
  <c r="V216" i="7"/>
  <c r="V200" i="7" s="1"/>
  <c r="BP271" i="7"/>
  <c r="BP207" i="7" s="1"/>
  <c r="AX271" i="7"/>
  <c r="AX207" i="7" s="1"/>
  <c r="AP271" i="7"/>
  <c r="AP207" i="7" s="1"/>
  <c r="AR271" i="7"/>
  <c r="AR207" i="7" s="1"/>
  <c r="AT271" i="7"/>
  <c r="AT207" i="7" s="1"/>
  <c r="AH271" i="7"/>
  <c r="AH207" i="7" s="1"/>
  <c r="V271" i="7"/>
  <c r="V207" i="7" s="1"/>
  <c r="AL271" i="7"/>
  <c r="AL207" i="7" s="1"/>
  <c r="Z271" i="7"/>
  <c r="Z207" i="7" s="1"/>
  <c r="AJ271" i="7"/>
  <c r="AJ207" i="7" s="1"/>
  <c r="AV271" i="7"/>
  <c r="AV207" i="7" s="1"/>
  <c r="AF271" i="7"/>
  <c r="AF207" i="7" s="1"/>
  <c r="BF271" i="7"/>
  <c r="BF207" i="7" s="1"/>
  <c r="AJ216" i="7"/>
  <c r="AJ200" i="7" s="1"/>
  <c r="Z216" i="7"/>
  <c r="Z200" i="7" s="1"/>
  <c r="AB216" i="7"/>
  <c r="AB200" i="7" s="1"/>
  <c r="AL216" i="7"/>
  <c r="AL200" i="7" s="1"/>
  <c r="AB271" i="7"/>
  <c r="AB207" i="7" s="1"/>
  <c r="AN271" i="7"/>
  <c r="AN207" i="7" s="1"/>
  <c r="BJ207" i="7"/>
  <c r="X271" i="7"/>
  <c r="X207" i="7" s="1"/>
  <c r="T216" i="7"/>
  <c r="T200" i="7" s="1"/>
  <c r="X216" i="7"/>
  <c r="X200" i="7" s="1"/>
  <c r="AF216" i="7"/>
  <c r="AF200" i="7" s="1"/>
  <c r="AP216" i="7"/>
  <c r="AP200" i="7" s="1"/>
  <c r="AH216" i="7"/>
  <c r="AH200" i="7" s="1"/>
  <c r="BH271" i="7"/>
  <c r="BH207" i="7" s="1"/>
  <c r="AD148" i="7" l="1"/>
  <c r="V211" i="7"/>
  <c r="V209" i="7" s="1"/>
  <c r="V204" i="7"/>
  <c r="V202" i="7" s="1"/>
  <c r="AD204" i="7"/>
  <c r="AD202" i="7" s="1"/>
  <c r="AD211" i="7"/>
  <c r="AD209" i="7" s="1"/>
  <c r="AD206" i="7" s="1"/>
  <c r="AD145" i="7" s="1"/>
  <c r="BP210" i="7"/>
  <c r="BP203" i="7"/>
  <c r="AH204" i="7"/>
  <c r="AH202" i="7" s="1"/>
  <c r="AH211" i="7"/>
  <c r="AH209" i="7" s="1"/>
  <c r="AB211" i="7"/>
  <c r="AB209" i="7" s="1"/>
  <c r="AB204" i="7"/>
  <c r="AB202" i="7" s="1"/>
  <c r="T211" i="7"/>
  <c r="T209" i="7" s="1"/>
  <c r="T204" i="7"/>
  <c r="T202" i="7" s="1"/>
  <c r="AJ211" i="7"/>
  <c r="AJ209" i="7" s="1"/>
  <c r="AJ204" i="7"/>
  <c r="AJ202" i="7" s="1"/>
  <c r="AF204" i="7"/>
  <c r="AF202" i="7" s="1"/>
  <c r="AF211" i="7"/>
  <c r="AF209" i="7" s="1"/>
  <c r="AL211" i="7"/>
  <c r="AL209" i="7" s="1"/>
  <c r="AL204" i="7"/>
  <c r="AL202" i="7" s="1"/>
  <c r="X211" i="7"/>
  <c r="X209" i="7" s="1"/>
  <c r="X204" i="7"/>
  <c r="X202" i="7" s="1"/>
  <c r="Z211" i="7"/>
  <c r="Z209" i="7" s="1"/>
  <c r="Z204" i="7"/>
  <c r="Z202" i="7" s="1"/>
  <c r="AD215" i="7"/>
  <c r="AD200" i="7"/>
  <c r="AD299" i="7"/>
  <c r="AT216" i="7"/>
  <c r="BL216" i="7"/>
  <c r="BH216" i="7"/>
  <c r="BB216" i="7"/>
  <c r="BF216" i="7"/>
  <c r="AF215" i="7"/>
  <c r="BN215" i="7"/>
  <c r="AV215" i="7"/>
  <c r="AB215" i="7"/>
  <c r="V215" i="7"/>
  <c r="AP215" i="7"/>
  <c r="AX215" i="7"/>
  <c r="AR215" i="7"/>
  <c r="AN215" i="7"/>
  <c r="AJ215" i="7"/>
  <c r="Z215" i="7"/>
  <c r="BP215" i="7"/>
  <c r="AH215" i="7"/>
  <c r="AL215" i="7"/>
  <c r="BJ215" i="7"/>
  <c r="X215" i="7"/>
  <c r="AD199" i="7" l="1"/>
  <c r="AD144" i="7" s="1"/>
  <c r="BH215" i="7"/>
  <c r="BH200" i="7"/>
  <c r="BL215" i="7"/>
  <c r="BL200" i="7"/>
  <c r="AT215" i="7"/>
  <c r="AT200" i="7"/>
  <c r="BF215" i="7"/>
  <c r="BF200" i="7"/>
  <c r="BB215" i="7"/>
  <c r="BB200" i="7"/>
  <c r="AD214" i="7"/>
  <c r="AD198" i="7" l="1"/>
  <c r="AD143" i="7" s="1"/>
  <c r="AD84" i="7" l="1"/>
  <c r="AD83" i="7" s="1"/>
  <c r="AD71" i="7"/>
  <c r="AD106" i="7"/>
  <c r="AX298" i="7"/>
  <c r="AV298" i="7"/>
  <c r="AT298" i="7"/>
  <c r="AR298" i="7"/>
  <c r="AP298" i="7"/>
  <c r="AN298" i="7"/>
  <c r="BH123" i="7" l="1"/>
  <c r="BH160" i="7"/>
  <c r="BH177" i="7"/>
  <c r="BF183" i="7"/>
  <c r="BF177" i="7" s="1"/>
  <c r="BH170" i="7"/>
  <c r="BF170" i="7"/>
  <c r="BF158" i="7"/>
  <c r="A93" i="7" l="1"/>
  <c r="BN123" i="7"/>
  <c r="BJ171" i="7" l="1"/>
  <c r="BL172" i="7"/>
  <c r="BH344" i="7" l="1"/>
  <c r="BN160" i="7"/>
  <c r="BB454" i="7"/>
  <c r="BB453" i="7" s="1"/>
  <c r="AZ454" i="7"/>
  <c r="AZ453" i="7" s="1"/>
  <c r="AX454" i="7"/>
  <c r="AX453" i="7" s="1"/>
  <c r="AV454" i="7"/>
  <c r="AV453" i="7" s="1"/>
  <c r="AT454" i="7"/>
  <c r="AT453" i="7" s="1"/>
  <c r="AR454" i="7"/>
  <c r="AR453" i="7" s="1"/>
  <c r="AP454" i="7"/>
  <c r="AP453" i="7" s="1"/>
  <c r="AN454" i="7"/>
  <c r="AN453" i="7" s="1"/>
  <c r="AL454" i="7"/>
  <c r="AL453" i="7" s="1"/>
  <c r="AJ454" i="7"/>
  <c r="AJ453" i="7" s="1"/>
  <c r="AH454" i="7"/>
  <c r="AH453" i="7" s="1"/>
  <c r="AF454" i="7"/>
  <c r="AF453" i="7" s="1"/>
  <c r="AB454" i="7"/>
  <c r="AB453" i="7" s="1"/>
  <c r="AZ401" i="7"/>
  <c r="AZ400" i="7" s="1"/>
  <c r="AX401" i="7"/>
  <c r="AX400" i="7" s="1"/>
  <c r="AV401" i="7"/>
  <c r="AV400" i="7" s="1"/>
  <c r="AT401" i="7"/>
  <c r="AT400" i="7" s="1"/>
  <c r="AR401" i="7"/>
  <c r="AR400" i="7" s="1"/>
  <c r="AP401" i="7"/>
  <c r="AP400" i="7" s="1"/>
  <c r="AN401" i="7"/>
  <c r="AN400" i="7" s="1"/>
  <c r="AL401" i="7"/>
  <c r="AL400" i="7" s="1"/>
  <c r="AJ401" i="7"/>
  <c r="AJ400" i="7" s="1"/>
  <c r="AH401" i="7"/>
  <c r="AH400" i="7" s="1"/>
  <c r="AF401" i="7"/>
  <c r="AF400" i="7" s="1"/>
  <c r="BH479" i="7"/>
  <c r="BH478" i="7" s="1"/>
  <c r="BF399" i="7"/>
  <c r="BH399" i="7"/>
  <c r="BF401" i="7"/>
  <c r="BF400" i="7" s="1"/>
  <c r="BD401" i="7"/>
  <c r="BD400" i="7" s="1"/>
  <c r="BB401" i="7"/>
  <c r="BB400" i="7" s="1"/>
  <c r="BR479" i="7"/>
  <c r="BP479" i="7"/>
  <c r="BN479" i="7"/>
  <c r="BL479" i="7"/>
  <c r="BJ479" i="7"/>
  <c r="BN170" i="7"/>
  <c r="BL170" i="7"/>
  <c r="BJ170" i="7"/>
  <c r="BR239" i="7"/>
  <c r="BP344" i="7"/>
  <c r="BR323" i="7"/>
  <c r="BP323" i="7"/>
  <c r="BN323" i="7"/>
  <c r="BL323" i="7"/>
  <c r="BJ323" i="7"/>
  <c r="BH323" i="7"/>
  <c r="BF323" i="7"/>
  <c r="BD323" i="7"/>
  <c r="BB323" i="7"/>
  <c r="AZ323" i="7"/>
  <c r="AX323" i="7"/>
  <c r="AV323" i="7"/>
  <c r="AT323" i="7"/>
  <c r="AR323" i="7"/>
  <c r="AP323" i="7"/>
  <c r="AN323" i="7"/>
  <c r="AL323" i="7"/>
  <c r="AJ323" i="7"/>
  <c r="AH323" i="7"/>
  <c r="AF323" i="7"/>
  <c r="AB323" i="7"/>
  <c r="Z323" i="7"/>
  <c r="X323" i="7"/>
  <c r="V323" i="7"/>
  <c r="T323" i="7"/>
  <c r="BR320" i="7"/>
  <c r="BP320" i="7"/>
  <c r="BN320" i="7"/>
  <c r="BL320" i="7"/>
  <c r="BJ320" i="7"/>
  <c r="BH320" i="7"/>
  <c r="BF320" i="7"/>
  <c r="BD320" i="7"/>
  <c r="BB320" i="7"/>
  <c r="AZ320" i="7"/>
  <c r="AX320" i="7"/>
  <c r="AV320" i="7"/>
  <c r="AT320" i="7"/>
  <c r="AR320" i="7"/>
  <c r="AP320" i="7"/>
  <c r="AN320" i="7"/>
  <c r="AL320" i="7"/>
  <c r="AJ320" i="7"/>
  <c r="AH320" i="7"/>
  <c r="AF320" i="7"/>
  <c r="AB320" i="7"/>
  <c r="Z320" i="7"/>
  <c r="X320" i="7"/>
  <c r="V320" i="7"/>
  <c r="T320" i="7"/>
  <c r="BR419" i="7"/>
  <c r="BP419" i="7"/>
  <c r="BN419" i="7"/>
  <c r="BL419" i="7"/>
  <c r="BJ419" i="7"/>
  <c r="BH419" i="7"/>
  <c r="BF419" i="7"/>
  <c r="BD419" i="7"/>
  <c r="BB419" i="7"/>
  <c r="AZ419" i="7"/>
  <c r="AX419" i="7"/>
  <c r="AV419" i="7"/>
  <c r="AT419" i="7"/>
  <c r="AR419" i="7"/>
  <c r="AP419" i="7"/>
  <c r="AN419" i="7"/>
  <c r="AL419" i="7"/>
  <c r="AJ419" i="7"/>
  <c r="AH419" i="7"/>
  <c r="AF419" i="7"/>
  <c r="AB419" i="7"/>
  <c r="Z419" i="7"/>
  <c r="X419" i="7"/>
  <c r="V419" i="7"/>
  <c r="T419" i="7"/>
  <c r="BR340" i="7"/>
  <c r="BP340" i="7"/>
  <c r="BN340" i="7"/>
  <c r="BL340" i="7"/>
  <c r="BR341" i="7"/>
  <c r="BP341" i="7"/>
  <c r="BN341" i="7"/>
  <c r="BL341" i="7"/>
  <c r="BL383" i="7" l="1"/>
  <c r="BL478" i="7"/>
  <c r="BN383" i="7"/>
  <c r="BN478" i="7"/>
  <c r="BR383" i="7"/>
  <c r="BR478" i="7"/>
  <c r="BJ383" i="7"/>
  <c r="BJ478" i="7"/>
  <c r="BP383" i="7"/>
  <c r="BP478" i="7"/>
  <c r="BH383" i="7"/>
  <c r="BR344" i="7"/>
  <c r="BN344" i="7"/>
  <c r="BL344" i="7"/>
  <c r="BJ344" i="7"/>
  <c r="BD339" i="7"/>
  <c r="BR319" i="7"/>
  <c r="BR318" i="7"/>
  <c r="BP319" i="7"/>
  <c r="BP318" i="7"/>
  <c r="BN319" i="7"/>
  <c r="BN318" i="7"/>
  <c r="BL319" i="7"/>
  <c r="BL318" i="7"/>
  <c r="BJ319" i="7"/>
  <c r="BJ318" i="7"/>
  <c r="BR308" i="7"/>
  <c r="BP308" i="7"/>
  <c r="BN308" i="7"/>
  <c r="BL308" i="7"/>
  <c r="BJ308" i="7"/>
  <c r="BH308" i="7"/>
  <c r="BH317" i="7"/>
  <c r="BF317" i="7"/>
  <c r="BF308" i="7"/>
  <c r="BD317" i="7"/>
  <c r="BD308" i="7"/>
  <c r="BB317" i="7"/>
  <c r="BB308" i="7"/>
  <c r="AZ317" i="7"/>
  <c r="AZ308" i="7"/>
  <c r="AX317" i="7"/>
  <c r="AX308" i="7"/>
  <c r="AV317" i="7"/>
  <c r="AV308" i="7"/>
  <c r="AT317" i="7"/>
  <c r="AT308" i="7"/>
  <c r="AR317" i="7"/>
  <c r="AR308" i="7"/>
  <c r="AP317" i="7"/>
  <c r="AP308" i="7"/>
  <c r="AN317" i="7"/>
  <c r="AN308" i="7"/>
  <c r="AL317" i="7"/>
  <c r="AL308" i="7"/>
  <c r="AJ317" i="7"/>
  <c r="AJ308" i="7"/>
  <c r="AH317" i="7"/>
  <c r="AH308" i="7"/>
  <c r="AF317" i="7"/>
  <c r="AF308" i="7"/>
  <c r="AB317" i="7"/>
  <c r="Z317" i="7"/>
  <c r="X317" i="7"/>
  <c r="V317" i="7"/>
  <c r="T317" i="7"/>
  <c r="AB308" i="7"/>
  <c r="Z308" i="7"/>
  <c r="X308" i="7"/>
  <c r="V308" i="7"/>
  <c r="T308" i="7"/>
  <c r="BR316" i="7"/>
  <c r="BR315" i="7"/>
  <c r="BP316" i="7"/>
  <c r="BP315" i="7"/>
  <c r="BN316" i="7"/>
  <c r="BN315" i="7"/>
  <c r="BL316" i="7"/>
  <c r="BL315" i="7"/>
  <c r="BR307" i="7"/>
  <c r="BR306" i="7"/>
  <c r="BP307" i="7"/>
  <c r="BP306" i="7"/>
  <c r="BN307" i="7"/>
  <c r="BN306" i="7"/>
  <c r="BL307" i="7"/>
  <c r="BL306" i="7"/>
  <c r="BH305" i="7"/>
  <c r="BR335" i="7"/>
  <c r="BP335" i="7"/>
  <c r="BN335" i="7"/>
  <c r="BL335" i="7"/>
  <c r="BJ335" i="7"/>
  <c r="BH335" i="7"/>
  <c r="BJ337" i="7"/>
  <c r="BH337" i="7"/>
  <c r="AN449" i="7"/>
  <c r="AN443" i="7" s="1"/>
  <c r="AN485" i="7"/>
  <c r="AN478" i="7" s="1"/>
  <c r="AN456" i="7" s="1"/>
  <c r="AN392" i="7"/>
  <c r="AX391" i="7"/>
  <c r="BB389" i="7"/>
  <c r="BD389" i="7"/>
  <c r="BD441" i="7"/>
  <c r="BD437" i="7" s="1"/>
  <c r="BR474" i="7"/>
  <c r="BP474" i="7"/>
  <c r="BN474" i="7"/>
  <c r="BL474" i="7"/>
  <c r="BJ474" i="7"/>
  <c r="BH474" i="7"/>
  <c r="BF474" i="7"/>
  <c r="BD474" i="7"/>
  <c r="BB474" i="7"/>
  <c r="BB472" i="7" s="1"/>
  <c r="AZ474" i="7"/>
  <c r="BD473" i="7"/>
  <c r="BD472" i="7" s="1"/>
  <c r="BD382" i="7"/>
  <c r="BD480" i="7"/>
  <c r="BD478" i="7" s="1"/>
  <c r="BD450" i="7"/>
  <c r="BF473" i="7"/>
  <c r="BR238" i="7"/>
  <c r="BR237" i="7" s="1"/>
  <c r="BR216" i="7" s="1"/>
  <c r="BR200" i="7" s="1"/>
  <c r="BF480" i="7"/>
  <c r="BF478" i="7" s="1"/>
  <c r="BF382" i="7"/>
  <c r="BF389" i="7"/>
  <c r="BF476" i="7"/>
  <c r="BB448" i="7"/>
  <c r="BB443" i="7" s="1"/>
  <c r="BD448" i="7"/>
  <c r="AT480" i="7"/>
  <c r="AT478" i="7" s="1"/>
  <c r="AV481" i="7"/>
  <c r="AV382" i="7"/>
  <c r="AV480" i="7"/>
  <c r="AV478" i="7" s="1"/>
  <c r="AV456" i="7" s="1"/>
  <c r="AV450" i="7"/>
  <c r="AT448" i="7"/>
  <c r="AT443" i="7" s="1"/>
  <c r="AV448" i="7"/>
  <c r="AV443" i="7" s="1"/>
  <c r="AX480" i="7"/>
  <c r="AX478" i="7" s="1"/>
  <c r="AX456" i="7" s="1"/>
  <c r="AX382" i="7"/>
  <c r="AX450" i="7"/>
  <c r="AZ398" i="7"/>
  <c r="AZ382" i="7"/>
  <c r="BB170" i="7"/>
  <c r="BD456" i="7" l="1"/>
  <c r="BD211" i="7" s="1"/>
  <c r="BD209" i="7" s="1"/>
  <c r="AV204" i="7"/>
  <c r="AV202" i="7" s="1"/>
  <c r="AV211" i="7"/>
  <c r="AV209" i="7" s="1"/>
  <c r="AX204" i="7"/>
  <c r="AX202" i="7" s="1"/>
  <c r="AX211" i="7"/>
  <c r="AX209" i="7" s="1"/>
  <c r="AN211" i="7"/>
  <c r="AN209" i="7" s="1"/>
  <c r="AN204" i="7"/>
  <c r="AN202" i="7" s="1"/>
  <c r="BF472" i="7"/>
  <c r="BF456" i="7" s="1"/>
  <c r="BD443" i="7"/>
  <c r="BH333" i="7"/>
  <c r="BF383" i="7"/>
  <c r="AN383" i="7"/>
  <c r="AV383" i="7"/>
  <c r="BD383" i="7"/>
  <c r="AT383" i="7"/>
  <c r="BR317" i="7"/>
  <c r="BJ317" i="7"/>
  <c r="BL317" i="7"/>
  <c r="BP305" i="7"/>
  <c r="BR305" i="7"/>
  <c r="BN317" i="7"/>
  <c r="BP317" i="7"/>
  <c r="BL305" i="7"/>
  <c r="BN305" i="7"/>
  <c r="BD204" i="7" l="1"/>
  <c r="BD202" i="7" s="1"/>
  <c r="BF211" i="7"/>
  <c r="BF209" i="7" s="1"/>
  <c r="BF204" i="7"/>
  <c r="BF202" i="7" s="1"/>
  <c r="AZ448" i="7"/>
  <c r="AZ443" i="7" s="1"/>
  <c r="BB480" i="7"/>
  <c r="AX448" i="7"/>
  <c r="BB382" i="7"/>
  <c r="BB442" i="7"/>
  <c r="BB437" i="7" s="1"/>
  <c r="AZ473" i="7"/>
  <c r="AZ472" i="7" s="1"/>
  <c r="BB383" i="7" l="1"/>
  <c r="BB478" i="7"/>
  <c r="BB456" i="7" s="1"/>
  <c r="AX383" i="7"/>
  <c r="AX443" i="7"/>
  <c r="BJ177" i="7"/>
  <c r="BD123" i="7"/>
  <c r="BD352" i="7"/>
  <c r="BF352" i="7"/>
  <c r="BF80" i="7"/>
  <c r="BB211" i="7" l="1"/>
  <c r="BB209" i="7" s="1"/>
  <c r="BB204" i="7"/>
  <c r="BB202" i="7" s="1"/>
  <c r="BR352" i="7"/>
  <c r="BP352" i="7"/>
  <c r="BN352" i="7"/>
  <c r="BL352" i="7"/>
  <c r="BJ352" i="7"/>
  <c r="BH352" i="7"/>
  <c r="BR473" i="7"/>
  <c r="BP473" i="7"/>
  <c r="BN473" i="7"/>
  <c r="BL473" i="7"/>
  <c r="BJ473" i="7"/>
  <c r="BH473" i="7"/>
  <c r="BF364" i="7"/>
  <c r="BD333" i="7"/>
  <c r="AV364" i="7"/>
  <c r="AZ389" i="7"/>
  <c r="AZ364" i="7"/>
  <c r="AZ480" i="7"/>
  <c r="BB364" i="7"/>
  <c r="BD364" i="7"/>
  <c r="BB16" i="7"/>
  <c r="BB21" i="7"/>
  <c r="BB27" i="7"/>
  <c r="BD8" i="7"/>
  <c r="BB8" i="7"/>
  <c r="AT45" i="7"/>
  <c r="AV45" i="7"/>
  <c r="AX45" i="7"/>
  <c r="AZ45" i="7"/>
  <c r="BB45" i="7"/>
  <c r="BH45" i="7"/>
  <c r="BF45" i="7"/>
  <c r="BD45" i="7"/>
  <c r="BD153" i="7"/>
  <c r="BB183" i="7"/>
  <c r="BD151" i="7"/>
  <c r="BD222" i="7" s="1"/>
  <c r="BB155" i="7"/>
  <c r="BF150" i="7"/>
  <c r="BD183" i="7"/>
  <c r="BD177" i="7" s="1"/>
  <c r="BB350" i="7"/>
  <c r="AZ350" i="7"/>
  <c r="AV350" i="7"/>
  <c r="AX350" i="7"/>
  <c r="AV333" i="7"/>
  <c r="AX333" i="7"/>
  <c r="AZ333" i="7"/>
  <c r="BB333" i="7"/>
  <c r="BR326" i="7"/>
  <c r="BP326" i="7"/>
  <c r="BN326" i="7"/>
  <c r="BL326" i="7"/>
  <c r="BJ326" i="7"/>
  <c r="BH326" i="7"/>
  <c r="BF326" i="7"/>
  <c r="BD326" i="7"/>
  <c r="BB326" i="7"/>
  <c r="AZ326" i="7"/>
  <c r="AX326" i="7"/>
  <c r="AV326" i="7"/>
  <c r="AT326" i="7"/>
  <c r="AR326" i="7"/>
  <c r="AP326" i="7"/>
  <c r="AN326" i="7"/>
  <c r="AL326" i="7"/>
  <c r="AJ326" i="7"/>
  <c r="AH326" i="7"/>
  <c r="AF326" i="7"/>
  <c r="AB326" i="7"/>
  <c r="Z326" i="7"/>
  <c r="X326" i="7"/>
  <c r="V326" i="7"/>
  <c r="T326" i="7"/>
  <c r="BD416" i="7"/>
  <c r="BF314" i="7"/>
  <c r="BD314" i="7"/>
  <c r="BB314" i="7"/>
  <c r="BL314" i="7"/>
  <c r="BR314" i="7"/>
  <c r="BP314" i="7"/>
  <c r="BN314" i="7"/>
  <c r="BJ314" i="7"/>
  <c r="BH314" i="7"/>
  <c r="AZ314" i="7"/>
  <c r="AX314" i="7"/>
  <c r="AV314" i="7"/>
  <c r="AT314" i="7"/>
  <c r="AR314" i="7"/>
  <c r="AP314" i="7"/>
  <c r="AN314" i="7"/>
  <c r="AL314" i="7"/>
  <c r="AJ314" i="7"/>
  <c r="AH314" i="7"/>
  <c r="AF314" i="7"/>
  <c r="AB314" i="7"/>
  <c r="Z314" i="7"/>
  <c r="X314" i="7"/>
  <c r="V314" i="7"/>
  <c r="T314" i="7"/>
  <c r="BF333" i="7"/>
  <c r="BH302" i="7"/>
  <c r="BD221" i="7" l="1"/>
  <c r="BD217" i="7" s="1"/>
  <c r="BD216" i="7" s="1"/>
  <c r="BH364" i="7"/>
  <c r="BH472" i="7"/>
  <c r="BL364" i="7"/>
  <c r="BL472" i="7"/>
  <c r="BL456" i="7" s="1"/>
  <c r="BN364" i="7"/>
  <c r="BN472" i="7"/>
  <c r="BN456" i="7" s="1"/>
  <c r="BP364" i="7"/>
  <c r="BP472" i="7"/>
  <c r="BP456" i="7" s="1"/>
  <c r="AZ383" i="7"/>
  <c r="AZ478" i="7"/>
  <c r="AZ456" i="7" s="1"/>
  <c r="BJ364" i="7"/>
  <c r="BJ472" i="7"/>
  <c r="BJ456" i="7" s="1"/>
  <c r="BR364" i="7"/>
  <c r="BR472" i="7"/>
  <c r="BR456" i="7" s="1"/>
  <c r="AX364" i="7"/>
  <c r="BP333" i="7"/>
  <c r="BR333" i="7"/>
  <c r="BL333" i="7"/>
  <c r="BN333" i="7"/>
  <c r="BJ333" i="7"/>
  <c r="AV41" i="7"/>
  <c r="AZ155" i="7"/>
  <c r="AV177" i="7"/>
  <c r="AX177" i="7"/>
  <c r="BR177" i="7"/>
  <c r="BP177" i="7"/>
  <c r="BN177" i="7"/>
  <c r="BL177" i="7"/>
  <c r="BB180" i="7"/>
  <c r="BB177" i="7" s="1"/>
  <c r="AZ180" i="7"/>
  <c r="AZ177" i="7" s="1"/>
  <c r="BD215" i="7" l="1"/>
  <c r="BD200" i="7"/>
  <c r="BJ211" i="7"/>
  <c r="BJ209" i="7" s="1"/>
  <c r="BJ204" i="7"/>
  <c r="BJ202" i="7" s="1"/>
  <c r="AZ211" i="7"/>
  <c r="AZ209" i="7" s="1"/>
  <c r="AZ204" i="7"/>
  <c r="AZ202" i="7" s="1"/>
  <c r="BR211" i="7"/>
  <c r="BR209" i="7" s="1"/>
  <c r="BR204" i="7"/>
  <c r="BP211" i="7"/>
  <c r="BP209" i="7" s="1"/>
  <c r="BP204" i="7"/>
  <c r="BP202" i="7" s="1"/>
  <c r="BN211" i="7"/>
  <c r="BN209" i="7" s="1"/>
  <c r="BN204" i="7"/>
  <c r="BN202" i="7" s="1"/>
  <c r="BL204" i="7"/>
  <c r="BL202" i="7" s="1"/>
  <c r="BL211" i="7"/>
  <c r="BL209" i="7" s="1"/>
  <c r="BR202" i="7"/>
  <c r="AT354" i="7"/>
  <c r="BR355" i="7"/>
  <c r="BR354" i="7"/>
  <c r="BR351" i="7"/>
  <c r="BR416" i="7"/>
  <c r="BR311" i="7"/>
  <c r="BR413" i="7"/>
  <c r="BR329" i="7"/>
  <c r="BR410" i="7"/>
  <c r="BR284" i="7"/>
  <c r="BR280" i="7" s="1"/>
  <c r="BR271" i="7" s="1"/>
  <c r="BR190" i="7"/>
  <c r="BR170" i="7"/>
  <c r="BR150" i="7"/>
  <c r="BR58" i="7"/>
  <c r="BR45" i="7"/>
  <c r="BR41" i="7"/>
  <c r="BR27" i="7"/>
  <c r="BR21" i="7"/>
  <c r="BR16" i="7"/>
  <c r="BR8" i="7"/>
  <c r="BR7" i="7" s="1"/>
  <c r="A98" i="7"/>
  <c r="BP355" i="7"/>
  <c r="BP354" i="7"/>
  <c r="BP351" i="7"/>
  <c r="BP416" i="7"/>
  <c r="BP311" i="7"/>
  <c r="BP413" i="7"/>
  <c r="BP329" i="7"/>
  <c r="BP410" i="7"/>
  <c r="BP190" i="7"/>
  <c r="BP170" i="7"/>
  <c r="BP150" i="7"/>
  <c r="BP58" i="7"/>
  <c r="BP45" i="7"/>
  <c r="BP41" i="7"/>
  <c r="BP27" i="7"/>
  <c r="BP21" i="7"/>
  <c r="BP16" i="7"/>
  <c r="BP8" i="7"/>
  <c r="BP7" i="7" s="1"/>
  <c r="BN355" i="7"/>
  <c r="BN354" i="7"/>
  <c r="BN351" i="7"/>
  <c r="BN416" i="7"/>
  <c r="BN311" i="7"/>
  <c r="BN413" i="7"/>
  <c r="BN329" i="7"/>
  <c r="BN410" i="7"/>
  <c r="BN190" i="7"/>
  <c r="BN150" i="7"/>
  <c r="BN58" i="7"/>
  <c r="BN45" i="7"/>
  <c r="BN41" i="7"/>
  <c r="BN27" i="7"/>
  <c r="BN21" i="7"/>
  <c r="BN16" i="7"/>
  <c r="BN8" i="7"/>
  <c r="BN7" i="7" s="1"/>
  <c r="BL355" i="7"/>
  <c r="BL354" i="7"/>
  <c r="BL351" i="7"/>
  <c r="BL416" i="7"/>
  <c r="BL311" i="7"/>
  <c r="BL413" i="7"/>
  <c r="BL329" i="7"/>
  <c r="BL410" i="7"/>
  <c r="BL190" i="7"/>
  <c r="BL150" i="7"/>
  <c r="BL58" i="7"/>
  <c r="BL45" i="7"/>
  <c r="BL41" i="7"/>
  <c r="BL27" i="7"/>
  <c r="BL21" i="7"/>
  <c r="BL16" i="7"/>
  <c r="BL8" i="7"/>
  <c r="BL7" i="7" s="1"/>
  <c r="BH190" i="7"/>
  <c r="BJ355" i="7"/>
  <c r="BJ354" i="7"/>
  <c r="BJ351" i="7"/>
  <c r="BJ416" i="7"/>
  <c r="BJ311" i="7"/>
  <c r="BJ305" i="7"/>
  <c r="BJ413" i="7"/>
  <c r="BJ329" i="7"/>
  <c r="BJ410" i="7"/>
  <c r="BJ190" i="7"/>
  <c r="BJ150" i="7"/>
  <c r="BJ58" i="7"/>
  <c r="BJ45" i="7"/>
  <c r="BJ41" i="7"/>
  <c r="BJ27" i="7"/>
  <c r="BJ21" i="7"/>
  <c r="BJ16" i="7"/>
  <c r="BJ8" i="7"/>
  <c r="BJ7" i="7" s="1"/>
  <c r="BH355" i="7"/>
  <c r="BH354" i="7"/>
  <c r="BH351" i="7"/>
  <c r="BH416" i="7"/>
  <c r="BH311" i="7"/>
  <c r="BH413" i="7"/>
  <c r="BH329" i="7"/>
  <c r="BH407" i="7"/>
  <c r="BH410" i="7"/>
  <c r="BH458" i="7"/>
  <c r="BH457" i="7" s="1"/>
  <c r="BH150" i="7"/>
  <c r="BH58" i="7"/>
  <c r="BH41" i="7"/>
  <c r="BH27" i="7"/>
  <c r="BH21" i="7"/>
  <c r="BH16" i="7"/>
  <c r="BH8" i="7"/>
  <c r="BH7" i="7" s="1"/>
  <c r="AV414" i="7"/>
  <c r="AX153" i="7"/>
  <c r="AX155" i="7"/>
  <c r="BN406" i="7" l="1"/>
  <c r="BN405" i="7" s="1"/>
  <c r="BN208" i="7" s="1"/>
  <c r="BN206" i="7" s="1"/>
  <c r="BN145" i="7" s="1"/>
  <c r="BH456" i="7"/>
  <c r="BR215" i="7"/>
  <c r="BR207" i="7"/>
  <c r="BP406" i="7"/>
  <c r="BP405" i="7" s="1"/>
  <c r="BP208" i="7" s="1"/>
  <c r="BR406" i="7"/>
  <c r="BR405" i="7" s="1"/>
  <c r="BR208" i="7" s="1"/>
  <c r="BL406" i="7"/>
  <c r="BL405" i="7" s="1"/>
  <c r="BL208" i="7" s="1"/>
  <c r="BL206" i="7" s="1"/>
  <c r="BL145" i="7" s="1"/>
  <c r="BJ406" i="7"/>
  <c r="BJ405" i="7" s="1"/>
  <c r="BJ208" i="7" s="1"/>
  <c r="BJ206" i="7" s="1"/>
  <c r="BJ145" i="7" s="1"/>
  <c r="BH406" i="7"/>
  <c r="BH405" i="7" s="1"/>
  <c r="BH208" i="7" s="1"/>
  <c r="BR301" i="7"/>
  <c r="BH301" i="7"/>
  <c r="BL301" i="7"/>
  <c r="BJ301" i="7"/>
  <c r="BN301" i="7"/>
  <c r="BP301" i="7"/>
  <c r="BH350" i="7"/>
  <c r="BR350" i="7"/>
  <c r="BP149" i="7"/>
  <c r="BR149" i="7"/>
  <c r="BR15" i="7"/>
  <c r="BR4" i="7" s="1"/>
  <c r="BN149" i="7"/>
  <c r="BL350" i="7"/>
  <c r="BL149" i="7"/>
  <c r="BJ350" i="7"/>
  <c r="BJ149" i="7"/>
  <c r="BP350" i="7"/>
  <c r="BN350" i="7"/>
  <c r="BL15" i="7"/>
  <c r="BL4" i="7" s="1"/>
  <c r="BJ15" i="7"/>
  <c r="BJ4" i="7" s="1"/>
  <c r="BN15" i="7"/>
  <c r="BN4" i="7" s="1"/>
  <c r="BH15" i="7"/>
  <c r="BH4" i="7" s="1"/>
  <c r="BP15" i="7"/>
  <c r="BP4" i="7" s="1"/>
  <c r="BH149" i="7"/>
  <c r="BJ148" i="7" l="1"/>
  <c r="BL74" i="7" s="1"/>
  <c r="BL73" i="7" s="1"/>
  <c r="BN148" i="7"/>
  <c r="BP74" i="7" s="1"/>
  <c r="BP73" i="7" s="1"/>
  <c r="BL148" i="7"/>
  <c r="BN74" i="7" s="1"/>
  <c r="BN73" i="7" s="1"/>
  <c r="BR148" i="7"/>
  <c r="BP148" i="7"/>
  <c r="BR74" i="7" s="1"/>
  <c r="BR73" i="7" s="1"/>
  <c r="BH148" i="7"/>
  <c r="BR206" i="7"/>
  <c r="BR145" i="7" s="1"/>
  <c r="BH211" i="7"/>
  <c r="BH209" i="7" s="1"/>
  <c r="BH206" i="7" s="1"/>
  <c r="BH145" i="7" s="1"/>
  <c r="BH204" i="7"/>
  <c r="BH202" i="7" s="1"/>
  <c r="BL300" i="7"/>
  <c r="BR300" i="7"/>
  <c r="BN300" i="7"/>
  <c r="BH300" i="7"/>
  <c r="BP300" i="7"/>
  <c r="BJ300" i="7"/>
  <c r="AV164" i="7"/>
  <c r="AV123" i="7" s="1"/>
  <c r="AX416" i="7"/>
  <c r="AZ151" i="7"/>
  <c r="AZ222" i="7" s="1"/>
  <c r="AT41" i="7"/>
  <c r="BF41" i="7"/>
  <c r="BD41" i="7"/>
  <c r="BB41" i="7"/>
  <c r="AZ41" i="7"/>
  <c r="AP63" i="7"/>
  <c r="AT20" i="7"/>
  <c r="AT62" i="7"/>
  <c r="AT58" i="7" s="1"/>
  <c r="AX41" i="7"/>
  <c r="AR45" i="7"/>
  <c r="AT19" i="7"/>
  <c r="BJ74" i="7" l="1"/>
  <c r="BJ73" i="7" s="1"/>
  <c r="AZ221" i="7"/>
  <c r="AZ217" i="7" s="1"/>
  <c r="AZ216" i="7" s="1"/>
  <c r="BH299" i="7"/>
  <c r="BH214" i="7" s="1"/>
  <c r="BH201" i="7"/>
  <c r="BJ299" i="7"/>
  <c r="BJ214" i="7" s="1"/>
  <c r="BJ201" i="7"/>
  <c r="BN299" i="7"/>
  <c r="BN214" i="7" s="1"/>
  <c r="BN201" i="7"/>
  <c r="BP299" i="7"/>
  <c r="BP201" i="7"/>
  <c r="BP199" i="7" s="1"/>
  <c r="BP144" i="7" s="1"/>
  <c r="BR299" i="7"/>
  <c r="BR214" i="7" s="1"/>
  <c r="BR201" i="7"/>
  <c r="BL299" i="7"/>
  <c r="BL214" i="7" s="1"/>
  <c r="BL201" i="7"/>
  <c r="AR41" i="7"/>
  <c r="AZ150" i="7"/>
  <c r="AZ215" i="7" l="1"/>
  <c r="AZ200" i="7"/>
  <c r="BL199" i="7"/>
  <c r="BL144" i="7" s="1"/>
  <c r="BN199" i="7"/>
  <c r="BH199" i="7"/>
  <c r="BJ199" i="7"/>
  <c r="BP214" i="7"/>
  <c r="BP206" i="7"/>
  <c r="BR199" i="7"/>
  <c r="AV416" i="7"/>
  <c r="BF311" i="7"/>
  <c r="BD311" i="7"/>
  <c r="BB311" i="7"/>
  <c r="AZ311" i="7"/>
  <c r="AX311" i="7"/>
  <c r="AV311" i="7"/>
  <c r="AT311" i="7"/>
  <c r="BF305" i="7"/>
  <c r="BD305" i="7"/>
  <c r="BB305" i="7"/>
  <c r="AZ305" i="7"/>
  <c r="AX305" i="7"/>
  <c r="AV305" i="7"/>
  <c r="AT306" i="7"/>
  <c r="AT305" i="7" s="1"/>
  <c r="AR306" i="7"/>
  <c r="AR305" i="7" s="1"/>
  <c r="AP306" i="7"/>
  <c r="AP305" i="7" s="1"/>
  <c r="AR350" i="7"/>
  <c r="AP350" i="7"/>
  <c r="AN350" i="7"/>
  <c r="AL350" i="7"/>
  <c r="AJ350" i="7"/>
  <c r="AH350" i="7"/>
  <c r="AF350" i="7"/>
  <c r="AB350" i="7"/>
  <c r="BF416" i="7"/>
  <c r="BB416" i="7"/>
  <c r="AZ416" i="7"/>
  <c r="AT416" i="7"/>
  <c r="AR416" i="7"/>
  <c r="AP416" i="7"/>
  <c r="AN416" i="7"/>
  <c r="AL416" i="7"/>
  <c r="AJ416" i="7"/>
  <c r="AH416" i="7"/>
  <c r="AF416" i="7"/>
  <c r="AB416" i="7"/>
  <c r="Z416" i="7"/>
  <c r="X416" i="7"/>
  <c r="V416" i="7"/>
  <c r="T416" i="7"/>
  <c r="AN305" i="7"/>
  <c r="AL305" i="7"/>
  <c r="AJ305" i="7"/>
  <c r="AH305" i="7"/>
  <c r="AF305" i="7"/>
  <c r="AB305" i="7"/>
  <c r="Z305" i="7"/>
  <c r="X305" i="7"/>
  <c r="V305" i="7"/>
  <c r="T305" i="7"/>
  <c r="BF351" i="7"/>
  <c r="BD351" i="7"/>
  <c r="BF354" i="7"/>
  <c r="BD354" i="7"/>
  <c r="BF355" i="7"/>
  <c r="BD355" i="7"/>
  <c r="AT355" i="7"/>
  <c r="BR198" i="7" l="1"/>
  <c r="BR143" i="7" s="1"/>
  <c r="BR144" i="7"/>
  <c r="BN198" i="7"/>
  <c r="BN84" i="7" s="1"/>
  <c r="BN83" i="7" s="1"/>
  <c r="BN72" i="7" s="1"/>
  <c r="BN144" i="7"/>
  <c r="BP198" i="7"/>
  <c r="BP84" i="7" s="1"/>
  <c r="BP83" i="7" s="1"/>
  <c r="BP72" i="7" s="1"/>
  <c r="BP145" i="7"/>
  <c r="BJ198" i="7"/>
  <c r="BJ84" i="7" s="1"/>
  <c r="BJ83" i="7" s="1"/>
  <c r="BJ72" i="7" s="1"/>
  <c r="BJ144" i="7"/>
  <c r="BH198" i="7"/>
  <c r="BH144" i="7"/>
  <c r="BL198" i="7"/>
  <c r="BL84" i="7" s="1"/>
  <c r="BL83" i="7" s="1"/>
  <c r="BL72" i="7" s="1"/>
  <c r="BD350" i="7"/>
  <c r="BF350" i="7"/>
  <c r="AT350" i="7"/>
  <c r="AV155" i="7"/>
  <c r="AR150" i="7"/>
  <c r="BP143" i="7" l="1"/>
  <c r="BP106" i="7" s="1"/>
  <c r="BJ143" i="7"/>
  <c r="BJ71" i="7" s="1"/>
  <c r="BN143" i="7"/>
  <c r="BN71" i="7" s="1"/>
  <c r="BL143" i="7"/>
  <c r="BL71" i="7" s="1"/>
  <c r="BR84" i="7"/>
  <c r="BR83" i="7" s="1"/>
  <c r="BR72" i="7" s="1"/>
  <c r="BJ106" i="7"/>
  <c r="BR71" i="7"/>
  <c r="BR106" i="7"/>
  <c r="AR179" i="7"/>
  <c r="BN106" i="7" l="1"/>
  <c r="BP71" i="7"/>
  <c r="BL106" i="7"/>
  <c r="AX151" i="7"/>
  <c r="AT155" i="7"/>
  <c r="AF333" i="7" l="1"/>
  <c r="AH333" i="7"/>
  <c r="AL333" i="7"/>
  <c r="AN333" i="7"/>
  <c r="AP333" i="7"/>
  <c r="AR333" i="7"/>
  <c r="AT333" i="7"/>
  <c r="AX213" i="7" l="1"/>
  <c r="AV213" i="7"/>
  <c r="AT213" i="7"/>
  <c r="AR213" i="7"/>
  <c r="AP213" i="7"/>
  <c r="AN213" i="7"/>
  <c r="AX147" i="7"/>
  <c r="AV147" i="7"/>
  <c r="AT147" i="7"/>
  <c r="AR147" i="7"/>
  <c r="AP147" i="7"/>
  <c r="AN147" i="7"/>
  <c r="AX67" i="7"/>
  <c r="AV67" i="7"/>
  <c r="AT67" i="7"/>
  <c r="AR67" i="7"/>
  <c r="AP67" i="7"/>
  <c r="AN67" i="7"/>
  <c r="AZ2" i="7"/>
  <c r="AZ125" i="7" s="1"/>
  <c r="BF413" i="7"/>
  <c r="BF329" i="7"/>
  <c r="BF301" i="7" s="1"/>
  <c r="BF410" i="7"/>
  <c r="BF190" i="7"/>
  <c r="BF58" i="7"/>
  <c r="BF27" i="7"/>
  <c r="BF21" i="7"/>
  <c r="BF16" i="7"/>
  <c r="BF8" i="7"/>
  <c r="BF7" i="7" s="1"/>
  <c r="BD413" i="7"/>
  <c r="BD329" i="7"/>
  <c r="BD301" i="7" s="1"/>
  <c r="BD410" i="7"/>
  <c r="BD406" i="7" s="1"/>
  <c r="BD405" i="7" s="1"/>
  <c r="BD208" i="7" s="1"/>
  <c r="BD206" i="7" s="1"/>
  <c r="BD190" i="7"/>
  <c r="BD170" i="7"/>
  <c r="BD150" i="7"/>
  <c r="BD58" i="7"/>
  <c r="BD27" i="7"/>
  <c r="BD21" i="7"/>
  <c r="BD16" i="7"/>
  <c r="BD7" i="7"/>
  <c r="BB413" i="7"/>
  <c r="BB329" i="7"/>
  <c r="BB301" i="7" s="1"/>
  <c r="BB410" i="7"/>
  <c r="BB190" i="7"/>
  <c r="BB150" i="7"/>
  <c r="BB58" i="7"/>
  <c r="BB7" i="7"/>
  <c r="AZ413" i="7"/>
  <c r="AZ329" i="7"/>
  <c r="AZ301" i="7" s="1"/>
  <c r="AZ410" i="7"/>
  <c r="AZ190" i="7"/>
  <c r="AZ170" i="7"/>
  <c r="AZ58" i="7"/>
  <c r="AZ27" i="7"/>
  <c r="AZ21" i="7"/>
  <c r="AZ16" i="7"/>
  <c r="AZ8" i="7"/>
  <c r="AZ7" i="7" s="1"/>
  <c r="AX413" i="7"/>
  <c r="AX329" i="7"/>
  <c r="AX301" i="7" s="1"/>
  <c r="AX410" i="7"/>
  <c r="AX190" i="7"/>
  <c r="AX170" i="7"/>
  <c r="AX150" i="7"/>
  <c r="AX58" i="7"/>
  <c r="AX27" i="7"/>
  <c r="AX21" i="7"/>
  <c r="AX16" i="7"/>
  <c r="AX8" i="7"/>
  <c r="AX7" i="7" s="1"/>
  <c r="AP27" i="7"/>
  <c r="AP62" i="7"/>
  <c r="AZ197" i="7" l="1"/>
  <c r="AZ108" i="7"/>
  <c r="BD145" i="7"/>
  <c r="AZ298" i="7"/>
  <c r="AZ91" i="7"/>
  <c r="AZ142" i="7" s="1"/>
  <c r="AZ406" i="7"/>
  <c r="AZ405" i="7" s="1"/>
  <c r="AZ208" i="7" s="1"/>
  <c r="AZ206" i="7" s="1"/>
  <c r="AZ145" i="7" s="1"/>
  <c r="BB406" i="7"/>
  <c r="BB405" i="7" s="1"/>
  <c r="BB208" i="7" s="1"/>
  <c r="BB206" i="7" s="1"/>
  <c r="BB145" i="7" s="1"/>
  <c r="AX406" i="7"/>
  <c r="AX405" i="7" s="1"/>
  <c r="AX208" i="7" s="1"/>
  <c r="AX206" i="7" s="1"/>
  <c r="AX145" i="7" s="1"/>
  <c r="BF406" i="7"/>
  <c r="BF405" i="7" s="1"/>
  <c r="BF208" i="7" s="1"/>
  <c r="BF206" i="7" s="1"/>
  <c r="BF145" i="7" s="1"/>
  <c r="AZ300" i="7"/>
  <c r="AZ201" i="7" s="1"/>
  <c r="BD300" i="7"/>
  <c r="BD201" i="7" s="1"/>
  <c r="AX300" i="7"/>
  <c r="AX201" i="7" s="1"/>
  <c r="AX199" i="7" s="1"/>
  <c r="BB300" i="7"/>
  <c r="BB201" i="7" s="1"/>
  <c r="BF300" i="7"/>
  <c r="AZ213" i="7"/>
  <c r="BD15" i="7"/>
  <c r="BD4" i="7" s="1"/>
  <c r="AX15" i="7"/>
  <c r="AX4" i="7" s="1"/>
  <c r="BB15" i="7"/>
  <c r="BB4" i="7" s="1"/>
  <c r="BF15" i="7"/>
  <c r="BF4" i="7" s="1"/>
  <c r="AZ15" i="7"/>
  <c r="AZ4" i="7" s="1"/>
  <c r="BD149" i="7"/>
  <c r="AZ147" i="7"/>
  <c r="AX149" i="7"/>
  <c r="BB2" i="7"/>
  <c r="BB125" i="7" s="1"/>
  <c r="AZ67" i="7"/>
  <c r="BB149" i="7"/>
  <c r="AZ149" i="7"/>
  <c r="BF149" i="7"/>
  <c r="AL311" i="7"/>
  <c r="AL413" i="7"/>
  <c r="AJ311" i="7"/>
  <c r="AJ413" i="7"/>
  <c r="AH311" i="7"/>
  <c r="AH413" i="7"/>
  <c r="AF303" i="7"/>
  <c r="AF302" i="7" s="1"/>
  <c r="AR311" i="7"/>
  <c r="AP311" i="7"/>
  <c r="AN311" i="7"/>
  <c r="AF311" i="7"/>
  <c r="AB311" i="7"/>
  <c r="Z311" i="7"/>
  <c r="X311" i="7"/>
  <c r="V311" i="7"/>
  <c r="T311" i="7"/>
  <c r="AP171" i="7"/>
  <c r="AV329" i="7"/>
  <c r="AV301" i="7" s="1"/>
  <c r="AV410" i="7"/>
  <c r="AV190" i="7"/>
  <c r="AV170" i="7"/>
  <c r="AV150" i="7"/>
  <c r="AV58" i="7"/>
  <c r="AV27" i="7"/>
  <c r="AV21" i="7"/>
  <c r="AV16" i="7"/>
  <c r="AV8" i="7"/>
  <c r="AV7" i="7" s="1"/>
  <c r="AP156" i="7"/>
  <c r="AT473" i="7"/>
  <c r="AR473" i="7"/>
  <c r="AR472" i="7" s="1"/>
  <c r="AR456" i="7" s="1"/>
  <c r="AP473" i="7"/>
  <c r="AP472" i="7" s="1"/>
  <c r="AP456" i="7" s="1"/>
  <c r="BN134" i="7" l="1"/>
  <c r="BJ134" i="7"/>
  <c r="BL134" i="7"/>
  <c r="BP134" i="7"/>
  <c r="BF134" i="7"/>
  <c r="BB134" i="7"/>
  <c r="AX134" i="7"/>
  <c r="AV134" i="7"/>
  <c r="BH134" i="7"/>
  <c r="BD134" i="7"/>
  <c r="AZ134" i="7"/>
  <c r="BR134" i="7"/>
  <c r="BR129" i="7"/>
  <c r="BB197" i="7"/>
  <c r="BB108" i="7"/>
  <c r="BF148" i="7"/>
  <c r="BH74" i="7" s="1"/>
  <c r="BH73" i="7" s="1"/>
  <c r="AX144" i="7"/>
  <c r="BD148" i="7"/>
  <c r="BF74" i="7" s="1"/>
  <c r="BF73" i="7" s="1"/>
  <c r="AZ148" i="7"/>
  <c r="BB148" i="7"/>
  <c r="BB298" i="7"/>
  <c r="BB91" i="7"/>
  <c r="BB142" i="7" s="1"/>
  <c r="AR211" i="7"/>
  <c r="AR209" i="7" s="1"/>
  <c r="AR204" i="7"/>
  <c r="AR202" i="7" s="1"/>
  <c r="AP211" i="7"/>
  <c r="AP209" i="7" s="1"/>
  <c r="AP204" i="7"/>
  <c r="AP202" i="7" s="1"/>
  <c r="BB199" i="7"/>
  <c r="BB198" i="7" s="1"/>
  <c r="BD199" i="7"/>
  <c r="BD198" i="7" s="1"/>
  <c r="AZ199" i="7"/>
  <c r="AZ198" i="7" s="1"/>
  <c r="BF299" i="7"/>
  <c r="BF214" i="7" s="1"/>
  <c r="BF201" i="7"/>
  <c r="AX198" i="7"/>
  <c r="BB299" i="7"/>
  <c r="AT364" i="7"/>
  <c r="AT472" i="7"/>
  <c r="AT456" i="7" s="1"/>
  <c r="AX299" i="7"/>
  <c r="AX214" i="7" s="1"/>
  <c r="BD299" i="7"/>
  <c r="BD214" i="7" s="1"/>
  <c r="AZ299" i="7"/>
  <c r="AZ214" i="7" s="1"/>
  <c r="AV300" i="7"/>
  <c r="AV201" i="7" s="1"/>
  <c r="AV15" i="7"/>
  <c r="AV4" i="7" s="1"/>
  <c r="AX148" i="7"/>
  <c r="BB67" i="7"/>
  <c r="BD2" i="7"/>
  <c r="BD125" i="7" s="1"/>
  <c r="BB213" i="7"/>
  <c r="BB147" i="7"/>
  <c r="AV149" i="7"/>
  <c r="BR112" i="7" s="1"/>
  <c r="AV413" i="7"/>
  <c r="AV406" i="7" s="1"/>
  <c r="AV405" i="7" s="1"/>
  <c r="AV208" i="7" s="1"/>
  <c r="AV206" i="7" s="1"/>
  <c r="AV145" i="7" s="1"/>
  <c r="BB74" i="7" l="1"/>
  <c r="BB73" i="7" s="1"/>
  <c r="AZ133" i="7"/>
  <c r="BN133" i="7"/>
  <c r="BB133" i="7"/>
  <c r="BB132" i="7" s="1"/>
  <c r="BB131" i="7" s="1"/>
  <c r="BJ133" i="7"/>
  <c r="BF133" i="7"/>
  <c r="BF132" i="7" s="1"/>
  <c r="BF131" i="7" s="1"/>
  <c r="AX133" i="7"/>
  <c r="BL133" i="7"/>
  <c r="BD133" i="7"/>
  <c r="BP133" i="7"/>
  <c r="BP132" i="7" s="1"/>
  <c r="BP131" i="7" s="1"/>
  <c r="AV133" i="7"/>
  <c r="BH133" i="7"/>
  <c r="BR133" i="7"/>
  <c r="BR128" i="7"/>
  <c r="BD197" i="7"/>
  <c r="BB117" i="7"/>
  <c r="BN117" i="7"/>
  <c r="BJ117" i="7"/>
  <c r="BH117" i="7"/>
  <c r="BL117" i="7"/>
  <c r="BF117" i="7"/>
  <c r="BD117" i="7"/>
  <c r="AV117" i="7"/>
  <c r="AX117" i="7"/>
  <c r="BP117" i="7"/>
  <c r="AZ117" i="7"/>
  <c r="BR117" i="7"/>
  <c r="BD108" i="7"/>
  <c r="BB144" i="7"/>
  <c r="AZ144" i="7"/>
  <c r="AV148" i="7"/>
  <c r="BD144" i="7"/>
  <c r="BD298" i="7"/>
  <c r="BD91" i="7"/>
  <c r="BD142" i="7" s="1"/>
  <c r="AT211" i="7"/>
  <c r="AT209" i="7" s="1"/>
  <c r="AT204" i="7"/>
  <c r="AT202" i="7" s="1"/>
  <c r="AV199" i="7"/>
  <c r="AV198" i="7" s="1"/>
  <c r="BF199" i="7"/>
  <c r="BB214" i="7"/>
  <c r="BD84" i="7"/>
  <c r="BD83" i="7" s="1"/>
  <c r="AX143" i="7"/>
  <c r="AV299" i="7"/>
  <c r="AV214" i="7" s="1"/>
  <c r="AZ143" i="7"/>
  <c r="BD74" i="7"/>
  <c r="BD73" i="7" s="1"/>
  <c r="BB84" i="7"/>
  <c r="BB83" i="7" s="1"/>
  <c r="BB72" i="7" s="1"/>
  <c r="AX84" i="7"/>
  <c r="AX83" i="7" s="1"/>
  <c r="AZ74" i="7"/>
  <c r="AZ73" i="7" s="1"/>
  <c r="BB143" i="7"/>
  <c r="AZ84" i="7"/>
  <c r="AZ83" i="7" s="1"/>
  <c r="BD213" i="7"/>
  <c r="BD67" i="7"/>
  <c r="BF2" i="7"/>
  <c r="BF125" i="7" s="1"/>
  <c r="BD147" i="7"/>
  <c r="AX74" i="7" l="1"/>
  <c r="BR95" i="7"/>
  <c r="BD132" i="7"/>
  <c r="BD131" i="7" s="1"/>
  <c r="AV132" i="7"/>
  <c r="AV131" i="7" s="1"/>
  <c r="BL132" i="7"/>
  <c r="BL131" i="7" s="1"/>
  <c r="AX132" i="7"/>
  <c r="AX131" i="7" s="1"/>
  <c r="BJ132" i="7"/>
  <c r="BJ131" i="7" s="1"/>
  <c r="BN132" i="7"/>
  <c r="BN131" i="7" s="1"/>
  <c r="BH132" i="7"/>
  <c r="BH131" i="7" s="1"/>
  <c r="AZ132" i="7"/>
  <c r="AZ131" i="7" s="1"/>
  <c r="BF197" i="7"/>
  <c r="BD100" i="7"/>
  <c r="AV100" i="7"/>
  <c r="BR100" i="7"/>
  <c r="BF100" i="7"/>
  <c r="BH100" i="7"/>
  <c r="BF91" i="7"/>
  <c r="BF108" i="7"/>
  <c r="BJ100" i="7"/>
  <c r="BP100" i="7"/>
  <c r="AX100" i="7"/>
  <c r="BB100" i="7"/>
  <c r="BL100" i="7"/>
  <c r="BN100" i="7"/>
  <c r="AZ100" i="7"/>
  <c r="BF198" i="7"/>
  <c r="BF84" i="7" s="1"/>
  <c r="BF83" i="7" s="1"/>
  <c r="BF72" i="7" s="1"/>
  <c r="BF144" i="7"/>
  <c r="AV144" i="7"/>
  <c r="AZ71" i="7"/>
  <c r="AX106" i="7"/>
  <c r="BD143" i="7"/>
  <c r="BF298" i="7"/>
  <c r="BF213" i="7"/>
  <c r="BH2" i="7"/>
  <c r="BH125" i="7" s="1"/>
  <c r="BD72" i="7"/>
  <c r="AZ106" i="7"/>
  <c r="AV143" i="7"/>
  <c r="AZ72" i="7"/>
  <c r="BB71" i="7"/>
  <c r="BB106" i="7"/>
  <c r="AX71" i="7"/>
  <c r="BF67" i="7"/>
  <c r="BF147" i="7"/>
  <c r="AX73" i="7" l="1"/>
  <c r="AX72" i="7" s="1"/>
  <c r="BP116" i="7"/>
  <c r="BJ116" i="7"/>
  <c r="BN116" i="7"/>
  <c r="BH116" i="7"/>
  <c r="BL116" i="7"/>
  <c r="BD116" i="7"/>
  <c r="BF116" i="7"/>
  <c r="AV116" i="7"/>
  <c r="BR111" i="7"/>
  <c r="BR116" i="7"/>
  <c r="BS116" i="7" s="1"/>
  <c r="BB116" i="7"/>
  <c r="AZ116" i="7"/>
  <c r="AX116" i="7"/>
  <c r="BH197" i="7"/>
  <c r="BH213" i="7"/>
  <c r="BH108" i="7"/>
  <c r="BF143" i="7"/>
  <c r="BH147" i="7"/>
  <c r="BJ2" i="7"/>
  <c r="BH298" i="7"/>
  <c r="BH91" i="7"/>
  <c r="BD106" i="7"/>
  <c r="BH67" i="7"/>
  <c r="BD71" i="7"/>
  <c r="AV84" i="7"/>
  <c r="AV83" i="7" s="1"/>
  <c r="AX99" i="7"/>
  <c r="BD99" i="7"/>
  <c r="BE99" i="7" s="1"/>
  <c r="AZ99" i="7"/>
  <c r="BA99" i="7" s="1"/>
  <c r="BB99" i="7"/>
  <c r="BC99" i="7" s="1"/>
  <c r="AV71" i="7"/>
  <c r="AV99" i="7"/>
  <c r="AV106" i="7"/>
  <c r="AP152" i="7"/>
  <c r="AP150" i="7" s="1"/>
  <c r="AT178" i="7"/>
  <c r="AT177" i="7" s="1"/>
  <c r="AP180" i="7"/>
  <c r="AT150" i="7"/>
  <c r="AT413" i="7"/>
  <c r="AR413" i="7"/>
  <c r="AP413" i="7"/>
  <c r="AF413" i="7"/>
  <c r="AN413" i="7"/>
  <c r="AB413" i="7"/>
  <c r="Z413" i="7"/>
  <c r="X413" i="7"/>
  <c r="V413" i="7"/>
  <c r="T413" i="7"/>
  <c r="AN179" i="7"/>
  <c r="BE131" i="7" l="1"/>
  <c r="BE133" i="7"/>
  <c r="BJ91" i="7"/>
  <c r="BJ125" i="7"/>
  <c r="BG133" i="7"/>
  <c r="BG131" i="7"/>
  <c r="BS128" i="7"/>
  <c r="BR127" i="7"/>
  <c r="BR126" i="7" s="1"/>
  <c r="BS126" i="7" s="1"/>
  <c r="BC131" i="7"/>
  <c r="BC133" i="7"/>
  <c r="AW133" i="7"/>
  <c r="AW131" i="7"/>
  <c r="AY133" i="7"/>
  <c r="AY131" i="7"/>
  <c r="BA133" i="7"/>
  <c r="BA131" i="7"/>
  <c r="BJ298" i="7"/>
  <c r="BJ197" i="7"/>
  <c r="AZ115" i="7"/>
  <c r="AZ114" i="7" s="1"/>
  <c r="BA114" i="7" s="1"/>
  <c r="BA116" i="7"/>
  <c r="BF99" i="7"/>
  <c r="BG99" i="7" s="1"/>
  <c r="BJ147" i="7"/>
  <c r="BD115" i="7"/>
  <c r="BD114" i="7" s="1"/>
  <c r="BE114" i="7" s="1"/>
  <c r="BE116" i="7"/>
  <c r="AV115" i="7"/>
  <c r="AV114" i="7" s="1"/>
  <c r="AW114" i="7" s="1"/>
  <c r="AW116" i="7"/>
  <c r="BB115" i="7"/>
  <c r="BB114" i="7" s="1"/>
  <c r="BC114" i="7" s="1"/>
  <c r="BC116" i="7"/>
  <c r="AX115" i="7"/>
  <c r="AX114" i="7" s="1"/>
  <c r="AY114" i="7" s="1"/>
  <c r="AY116" i="7"/>
  <c r="BF106" i="7"/>
  <c r="BF71" i="7"/>
  <c r="BJ108" i="7"/>
  <c r="BJ213" i="7"/>
  <c r="BL2" i="7"/>
  <c r="BJ67" i="7"/>
  <c r="BH143" i="7"/>
  <c r="BH84" i="7"/>
  <c r="BH83" i="7" s="1"/>
  <c r="BH72" i="7" s="1"/>
  <c r="BD98" i="7"/>
  <c r="BD97" i="7" s="1"/>
  <c r="BE97" i="7" s="1"/>
  <c r="BB98" i="7"/>
  <c r="BB97" i="7" s="1"/>
  <c r="BC97" i="7" s="1"/>
  <c r="AV98" i="7"/>
  <c r="AV97" i="7" s="1"/>
  <c r="AY99" i="7"/>
  <c r="AX98" i="7"/>
  <c r="AX97" i="7" s="1"/>
  <c r="AY97" i="7" s="1"/>
  <c r="AZ98" i="7"/>
  <c r="AZ97" i="7" s="1"/>
  <c r="BA97" i="7" s="1"/>
  <c r="AJ37" i="7"/>
  <c r="T7" i="7"/>
  <c r="V7" i="7"/>
  <c r="X7" i="7"/>
  <c r="T4" i="7"/>
  <c r="V4" i="7" s="1"/>
  <c r="AL27" i="7"/>
  <c r="AJ13" i="7"/>
  <c r="AJ36" i="7"/>
  <c r="BF98" i="7" l="1"/>
  <c r="BF97" i="7" s="1"/>
  <c r="BG97" i="7" s="1"/>
  <c r="BI131" i="7"/>
  <c r="BI133" i="7"/>
  <c r="BL91" i="7"/>
  <c r="BL125" i="7"/>
  <c r="BL298" i="7"/>
  <c r="BL197" i="7"/>
  <c r="BN2" i="7"/>
  <c r="BG116" i="7"/>
  <c r="BF115" i="7"/>
  <c r="BF114" i="7" s="1"/>
  <c r="BG114" i="7" s="1"/>
  <c r="BL147" i="7"/>
  <c r="BL67" i="7"/>
  <c r="BL213" i="7"/>
  <c r="BN108" i="7"/>
  <c r="BL108" i="7"/>
  <c r="BN298" i="7"/>
  <c r="BN91" i="7"/>
  <c r="BH106" i="7"/>
  <c r="BH71" i="7"/>
  <c r="BL99" i="7"/>
  <c r="BR99" i="7"/>
  <c r="BP99" i="7"/>
  <c r="BN99" i="7"/>
  <c r="BJ99" i="7"/>
  <c r="BR94" i="7"/>
  <c r="BS94" i="7" s="1"/>
  <c r="BH99" i="7"/>
  <c r="AJ27" i="7"/>
  <c r="BN67" i="7" l="1"/>
  <c r="BN125" i="7"/>
  <c r="BK133" i="7"/>
  <c r="BK131" i="7"/>
  <c r="BP2" i="7"/>
  <c r="BP125" i="7" s="1"/>
  <c r="BN197" i="7"/>
  <c r="BN147" i="7"/>
  <c r="BN213" i="7"/>
  <c r="BL115" i="7"/>
  <c r="BL114" i="7" s="1"/>
  <c r="BM114" i="7" s="1"/>
  <c r="BM116" i="7"/>
  <c r="BS111" i="7"/>
  <c r="BR110" i="7"/>
  <c r="BR109" i="7" s="1"/>
  <c r="BS109" i="7" s="1"/>
  <c r="BO116" i="7"/>
  <c r="BN115" i="7"/>
  <c r="BN114" i="7" s="1"/>
  <c r="BO114" i="7" s="1"/>
  <c r="BH115" i="7"/>
  <c r="BH114" i="7" s="1"/>
  <c r="BI114" i="7" s="1"/>
  <c r="BI116" i="7"/>
  <c r="BK116" i="7"/>
  <c r="BJ115" i="7"/>
  <c r="BJ114" i="7" s="1"/>
  <c r="BK114" i="7" s="1"/>
  <c r="BJ98" i="7"/>
  <c r="BJ97" i="7" s="1"/>
  <c r="BK97" i="7" s="1"/>
  <c r="BK99" i="7"/>
  <c r="BS99" i="7"/>
  <c r="BR98" i="7"/>
  <c r="BR97" i="7" s="1"/>
  <c r="BS97" i="7" s="1"/>
  <c r="BI99" i="7"/>
  <c r="BH98" i="7"/>
  <c r="BH97" i="7" s="1"/>
  <c r="BI97" i="7" s="1"/>
  <c r="BO99" i="7"/>
  <c r="BN98" i="7"/>
  <c r="BN97" i="7" s="1"/>
  <c r="BO97" i="7" s="1"/>
  <c r="BP98" i="7"/>
  <c r="BP97" i="7" s="1"/>
  <c r="BQ97" i="7" s="1"/>
  <c r="BQ99" i="7"/>
  <c r="BL98" i="7"/>
  <c r="BL97" i="7" s="1"/>
  <c r="BM97" i="7" s="1"/>
  <c r="BM99" i="7"/>
  <c r="AN150" i="7"/>
  <c r="AJ153" i="7"/>
  <c r="BP197" i="7" l="1"/>
  <c r="BP91" i="7"/>
  <c r="BO133" i="7"/>
  <c r="BO131" i="7"/>
  <c r="BP108" i="7"/>
  <c r="BP67" i="7"/>
  <c r="BR2" i="7"/>
  <c r="BR125" i="7" s="1"/>
  <c r="BM133" i="7"/>
  <c r="BM131" i="7"/>
  <c r="BP298" i="7"/>
  <c r="BP147" i="7"/>
  <c r="BP213" i="7"/>
  <c r="BR197" i="7"/>
  <c r="BP115" i="7"/>
  <c r="BP114" i="7" s="1"/>
  <c r="BQ114" i="7" s="1"/>
  <c r="BQ116" i="7"/>
  <c r="BR91" i="7"/>
  <c r="BR108" i="7"/>
  <c r="BR67" i="7"/>
  <c r="BR298" i="7"/>
  <c r="AJ428" i="7"/>
  <c r="A103" i="7"/>
  <c r="BQ133" i="7" l="1"/>
  <c r="BQ131" i="7"/>
  <c r="BR213" i="7"/>
  <c r="BR147" i="7"/>
  <c r="BR115" i="7"/>
  <c r="BR114" i="7" s="1"/>
  <c r="BS114" i="7" s="1"/>
  <c r="AJ333" i="7"/>
  <c r="AJ422" i="7"/>
  <c r="AH34" i="7"/>
  <c r="AH27" i="7" s="1"/>
  <c r="AJ8" i="7"/>
  <c r="AJ7" i="7" s="1"/>
  <c r="AJ6" i="7" s="1"/>
  <c r="AH13" i="7"/>
  <c r="AH11" i="7"/>
  <c r="AH12" i="7"/>
  <c r="AB16" i="7"/>
  <c r="AT8" i="7"/>
  <c r="AT7" i="7" s="1"/>
  <c r="AR8" i="7"/>
  <c r="AR7" i="7" s="1"/>
  <c r="AP8" i="7"/>
  <c r="AP7" i="7" s="1"/>
  <c r="AN8" i="7"/>
  <c r="AN7" i="7" s="1"/>
  <c r="AL8" i="7"/>
  <c r="AL7" i="7" s="1"/>
  <c r="AF8" i="7"/>
  <c r="AF7" i="7" s="1"/>
  <c r="AB8" i="7"/>
  <c r="AB7" i="7" s="1"/>
  <c r="Z8" i="7"/>
  <c r="Z7" i="7" s="1"/>
  <c r="Z27" i="7"/>
  <c r="AB27" i="7"/>
  <c r="AF27" i="7"/>
  <c r="AT21" i="7"/>
  <c r="AR21" i="7"/>
  <c r="AP21" i="7"/>
  <c r="AN21" i="7"/>
  <c r="AL21" i="7"/>
  <c r="AJ21" i="7"/>
  <c r="AH21" i="7"/>
  <c r="AB428" i="7"/>
  <c r="AB422" i="7" s="1"/>
  <c r="BR132" i="7" l="1"/>
  <c r="BR131" i="7" s="1"/>
  <c r="BS131" i="7" s="1"/>
  <c r="BS133" i="7"/>
  <c r="AH8" i="7"/>
  <c r="AH7" i="7" s="1"/>
  <c r="AF180" i="7" l="1"/>
  <c r="T329" i="7" l="1"/>
  <c r="T301" i="7" s="1"/>
  <c r="T410" i="7"/>
  <c r="T406" i="7" s="1"/>
  <c r="T405" i="7" s="1"/>
  <c r="T208" i="7" s="1"/>
  <c r="V329" i="7"/>
  <c r="V301" i="7" s="1"/>
  <c r="V410" i="7"/>
  <c r="V406" i="7" s="1"/>
  <c r="V405" i="7" s="1"/>
  <c r="V208" i="7" s="1"/>
  <c r="V206" i="7" s="1"/>
  <c r="X329" i="7"/>
  <c r="X301" i="7" s="1"/>
  <c r="X410" i="7"/>
  <c r="X406" i="7" s="1"/>
  <c r="X405" i="7" s="1"/>
  <c r="X208" i="7" s="1"/>
  <c r="X206" i="7" s="1"/>
  <c r="Z329" i="7"/>
  <c r="Z301" i="7" s="1"/>
  <c r="Z410" i="7"/>
  <c r="Z406" i="7" s="1"/>
  <c r="Z405" i="7" s="1"/>
  <c r="Z208" i="7" s="1"/>
  <c r="Z206" i="7" s="1"/>
  <c r="AP58" i="7"/>
  <c r="AN58" i="7"/>
  <c r="AL58" i="7"/>
  <c r="AJ58" i="7"/>
  <c r="AH58" i="7"/>
  <c r="AB58" i="7"/>
  <c r="AF58" i="7"/>
  <c r="AF21" i="7"/>
  <c r="AT16" i="7"/>
  <c r="AR16" i="7"/>
  <c r="AP16" i="7"/>
  <c r="AN16" i="7"/>
  <c r="AL16" i="7"/>
  <c r="AJ16" i="7"/>
  <c r="AH16" i="7"/>
  <c r="AF16" i="7"/>
  <c r="AT329" i="7"/>
  <c r="AT301" i="7" s="1"/>
  <c r="AT410" i="7"/>
  <c r="AT406" i="7" s="1"/>
  <c r="AT405" i="7" s="1"/>
  <c r="AT208" i="7" s="1"/>
  <c r="AT206" i="7" s="1"/>
  <c r="AR329" i="7"/>
  <c r="AR301" i="7" s="1"/>
  <c r="AR410" i="7"/>
  <c r="AR406" i="7" s="1"/>
  <c r="AR405" i="7" s="1"/>
  <c r="AR208" i="7" s="1"/>
  <c r="AR206" i="7" s="1"/>
  <c r="AP329" i="7"/>
  <c r="AP301" i="7" s="1"/>
  <c r="AP410" i="7"/>
  <c r="AP406" i="7" s="1"/>
  <c r="AP405" i="7" s="1"/>
  <c r="AP208" i="7" s="1"/>
  <c r="AP206" i="7" s="1"/>
  <c r="AN329" i="7"/>
  <c r="AN301" i="7" s="1"/>
  <c r="AN410" i="7"/>
  <c r="AN406" i="7" s="1"/>
  <c r="AN405" i="7" s="1"/>
  <c r="AN208" i="7" s="1"/>
  <c r="AN206" i="7" s="1"/>
  <c r="AL329" i="7"/>
  <c r="AL301" i="7" s="1"/>
  <c r="AL410" i="7"/>
  <c r="AL406" i="7" s="1"/>
  <c r="AL405" i="7" s="1"/>
  <c r="AL208" i="7" s="1"/>
  <c r="AL206" i="7" s="1"/>
  <c r="AJ329" i="7"/>
  <c r="AJ301" i="7" s="1"/>
  <c r="AJ410" i="7"/>
  <c r="AJ406" i="7" s="1"/>
  <c r="AJ405" i="7" s="1"/>
  <c r="AJ208" i="7" s="1"/>
  <c r="AJ206" i="7" s="1"/>
  <c r="AH329" i="7"/>
  <c r="AH301" i="7" s="1"/>
  <c r="AH410" i="7"/>
  <c r="AH406" i="7" s="1"/>
  <c r="AH405" i="7" s="1"/>
  <c r="AH208" i="7" s="1"/>
  <c r="AH206" i="7" s="1"/>
  <c r="AF329" i="7"/>
  <c r="AF301" i="7" s="1"/>
  <c r="AF410" i="7"/>
  <c r="AF406" i="7" s="1"/>
  <c r="AF405" i="7" s="1"/>
  <c r="AF208" i="7" s="1"/>
  <c r="AF206" i="7" s="1"/>
  <c r="AB329" i="7"/>
  <c r="AB301" i="7" s="1"/>
  <c r="AB410" i="7"/>
  <c r="AB406" i="7" s="1"/>
  <c r="AB405" i="7" s="1"/>
  <c r="AB208" i="7" s="1"/>
  <c r="AB206" i="7" s="1"/>
  <c r="P477" i="7"/>
  <c r="AF86" i="7"/>
  <c r="Q474" i="7"/>
  <c r="AB21" i="7"/>
  <c r="AF178" i="7"/>
  <c r="AH178" i="7"/>
  <c r="AT300" i="7" l="1"/>
  <c r="T300" i="7"/>
  <c r="T299" i="7" l="1"/>
  <c r="T201" i="7"/>
  <c r="T199" i="7" s="1"/>
  <c r="AT299" i="7"/>
  <c r="AT214" i="7" s="1"/>
  <c r="AT201" i="7"/>
  <c r="AB170" i="7"/>
  <c r="AB177" i="7"/>
  <c r="AB343" i="7"/>
  <c r="AB333" i="7" s="1"/>
  <c r="Z21" i="7"/>
  <c r="AP45" i="7"/>
  <c r="AN45" i="7"/>
  <c r="AL45" i="7"/>
  <c r="AJ45" i="7"/>
  <c r="AH45" i="7"/>
  <c r="AF45" i="7"/>
  <c r="AB45" i="7"/>
  <c r="Z45" i="7"/>
  <c r="Z41" i="7" s="1"/>
  <c r="AT27" i="7"/>
  <c r="AR27" i="7"/>
  <c r="AN27" i="7"/>
  <c r="AT190" i="7"/>
  <c r="BP129" i="7" s="1"/>
  <c r="AT170" i="7"/>
  <c r="AR300" i="7"/>
  <c r="AR190" i="7"/>
  <c r="AR177" i="7"/>
  <c r="AR170" i="7"/>
  <c r="AR58" i="7"/>
  <c r="AP300" i="7"/>
  <c r="AP190" i="7"/>
  <c r="AP177" i="7"/>
  <c r="AP170" i="7"/>
  <c r="AN300" i="7"/>
  <c r="AN190" i="7"/>
  <c r="AN177" i="7"/>
  <c r="AN170" i="7"/>
  <c r="AL300" i="7"/>
  <c r="AL190" i="7"/>
  <c r="AL177" i="7"/>
  <c r="AL170" i="7"/>
  <c r="AL150" i="7"/>
  <c r="Z16" i="7"/>
  <c r="Z58" i="7"/>
  <c r="Q462" i="7"/>
  <c r="Z86" i="7"/>
  <c r="BJ129" i="7" l="1"/>
  <c r="BL129" i="7"/>
  <c r="BN129" i="7"/>
  <c r="AT145" i="7"/>
  <c r="BP128" i="7" s="1"/>
  <c r="AR145" i="7"/>
  <c r="AN145" i="7"/>
  <c r="AP145" i="7"/>
  <c r="AL145" i="7"/>
  <c r="BH129" i="7"/>
  <c r="AT199" i="7"/>
  <c r="AT198" i="7" s="1"/>
  <c r="AL299" i="7"/>
  <c r="AL214" i="7" s="1"/>
  <c r="AL201" i="7"/>
  <c r="AN299" i="7"/>
  <c r="AN214" i="7" s="1"/>
  <c r="AN201" i="7"/>
  <c r="AP299" i="7"/>
  <c r="AP214" i="7" s="1"/>
  <c r="AP201" i="7"/>
  <c r="AR299" i="7"/>
  <c r="AR214" i="7" s="1"/>
  <c r="AR201" i="7"/>
  <c r="AT15" i="7"/>
  <c r="AT4" i="7" s="1"/>
  <c r="AF41" i="7"/>
  <c r="AL41" i="7"/>
  <c r="AN41" i="7"/>
  <c r="AH15" i="7"/>
  <c r="AH4" i="7" s="1"/>
  <c r="AH41" i="7"/>
  <c r="AB15" i="7"/>
  <c r="AB41" i="7"/>
  <c r="AJ15" i="7"/>
  <c r="AJ4" i="7" s="1"/>
  <c r="AJ3" i="7" s="1"/>
  <c r="AJ41" i="7"/>
  <c r="AP15" i="7"/>
  <c r="AP4" i="7" s="1"/>
  <c r="AP41" i="7"/>
  <c r="AF15" i="7"/>
  <c r="Z15" i="7"/>
  <c r="AR149" i="7"/>
  <c r="AP149" i="7"/>
  <c r="AT149" i="7"/>
  <c r="BP112" i="7" s="1"/>
  <c r="AL149" i="7"/>
  <c r="AN149" i="7"/>
  <c r="BJ112" i="7" s="1"/>
  <c r="AN15" i="7"/>
  <c r="AN4" i="7" s="1"/>
  <c r="AL15" i="7"/>
  <c r="AL4" i="7" s="1"/>
  <c r="AR15" i="7"/>
  <c r="AR4" i="7" s="1"/>
  <c r="V300" i="7"/>
  <c r="T15" i="7"/>
  <c r="X150" i="7"/>
  <c r="T278" i="7"/>
  <c r="T275" i="7" s="1"/>
  <c r="T271" i="7" s="1"/>
  <c r="Z150" i="7"/>
  <c r="X190" i="7"/>
  <c r="Q489" i="7"/>
  <c r="Q487" i="7"/>
  <c r="Q476" i="7"/>
  <c r="P475" i="7"/>
  <c r="AJ300" i="7"/>
  <c r="AH300" i="7"/>
  <c r="AF300" i="7"/>
  <c r="AB300" i="7"/>
  <c r="Z300" i="7"/>
  <c r="X300" i="7"/>
  <c r="AJ190" i="7"/>
  <c r="AH190" i="7"/>
  <c r="AF190" i="7"/>
  <c r="AB190" i="7"/>
  <c r="Z190" i="7"/>
  <c r="V190" i="7"/>
  <c r="V145" i="7" s="1"/>
  <c r="T190" i="7"/>
  <c r="AJ177" i="7"/>
  <c r="AH177" i="7"/>
  <c r="AF177" i="7"/>
  <c r="Z177" i="7"/>
  <c r="X177" i="7"/>
  <c r="V177" i="7"/>
  <c r="T177" i="7"/>
  <c r="AJ170" i="7"/>
  <c r="AH170" i="7"/>
  <c r="AF170" i="7"/>
  <c r="Z170" i="7"/>
  <c r="X170" i="7"/>
  <c r="V170" i="7"/>
  <c r="T170" i="7"/>
  <c r="AJ150" i="7"/>
  <c r="AH150" i="7"/>
  <c r="AF150" i="7"/>
  <c r="AB150" i="7"/>
  <c r="AB149" i="7" s="1"/>
  <c r="V150" i="7"/>
  <c r="T150" i="7"/>
  <c r="T74" i="7"/>
  <c r="T73" i="7" s="1"/>
  <c r="BL128" i="7" l="1"/>
  <c r="BN128" i="7"/>
  <c r="BJ128" i="7"/>
  <c r="BN127" i="7"/>
  <c r="BN126" i="7" s="1"/>
  <c r="BO126" i="7" s="1"/>
  <c r="BP127" i="7"/>
  <c r="BH112" i="7"/>
  <c r="BL112" i="7"/>
  <c r="BN112" i="7"/>
  <c r="BH128" i="7"/>
  <c r="AJ145" i="7"/>
  <c r="BF128" i="7" s="1"/>
  <c r="BF129" i="7"/>
  <c r="AF145" i="7"/>
  <c r="BB129" i="7"/>
  <c r="AZ129" i="7"/>
  <c r="X145" i="7"/>
  <c r="AD134" i="7"/>
  <c r="AP134" i="7"/>
  <c r="X134" i="7"/>
  <c r="AB134" i="7"/>
  <c r="AL134" i="7"/>
  <c r="AT134" i="7"/>
  <c r="AJ134" i="7"/>
  <c r="Z134" i="7"/>
  <c r="AH134" i="7"/>
  <c r="AR134" i="7"/>
  <c r="AN134" i="7"/>
  <c r="AT129" i="7"/>
  <c r="AF134" i="7"/>
  <c r="BJ139" i="7"/>
  <c r="BN139" i="7"/>
  <c r="AH139" i="7"/>
  <c r="BF139" i="7"/>
  <c r="AR129" i="7"/>
  <c r="X139" i="7"/>
  <c r="AR139" i="7"/>
  <c r="AJ139" i="7"/>
  <c r="Z129" i="7"/>
  <c r="BH139" i="7"/>
  <c r="AT139" i="7"/>
  <c r="AF139" i="7"/>
  <c r="AB139" i="7"/>
  <c r="V139" i="7"/>
  <c r="AB129" i="7"/>
  <c r="AF129" i="7"/>
  <c r="AP139" i="7"/>
  <c r="AZ139" i="7"/>
  <c r="AV139" i="7"/>
  <c r="AH129" i="7"/>
  <c r="AD129" i="7"/>
  <c r="T139" i="7"/>
  <c r="BR139" i="7"/>
  <c r="AP129" i="7"/>
  <c r="AX139" i="7"/>
  <c r="BB139" i="7"/>
  <c r="AN129" i="7"/>
  <c r="AD139" i="7"/>
  <c r="AL129" i="7"/>
  <c r="AN139" i="7"/>
  <c r="AJ129" i="7"/>
  <c r="BP139" i="7"/>
  <c r="BL139" i="7"/>
  <c r="Z139" i="7"/>
  <c r="BD139" i="7"/>
  <c r="AL139" i="7"/>
  <c r="Z145" i="7"/>
  <c r="AV129" i="7"/>
  <c r="AH145" i="7"/>
  <c r="BD129" i="7"/>
  <c r="AB145" i="7"/>
  <c r="AX129" i="7"/>
  <c r="AN148" i="7"/>
  <c r="AL148" i="7"/>
  <c r="AT148" i="7"/>
  <c r="BP95" i="7" s="1"/>
  <c r="AT144" i="7"/>
  <c r="AP148" i="7"/>
  <c r="AP199" i="7"/>
  <c r="AP198" i="7" s="1"/>
  <c r="AR199" i="7"/>
  <c r="AR198" i="7" s="1"/>
  <c r="AL199" i="7"/>
  <c r="AL198" i="7" s="1"/>
  <c r="AN199" i="7"/>
  <c r="AN198" i="7" s="1"/>
  <c r="T215" i="7"/>
  <c r="T214" i="7" s="1"/>
  <c r="T207" i="7"/>
  <c r="V299" i="7"/>
  <c r="V214" i="7" s="1"/>
  <c r="V201" i="7"/>
  <c r="X299" i="7"/>
  <c r="X214" i="7" s="1"/>
  <c r="X201" i="7"/>
  <c r="Z299" i="7"/>
  <c r="Z214" i="7" s="1"/>
  <c r="Z201" i="7"/>
  <c r="AB299" i="7"/>
  <c r="AB214" i="7" s="1"/>
  <c r="AB201" i="7"/>
  <c r="AF299" i="7"/>
  <c r="AF214" i="7" s="1"/>
  <c r="AF201" i="7"/>
  <c r="AH299" i="7"/>
  <c r="AH214" i="7" s="1"/>
  <c r="AH201" i="7"/>
  <c r="AJ299" i="7"/>
  <c r="AJ214" i="7" s="1"/>
  <c r="AJ201" i="7"/>
  <c r="AV74" i="7"/>
  <c r="AV73" i="7" s="1"/>
  <c r="AR148" i="7"/>
  <c r="BN95" i="7" s="1"/>
  <c r="AN74" i="7"/>
  <c r="AN73" i="7" s="1"/>
  <c r="X15" i="7"/>
  <c r="V15" i="7"/>
  <c r="Z149" i="7"/>
  <c r="X149" i="7"/>
  <c r="AH149" i="7"/>
  <c r="T149" i="7"/>
  <c r="V149" i="7"/>
  <c r="AJ149" i="7"/>
  <c r="BF112" i="7" s="1"/>
  <c r="AF149" i="7"/>
  <c r="AB148" i="7"/>
  <c r="BJ95" i="7" l="1"/>
  <c r="BL95" i="7"/>
  <c r="AX112" i="7"/>
  <c r="AP74" i="7"/>
  <c r="AP73" i="7" s="1"/>
  <c r="BH95" i="7"/>
  <c r="BP126" i="7"/>
  <c r="BJ127" i="7"/>
  <c r="BJ126" i="7" s="1"/>
  <c r="BK126" i="7" s="1"/>
  <c r="BF127" i="7"/>
  <c r="BF126" i="7" s="1"/>
  <c r="BG126" i="7" s="1"/>
  <c r="BH127" i="7"/>
  <c r="BH126" i="7"/>
  <c r="BI126" i="7" s="1"/>
  <c r="AT112" i="7"/>
  <c r="BL127" i="7"/>
  <c r="BL126" i="7" s="1"/>
  <c r="BM126" i="7" s="1"/>
  <c r="AV112" i="7"/>
  <c r="BB112" i="7"/>
  <c r="AZ112" i="7"/>
  <c r="AR112" i="7"/>
  <c r="AJ112" i="7"/>
  <c r="Z112" i="7"/>
  <c r="AH112" i="7"/>
  <c r="AL112" i="7"/>
  <c r="AN112" i="7"/>
  <c r="AP112" i="7"/>
  <c r="AB112" i="7"/>
  <c r="AD112" i="7"/>
  <c r="AF112" i="7"/>
  <c r="BD112" i="7"/>
  <c r="BD128" i="7"/>
  <c r="AR128" i="7"/>
  <c r="AV128" i="7"/>
  <c r="AX128" i="7"/>
  <c r="BB128" i="7"/>
  <c r="AZ128" i="7"/>
  <c r="T122" i="7"/>
  <c r="V122" i="7"/>
  <c r="X122" i="7"/>
  <c r="Z122" i="7"/>
  <c r="AL133" i="7"/>
  <c r="AL132" i="7" s="1"/>
  <c r="AL131" i="7" s="1"/>
  <c r="AR133" i="7"/>
  <c r="AR132" i="7" s="1"/>
  <c r="AR131" i="7" s="1"/>
  <c r="AT133" i="7"/>
  <c r="AD133" i="7"/>
  <c r="AD132" i="7" s="1"/>
  <c r="AD131" i="7" s="1"/>
  <c r="AN133" i="7"/>
  <c r="AN132" i="7" s="1"/>
  <c r="AN131" i="7" s="1"/>
  <c r="AP133" i="7"/>
  <c r="X133" i="7"/>
  <c r="X132" i="7" s="1"/>
  <c r="X131" i="7" s="1"/>
  <c r="AT128" i="7"/>
  <c r="AF133" i="7"/>
  <c r="AF132" i="7" s="1"/>
  <c r="AF131" i="7" s="1"/>
  <c r="AB133" i="7"/>
  <c r="Z133" i="7"/>
  <c r="Z132" i="7" s="1"/>
  <c r="Z131" i="7" s="1"/>
  <c r="AJ133" i="7"/>
  <c r="AH133" i="7"/>
  <c r="AH132" i="7" s="1"/>
  <c r="AH131" i="7" s="1"/>
  <c r="X117" i="7"/>
  <c r="Z117" i="7"/>
  <c r="BQ128" i="7"/>
  <c r="BP111" i="7"/>
  <c r="BP122" i="7"/>
  <c r="BN122" i="7"/>
  <c r="AP122" i="7"/>
  <c r="BJ122" i="7"/>
  <c r="AV122" i="7"/>
  <c r="BR122" i="7"/>
  <c r="BD122" i="7"/>
  <c r="AB122" i="7"/>
  <c r="BB122" i="7"/>
  <c r="AL122" i="7"/>
  <c r="AN122" i="7"/>
  <c r="AZ122" i="7"/>
  <c r="AJ122" i="7"/>
  <c r="BL122" i="7"/>
  <c r="AX122" i="7"/>
  <c r="AH122" i="7"/>
  <c r="AF122" i="7"/>
  <c r="AD122" i="7"/>
  <c r="BF122" i="7"/>
  <c r="AT122" i="7"/>
  <c r="AR122" i="7"/>
  <c r="BH122" i="7"/>
  <c r="AB117" i="7"/>
  <c r="AP117" i="7"/>
  <c r="AD117" i="7"/>
  <c r="AH117" i="7"/>
  <c r="AR117" i="7"/>
  <c r="AF117" i="7"/>
  <c r="AJ117" i="7"/>
  <c r="AL117" i="7"/>
  <c r="AN117" i="7"/>
  <c r="AT117" i="7"/>
  <c r="AD74" i="7"/>
  <c r="AR74" i="7"/>
  <c r="AR73" i="7" s="1"/>
  <c r="Z148" i="7"/>
  <c r="AP144" i="7"/>
  <c r="AN144" i="7"/>
  <c r="AR144" i="7"/>
  <c r="AF148" i="7"/>
  <c r="V148" i="7"/>
  <c r="T148" i="7"/>
  <c r="T144" i="7"/>
  <c r="X148" i="7"/>
  <c r="AL144" i="7"/>
  <c r="AJ148" i="7"/>
  <c r="AH148" i="7"/>
  <c r="AV72" i="7"/>
  <c r="V199" i="7"/>
  <c r="V198" i="7" s="1"/>
  <c r="Z199" i="7"/>
  <c r="Z198" i="7" s="1"/>
  <c r="AF199" i="7"/>
  <c r="AF198" i="7" s="1"/>
  <c r="AB199" i="7"/>
  <c r="X199" i="7"/>
  <c r="X198" i="7" s="1"/>
  <c r="T206" i="7"/>
  <c r="AJ199" i="7"/>
  <c r="AJ198" i="7" s="1"/>
  <c r="AH199" i="7"/>
  <c r="AH198" i="7" s="1"/>
  <c r="AL84" i="7"/>
  <c r="AL83" i="7" s="1"/>
  <c r="AN143" i="7"/>
  <c r="AT74" i="7"/>
  <c r="AT73" i="7" s="1"/>
  <c r="AT84" i="7"/>
  <c r="AT83" i="7" s="1"/>
  <c r="AT143" i="7"/>
  <c r="BP94" i="7" s="1"/>
  <c r="AR84" i="7"/>
  <c r="AR83" i="7" s="1"/>
  <c r="AR143" i="7"/>
  <c r="AL143" i="7"/>
  <c r="AN84" i="7"/>
  <c r="AP84" i="7"/>
  <c r="AP143" i="7"/>
  <c r="AF74" i="7"/>
  <c r="AF73" i="7" s="1"/>
  <c r="AD73" i="7" l="1"/>
  <c r="AD72" i="7" s="1"/>
  <c r="BN94" i="7"/>
  <c r="BH94" i="7"/>
  <c r="AL74" i="7"/>
  <c r="AL73" i="7" s="1"/>
  <c r="AL72" i="7" s="1"/>
  <c r="BF95" i="7"/>
  <c r="AT95" i="7"/>
  <c r="BJ94" i="7"/>
  <c r="BJ93" i="7" s="1"/>
  <c r="BJ92" i="7" s="1"/>
  <c r="BB95" i="7"/>
  <c r="AZ95" i="7"/>
  <c r="AX95" i="7"/>
  <c r="AB95" i="7"/>
  <c r="AF95" i="7"/>
  <c r="AH95" i="7"/>
  <c r="AJ95" i="7"/>
  <c r="AL95" i="7"/>
  <c r="AN95" i="7"/>
  <c r="AP95" i="7"/>
  <c r="AR95" i="7"/>
  <c r="AB74" i="7"/>
  <c r="AB73" i="7" s="1"/>
  <c r="AV95" i="7"/>
  <c r="BL94" i="7"/>
  <c r="BL93" i="7" s="1"/>
  <c r="BL92" i="7" s="1"/>
  <c r="BD95" i="7"/>
  <c r="BQ126" i="7"/>
  <c r="AV127" i="7"/>
  <c r="AV126" i="7"/>
  <c r="AW126" i="7" s="1"/>
  <c r="AZ127" i="7"/>
  <c r="AZ126" i="7"/>
  <c r="BA126" i="7" s="1"/>
  <c r="BB127" i="7"/>
  <c r="BB126" i="7" s="1"/>
  <c r="BC126" i="7" s="1"/>
  <c r="AX127" i="7"/>
  <c r="AX126" i="7"/>
  <c r="AY126" i="7" s="1"/>
  <c r="AR127" i="7"/>
  <c r="AR126" i="7" s="1"/>
  <c r="AS126" i="7" s="1"/>
  <c r="BD127" i="7"/>
  <c r="BD126" i="7"/>
  <c r="BE126" i="7" s="1"/>
  <c r="AT127" i="7"/>
  <c r="AT126" i="7"/>
  <c r="AU126" i="7" s="1"/>
  <c r="AB132" i="7"/>
  <c r="AB131" i="7" s="1"/>
  <c r="X105" i="7"/>
  <c r="T105" i="7"/>
  <c r="V105" i="7"/>
  <c r="Z105" i="7"/>
  <c r="AT132" i="7"/>
  <c r="AT131" i="7" s="1"/>
  <c r="T121" i="7"/>
  <c r="AP132" i="7"/>
  <c r="AP131" i="7" s="1"/>
  <c r="Z100" i="7"/>
  <c r="X100" i="7"/>
  <c r="AJ132" i="7"/>
  <c r="AJ131" i="7" s="1"/>
  <c r="BI128" i="7"/>
  <c r="BO128" i="7"/>
  <c r="X144" i="7"/>
  <c r="AB105" i="7"/>
  <c r="AF144" i="7"/>
  <c r="BJ111" i="7"/>
  <c r="AR72" i="7"/>
  <c r="BL111" i="7"/>
  <c r="BH111" i="7"/>
  <c r="BN111" i="7"/>
  <c r="Z143" i="7"/>
  <c r="AF100" i="7"/>
  <c r="X74" i="7"/>
  <c r="X73" i="7" s="1"/>
  <c r="AH74" i="7"/>
  <c r="AH73" i="7" s="1"/>
  <c r="AJ144" i="7"/>
  <c r="BQ111" i="7"/>
  <c r="BP110" i="7"/>
  <c r="BP109" i="7" s="1"/>
  <c r="BQ109" i="7" s="1"/>
  <c r="AB100" i="7"/>
  <c r="AH144" i="7"/>
  <c r="AR100" i="7"/>
  <c r="V144" i="7"/>
  <c r="V121" i="7" s="1"/>
  <c r="V120" i="7" s="1"/>
  <c r="V119" i="7" s="1"/>
  <c r="Z74" i="7"/>
  <c r="Z73" i="7" s="1"/>
  <c r="AP105" i="7"/>
  <c r="BN105" i="7"/>
  <c r="BH105" i="7"/>
  <c r="AP100" i="7"/>
  <c r="AJ74" i="7"/>
  <c r="AJ73" i="7" s="1"/>
  <c r="AZ105" i="7"/>
  <c r="AD95" i="7"/>
  <c r="AX105" i="7"/>
  <c r="AD100" i="7"/>
  <c r="AJ105" i="7"/>
  <c r="AH105" i="7"/>
  <c r="BL105" i="7"/>
  <c r="AD105" i="7"/>
  <c r="AL100" i="7"/>
  <c r="AJ100" i="7"/>
  <c r="AB198" i="7"/>
  <c r="AB143" i="7" s="1"/>
  <c r="AB144" i="7"/>
  <c r="AT100" i="7"/>
  <c r="AT105" i="7"/>
  <c r="V74" i="7"/>
  <c r="V73" i="7" s="1"/>
  <c r="BB105" i="7"/>
  <c r="AL105" i="7"/>
  <c r="BR105" i="7"/>
  <c r="BJ105" i="7"/>
  <c r="BF105" i="7"/>
  <c r="AV105" i="7"/>
  <c r="AH100" i="7"/>
  <c r="AR105" i="7"/>
  <c r="Z144" i="7"/>
  <c r="AN100" i="7"/>
  <c r="BP105" i="7"/>
  <c r="T198" i="7"/>
  <c r="T84" i="7" s="1"/>
  <c r="T83" i="7" s="1"/>
  <c r="T72" i="7" s="1"/>
  <c r="T145" i="7"/>
  <c r="BD105" i="7"/>
  <c r="AN105" i="7"/>
  <c r="AF105" i="7"/>
  <c r="AT72" i="7"/>
  <c r="BH93" i="7"/>
  <c r="BH92" i="7" s="1"/>
  <c r="AT106" i="7"/>
  <c r="AN71" i="7"/>
  <c r="AN106" i="7"/>
  <c r="AF84" i="7"/>
  <c r="AF83" i="7" s="1"/>
  <c r="AF72" i="7" s="1"/>
  <c r="AJ84" i="7"/>
  <c r="AJ83" i="7" s="1"/>
  <c r="AH84" i="7"/>
  <c r="AH83" i="7" s="1"/>
  <c r="AP71" i="7"/>
  <c r="AP106" i="7"/>
  <c r="AL71" i="7"/>
  <c r="AL69" i="7" s="1"/>
  <c r="AL6" i="7" s="1"/>
  <c r="AL106" i="7"/>
  <c r="AR71" i="7"/>
  <c r="AR106" i="7"/>
  <c r="AT71" i="7"/>
  <c r="AP83" i="7"/>
  <c r="AP72" i="7" s="1"/>
  <c r="AN83" i="7"/>
  <c r="AN72" i="7" s="1"/>
  <c r="AJ143" i="7"/>
  <c r="BF94" i="7" s="1"/>
  <c r="AF143" i="7"/>
  <c r="AH143" i="7"/>
  <c r="Z84" i="7"/>
  <c r="Z83" i="7" s="1"/>
  <c r="V84" i="7"/>
  <c r="V83" i="7" s="1"/>
  <c r="V143" i="7"/>
  <c r="X84" i="7"/>
  <c r="X83" i="7" s="1"/>
  <c r="X143" i="7"/>
  <c r="BD94" i="7" l="1"/>
  <c r="AV94" i="7"/>
  <c r="AT94" i="7"/>
  <c r="V106" i="7"/>
  <c r="AR94" i="7"/>
  <c r="AX94" i="7"/>
  <c r="BB94" i="7"/>
  <c r="AZ94" i="7"/>
  <c r="BK111" i="7"/>
  <c r="BO111" i="7"/>
  <c r="BM111" i="7"/>
  <c r="BN110" i="7"/>
  <c r="BN109" i="7" s="1"/>
  <c r="BO109" i="7" s="1"/>
  <c r="Z111" i="7"/>
  <c r="Z110" i="7" s="1"/>
  <c r="X121" i="7"/>
  <c r="X120" i="7" s="1"/>
  <c r="X119" i="7" s="1"/>
  <c r="Z121" i="7"/>
  <c r="Z120" i="7" s="1"/>
  <c r="Z119" i="7" s="1"/>
  <c r="Z99" i="7"/>
  <c r="Z98" i="7" s="1"/>
  <c r="X99" i="7"/>
  <c r="X106" i="7"/>
  <c r="Z116" i="7"/>
  <c r="X116" i="7"/>
  <c r="T120" i="7"/>
  <c r="T119" i="7" s="1"/>
  <c r="BR138" i="7"/>
  <c r="AB138" i="7"/>
  <c r="AB137" i="7" s="1"/>
  <c r="AB136" i="7" s="1"/>
  <c r="AF128" i="7"/>
  <c r="BJ138" i="7"/>
  <c r="BN138" i="7"/>
  <c r="BN137" i="7" s="1"/>
  <c r="BN136" i="7" s="1"/>
  <c r="AB128" i="7"/>
  <c r="AL128" i="7"/>
  <c r="BF138" i="7"/>
  <c r="BF137" i="7" s="1"/>
  <c r="BF136" i="7" s="1"/>
  <c r="AN128" i="7"/>
  <c r="BL138" i="7"/>
  <c r="AT138" i="7"/>
  <c r="BD138" i="7"/>
  <c r="BD137" i="7" s="1"/>
  <c r="BD136" i="7" s="1"/>
  <c r="AJ128" i="7"/>
  <c r="AP128" i="7"/>
  <c r="AH138" i="7"/>
  <c r="AD128" i="7"/>
  <c r="V138" i="7"/>
  <c r="BH138" i="7"/>
  <c r="X138" i="7"/>
  <c r="AR138" i="7"/>
  <c r="AX138" i="7"/>
  <c r="BB138" i="7"/>
  <c r="AD138" i="7"/>
  <c r="AD137" i="7" s="1"/>
  <c r="AD136" i="7" s="1"/>
  <c r="AH128" i="7"/>
  <c r="AN138" i="7"/>
  <c r="AN137" i="7" s="1"/>
  <c r="AN136" i="7" s="1"/>
  <c r="AJ138" i="7"/>
  <c r="AF138" i="7"/>
  <c r="Z128" i="7"/>
  <c r="Z127" i="7" s="1"/>
  <c r="AL138" i="7"/>
  <c r="Z138" i="7"/>
  <c r="AP138" i="7"/>
  <c r="AV138" i="7"/>
  <c r="BP138" i="7"/>
  <c r="AZ138" i="7"/>
  <c r="T138" i="7"/>
  <c r="Z71" i="7"/>
  <c r="Z106" i="7"/>
  <c r="AS128" i="7"/>
  <c r="BE128" i="7"/>
  <c r="BK128" i="7"/>
  <c r="BJ110" i="7"/>
  <c r="BJ109" i="7" s="1"/>
  <c r="BK109" i="7" s="1"/>
  <c r="AF116" i="7"/>
  <c r="BM128" i="7"/>
  <c r="BG128" i="7"/>
  <c r="AB121" i="7"/>
  <c r="AN121" i="7"/>
  <c r="AN120" i="7" s="1"/>
  <c r="AN119" i="7" s="1"/>
  <c r="AH116" i="7"/>
  <c r="BN121" i="7"/>
  <c r="AJ121" i="7"/>
  <c r="AJ120" i="7" s="1"/>
  <c r="AJ119" i="7" s="1"/>
  <c r="BP121" i="7"/>
  <c r="BP120" i="7" s="1"/>
  <c r="BP119" i="7" s="1"/>
  <c r="BF121" i="7"/>
  <c r="AP116" i="7"/>
  <c r="AB84" i="7"/>
  <c r="AB83" i="7" s="1"/>
  <c r="AB72" i="7" s="1"/>
  <c r="AR111" i="7"/>
  <c r="AF121" i="7"/>
  <c r="AF120" i="7" s="1"/>
  <c r="AF119" i="7" s="1"/>
  <c r="AH111" i="7"/>
  <c r="AD121" i="7"/>
  <c r="AL111" i="7"/>
  <c r="BD111" i="7"/>
  <c r="AX111" i="7"/>
  <c r="AN116" i="7"/>
  <c r="AJ111" i="7"/>
  <c r="AX121" i="7"/>
  <c r="BF111" i="7"/>
  <c r="AN111" i="7"/>
  <c r="BL121" i="7"/>
  <c r="BL120" i="7" s="1"/>
  <c r="BL119" i="7" s="1"/>
  <c r="AP121" i="7"/>
  <c r="AP120" i="7" s="1"/>
  <c r="AP119" i="7" s="1"/>
  <c r="BB111" i="7"/>
  <c r="AZ111" i="7"/>
  <c r="AT116" i="7"/>
  <c r="AL116" i="7"/>
  <c r="AJ116" i="7"/>
  <c r="BB121" i="7"/>
  <c r="BB120" i="7" s="1"/>
  <c r="BB119" i="7" s="1"/>
  <c r="AP111" i="7"/>
  <c r="AH121" i="7"/>
  <c r="AV121" i="7"/>
  <c r="AV120" i="7" s="1"/>
  <c r="AV119" i="7" s="1"/>
  <c r="BD121" i="7"/>
  <c r="BD120" i="7" s="1"/>
  <c r="BD119" i="7" s="1"/>
  <c r="BL110" i="7"/>
  <c r="BL109" i="7" s="1"/>
  <c r="BM109" i="7" s="1"/>
  <c r="AV111" i="7"/>
  <c r="AD111" i="7"/>
  <c r="AR116" i="7"/>
  <c r="AF111" i="7"/>
  <c r="AL121" i="7"/>
  <c r="AB116" i="7"/>
  <c r="BH121" i="7"/>
  <c r="AB111" i="7"/>
  <c r="BR121" i="7"/>
  <c r="BR120" i="7" s="1"/>
  <c r="BR119" i="7" s="1"/>
  <c r="AT111" i="7"/>
  <c r="BJ121" i="7"/>
  <c r="AR121" i="7"/>
  <c r="AZ121" i="7"/>
  <c r="AZ120" i="7" s="1"/>
  <c r="AZ119" i="7" s="1"/>
  <c r="AD116" i="7"/>
  <c r="AT121" i="7"/>
  <c r="AT120" i="7" s="1"/>
  <c r="AT119" i="7" s="1"/>
  <c r="AH72" i="7"/>
  <c r="BI111" i="7"/>
  <c r="BH110" i="7"/>
  <c r="BH109" i="7" s="1"/>
  <c r="BI109" i="7" s="1"/>
  <c r="X72" i="7"/>
  <c r="Z72" i="7"/>
  <c r="AJ72" i="7"/>
  <c r="V72" i="7"/>
  <c r="T143" i="7"/>
  <c r="BF93" i="7"/>
  <c r="BF92" i="7" s="1"/>
  <c r="AD99" i="7"/>
  <c r="AE99" i="7" s="1"/>
  <c r="BD93" i="7"/>
  <c r="BD92" i="7" s="1"/>
  <c r="AT93" i="7"/>
  <c r="AT92" i="7" s="1"/>
  <c r="V71" i="7"/>
  <c r="AV93" i="7"/>
  <c r="AV92" i="7" s="1"/>
  <c r="AB71" i="7"/>
  <c r="AB106" i="7"/>
  <c r="AB99" i="7"/>
  <c r="AT99" i="7"/>
  <c r="AR99" i="7"/>
  <c r="AP99" i="7"/>
  <c r="AN69" i="7"/>
  <c r="AP69" i="7" s="1"/>
  <c r="AR69" i="7" s="1"/>
  <c r="AT69" i="7" s="1"/>
  <c r="AF71" i="7"/>
  <c r="AF106" i="7"/>
  <c r="AJ71" i="7"/>
  <c r="AJ106" i="7"/>
  <c r="AH71" i="7"/>
  <c r="AH106" i="7"/>
  <c r="X71" i="7"/>
  <c r="AN99" i="7"/>
  <c r="AL99" i="7"/>
  <c r="AM99" i="7" s="1"/>
  <c r="AJ99" i="7"/>
  <c r="AH99" i="7"/>
  <c r="AF99" i="7"/>
  <c r="T70" i="7"/>
  <c r="AB94" i="7" l="1"/>
  <c r="AB93" i="7" s="1"/>
  <c r="AB92" i="7" s="1"/>
  <c r="AF94" i="7"/>
  <c r="AF93" i="7" s="1"/>
  <c r="AF92" i="7" s="1"/>
  <c r="AH94" i="7"/>
  <c r="AH93" i="7" s="1"/>
  <c r="AH92" i="7" s="1"/>
  <c r="AJ94" i="7"/>
  <c r="AJ93" i="7" s="1"/>
  <c r="AJ92" i="7" s="1"/>
  <c r="AL94" i="7"/>
  <c r="AL93" i="7" s="1"/>
  <c r="AL92" i="7" s="1"/>
  <c r="AN94" i="7"/>
  <c r="AN93" i="7" s="1"/>
  <c r="AN92" i="7" s="1"/>
  <c r="AP94" i="7"/>
  <c r="AP93" i="7" s="1"/>
  <c r="AP92" i="7" s="1"/>
  <c r="AF127" i="7"/>
  <c r="AF126" i="7" s="1"/>
  <c r="AG126" i="7" s="1"/>
  <c r="AJ127" i="7"/>
  <c r="AJ126" i="7" s="1"/>
  <c r="AK126" i="7" s="1"/>
  <c r="AN127" i="7"/>
  <c r="AN126" i="7" s="1"/>
  <c r="AO126" i="7" s="1"/>
  <c r="AH127" i="7"/>
  <c r="AH126" i="7"/>
  <c r="AI126" i="7" s="1"/>
  <c r="AD127" i="7"/>
  <c r="AD126" i="7"/>
  <c r="AE126" i="7" s="1"/>
  <c r="AP127" i="7"/>
  <c r="AP126" i="7"/>
  <c r="AQ126" i="7" s="1"/>
  <c r="AL127" i="7"/>
  <c r="AL126" i="7" s="1"/>
  <c r="AM126" i="7" s="1"/>
  <c r="AB127" i="7"/>
  <c r="AB126" i="7" s="1"/>
  <c r="AC126" i="7" s="1"/>
  <c r="BD110" i="7"/>
  <c r="BD109" i="7" s="1"/>
  <c r="BE109" i="7" s="1"/>
  <c r="AU111" i="7"/>
  <c r="BF110" i="7"/>
  <c r="BF109" i="7" s="1"/>
  <c r="BG109" i="7" s="1"/>
  <c r="AX110" i="7"/>
  <c r="AX109" i="7"/>
  <c r="AY109" i="7" s="1"/>
  <c r="AL110" i="7"/>
  <c r="AL109" i="7" s="1"/>
  <c r="AM109" i="7" s="1"/>
  <c r="X98" i="7"/>
  <c r="AR137" i="7"/>
  <c r="AR136" i="7" s="1"/>
  <c r="AF137" i="7"/>
  <c r="AF136" i="7" s="1"/>
  <c r="T106" i="7"/>
  <c r="T104" i="7"/>
  <c r="Z104" i="7"/>
  <c r="V104" i="7"/>
  <c r="X104" i="7"/>
  <c r="X115" i="7"/>
  <c r="X114" i="7"/>
  <c r="T137" i="7"/>
  <c r="T136" i="7" s="1"/>
  <c r="AH137" i="7"/>
  <c r="AH136" i="7" s="1"/>
  <c r="AI136" i="7" s="1"/>
  <c r="AV137" i="7"/>
  <c r="AV136" i="7" s="1"/>
  <c r="AW136" i="7" s="1"/>
  <c r="BJ137" i="7"/>
  <c r="BJ136" i="7" s="1"/>
  <c r="BK136" i="7" s="1"/>
  <c r="AX137" i="7"/>
  <c r="AX136" i="7" s="1"/>
  <c r="AY136" i="7" s="1"/>
  <c r="BN120" i="7"/>
  <c r="BN119" i="7" s="1"/>
  <c r="X137" i="7"/>
  <c r="X136" i="7" s="1"/>
  <c r="V137" i="7"/>
  <c r="V136" i="7" s="1"/>
  <c r="AP137" i="7"/>
  <c r="AP136" i="7" s="1"/>
  <c r="AQ136" i="7" s="1"/>
  <c r="BB137" i="7"/>
  <c r="BB136" i="7" s="1"/>
  <c r="BC136" i="7" s="1"/>
  <c r="BH137" i="7"/>
  <c r="BH136" i="7" s="1"/>
  <c r="BI136" i="7" s="1"/>
  <c r="Z114" i="7"/>
  <c r="Z115" i="7"/>
  <c r="AZ137" i="7"/>
  <c r="AZ136" i="7" s="1"/>
  <c r="BA136" i="7" s="1"/>
  <c r="Z137" i="7"/>
  <c r="Z136" i="7" s="1"/>
  <c r="AT137" i="7"/>
  <c r="AT136" i="7" s="1"/>
  <c r="AU136" i="7" s="1"/>
  <c r="AJ137" i="7"/>
  <c r="AJ136" i="7" s="1"/>
  <c r="AK136" i="7" s="1"/>
  <c r="BP137" i="7"/>
  <c r="BP136" i="7" s="1"/>
  <c r="BQ136" i="7" s="1"/>
  <c r="AL137" i="7"/>
  <c r="AL136" i="7" s="1"/>
  <c r="AM136" i="7" s="1"/>
  <c r="BL137" i="7"/>
  <c r="BL136" i="7" s="1"/>
  <c r="BM136" i="7" s="1"/>
  <c r="AK138" i="7"/>
  <c r="AG133" i="7"/>
  <c r="AO128" i="7"/>
  <c r="AE133" i="7"/>
  <c r="AE128" i="7"/>
  <c r="AQ133" i="7"/>
  <c r="AQ131" i="7"/>
  <c r="AU133" i="7"/>
  <c r="AS131" i="7"/>
  <c r="AS138" i="7"/>
  <c r="AW128" i="7"/>
  <c r="AC128" i="7"/>
  <c r="AY128" i="7"/>
  <c r="AU128" i="7"/>
  <c r="AQ138" i="7"/>
  <c r="BM138" i="7"/>
  <c r="AC133" i="7"/>
  <c r="AM128" i="7"/>
  <c r="BI138" i="7"/>
  <c r="AI138" i="7"/>
  <c r="AC136" i="7"/>
  <c r="AC138" i="7"/>
  <c r="AQ128" i="7"/>
  <c r="AO133" i="7"/>
  <c r="BA138" i="7"/>
  <c r="AS133" i="7"/>
  <c r="BO136" i="7"/>
  <c r="BO138" i="7"/>
  <c r="AM138" i="7"/>
  <c r="AM131" i="7"/>
  <c r="BK138" i="7"/>
  <c r="AE138" i="7"/>
  <c r="AE131" i="7"/>
  <c r="AE136" i="7"/>
  <c r="AI133" i="7"/>
  <c r="AM133" i="7"/>
  <c r="AW138" i="7"/>
  <c r="AY138" i="7"/>
  <c r="AG138" i="7"/>
  <c r="AG131" i="7"/>
  <c r="AU131" i="7"/>
  <c r="AU138" i="7"/>
  <c r="BE138" i="7"/>
  <c r="BE136" i="7"/>
  <c r="AI128" i="7"/>
  <c r="AK128" i="7"/>
  <c r="BC138" i="7"/>
  <c r="BA128" i="7"/>
  <c r="AO136" i="7"/>
  <c r="AO138" i="7"/>
  <c r="BG138" i="7"/>
  <c r="BG136" i="7"/>
  <c r="AG128" i="7"/>
  <c r="BS138" i="7"/>
  <c r="BR137" i="7"/>
  <c r="BR136" i="7" s="1"/>
  <c r="BS136" i="7" s="1"/>
  <c r="AK131" i="7"/>
  <c r="AK133" i="7"/>
  <c r="BQ138" i="7"/>
  <c r="BC128" i="7"/>
  <c r="AN104" i="7"/>
  <c r="AN103" i="7" s="1"/>
  <c r="AN102" i="7" s="1"/>
  <c r="AO102" i="7" s="1"/>
  <c r="BD104" i="7"/>
  <c r="BE104" i="7" s="1"/>
  <c r="AD104" i="7"/>
  <c r="AE104" i="7" s="1"/>
  <c r="AF104" i="7"/>
  <c r="AF103" i="7" s="1"/>
  <c r="AF102" i="7" s="1"/>
  <c r="AG102" i="7" s="1"/>
  <c r="AR104" i="7"/>
  <c r="AR103" i="7" s="1"/>
  <c r="AR102" i="7" s="1"/>
  <c r="AS102" i="7" s="1"/>
  <c r="BN104" i="7"/>
  <c r="BN103" i="7" s="1"/>
  <c r="BN102" i="7" s="1"/>
  <c r="BO102" i="7" s="1"/>
  <c r="BF104" i="7"/>
  <c r="BG104" i="7" s="1"/>
  <c r="AL104" i="7"/>
  <c r="AM104" i="7" s="1"/>
  <c r="AD94" i="7"/>
  <c r="AE94" i="7" s="1"/>
  <c r="BP104" i="7"/>
  <c r="BQ104" i="7" s="1"/>
  <c r="BH104" i="7"/>
  <c r="BI104" i="7" s="1"/>
  <c r="AY111" i="7"/>
  <c r="AX104" i="7"/>
  <c r="AX103" i="7" s="1"/>
  <c r="AP104" i="7"/>
  <c r="AP103" i="7" s="1"/>
  <c r="AP102" i="7" s="1"/>
  <c r="AQ102" i="7" s="1"/>
  <c r="AT104" i="7"/>
  <c r="AU104" i="7" s="1"/>
  <c r="BF120" i="7"/>
  <c r="BF119" i="7" s="1"/>
  <c r="BG111" i="7"/>
  <c r="BE111" i="7"/>
  <c r="AL120" i="7"/>
  <c r="AL119" i="7" s="1"/>
  <c r="BH120" i="7"/>
  <c r="BH119" i="7" s="1"/>
  <c r="AX120" i="7"/>
  <c r="AX119" i="7" s="1"/>
  <c r="AH120" i="7"/>
  <c r="AH119" i="7" s="1"/>
  <c r="AR120" i="7"/>
  <c r="AR119" i="7" s="1"/>
  <c r="BJ120" i="7"/>
  <c r="BJ119" i="7" s="1"/>
  <c r="AD120" i="7"/>
  <c r="AD119" i="7" s="1"/>
  <c r="BR104" i="7"/>
  <c r="BS104" i="7" s="1"/>
  <c r="T71" i="7"/>
  <c r="T69" i="7" s="1"/>
  <c r="T68" i="7" s="1"/>
  <c r="AD115" i="7"/>
  <c r="AE116" i="7"/>
  <c r="AH115" i="7"/>
  <c r="AI116" i="7"/>
  <c r="AK116" i="7"/>
  <c r="AJ115" i="7"/>
  <c r="AU116" i="7"/>
  <c r="AT115" i="7"/>
  <c r="AM116" i="7"/>
  <c r="AL115" i="7"/>
  <c r="AO116" i="7"/>
  <c r="AN115" i="7"/>
  <c r="AR110" i="7"/>
  <c r="AR109" i="7" s="1"/>
  <c r="AS109" i="7" s="1"/>
  <c r="AS111" i="7"/>
  <c r="AH104" i="7"/>
  <c r="AI104" i="7" s="1"/>
  <c r="AZ110" i="7"/>
  <c r="AZ109" i="7" s="1"/>
  <c r="BA109" i="7" s="1"/>
  <c r="BA111" i="7"/>
  <c r="AF115" i="7"/>
  <c r="AG116" i="7"/>
  <c r="AS116" i="7"/>
  <c r="AR115" i="7"/>
  <c r="BJ104" i="7"/>
  <c r="BJ103" i="7" s="1"/>
  <c r="BJ102" i="7" s="1"/>
  <c r="BK102" i="7" s="1"/>
  <c r="AV110" i="7"/>
  <c r="AV109" i="7" s="1"/>
  <c r="AW109" i="7" s="1"/>
  <c r="AW111" i="7"/>
  <c r="AZ104" i="7"/>
  <c r="BA104" i="7" s="1"/>
  <c r="BL104" i="7"/>
  <c r="BL103" i="7" s="1"/>
  <c r="BL102" i="7" s="1"/>
  <c r="BM102" i="7" s="1"/>
  <c r="BB110" i="7"/>
  <c r="BB109" i="7" s="1"/>
  <c r="BC109" i="7" s="1"/>
  <c r="BC111" i="7"/>
  <c r="AT110" i="7"/>
  <c r="AT109" i="7" s="1"/>
  <c r="AU109" i="7" s="1"/>
  <c r="AQ116" i="7"/>
  <c r="AP115" i="7"/>
  <c r="AB115" i="7"/>
  <c r="AC116" i="7"/>
  <c r="AJ104" i="7"/>
  <c r="AK104" i="7" s="1"/>
  <c r="AD98" i="7"/>
  <c r="AB104" i="7"/>
  <c r="AB103" i="7" s="1"/>
  <c r="AB97" i="7" s="1"/>
  <c r="AC97" i="7" s="1"/>
  <c r="BB104" i="7"/>
  <c r="BB103" i="7" s="1"/>
  <c r="BB102" i="7" s="1"/>
  <c r="BC102" i="7" s="1"/>
  <c r="AV104" i="7"/>
  <c r="AV103" i="7" s="1"/>
  <c r="AW97" i="7" s="1"/>
  <c r="AZ93" i="7"/>
  <c r="AZ92" i="7" s="1"/>
  <c r="AX93" i="7"/>
  <c r="AX92" i="7" s="1"/>
  <c r="AR93" i="7"/>
  <c r="AR92" i="7" s="1"/>
  <c r="BB93" i="7"/>
  <c r="BB92" i="7" s="1"/>
  <c r="AV69" i="7"/>
  <c r="AV6" i="7" s="1"/>
  <c r="AC99" i="7"/>
  <c r="AB98" i="7"/>
  <c r="AG99" i="7"/>
  <c r="AF98" i="7"/>
  <c r="AJ98" i="7"/>
  <c r="AK99" i="7"/>
  <c r="AH98" i="7"/>
  <c r="AI99" i="7"/>
  <c r="AP98" i="7"/>
  <c r="AQ99" i="7"/>
  <c r="AR98" i="7"/>
  <c r="AS99" i="7"/>
  <c r="AT98" i="7"/>
  <c r="AU99" i="7"/>
  <c r="AL98" i="7"/>
  <c r="AO99" i="7"/>
  <c r="AN98" i="7"/>
  <c r="AW99" i="7"/>
  <c r="V70" i="7"/>
  <c r="BD103" i="7" l="1"/>
  <c r="BD102" i="7" s="1"/>
  <c r="BE102" i="7" s="1"/>
  <c r="X103" i="7"/>
  <c r="X97" i="7" s="1"/>
  <c r="Z103" i="7"/>
  <c r="Z97" i="7" s="1"/>
  <c r="AO104" i="7"/>
  <c r="V103" i="7"/>
  <c r="V102" i="7" s="1"/>
  <c r="T103" i="7"/>
  <c r="T102" i="7" s="1"/>
  <c r="BP103" i="7"/>
  <c r="BP102" i="7" s="1"/>
  <c r="BQ102" i="7" s="1"/>
  <c r="AL103" i="7"/>
  <c r="AL102" i="7" s="1"/>
  <c r="AM102" i="7" s="1"/>
  <c r="AY104" i="7"/>
  <c r="BF103" i="7"/>
  <c r="BF102" i="7" s="1"/>
  <c r="BG102" i="7" s="1"/>
  <c r="BH103" i="7"/>
  <c r="BH102" i="7" s="1"/>
  <c r="BI102" i="7" s="1"/>
  <c r="AG104" i="7"/>
  <c r="AI131" i="7"/>
  <c r="AC131" i="7"/>
  <c r="AS104" i="7"/>
  <c r="AO131" i="7"/>
  <c r="AD103" i="7"/>
  <c r="AD97" i="7" s="1"/>
  <c r="AE97" i="7" s="1"/>
  <c r="AD93" i="7"/>
  <c r="AD92" i="7" s="1"/>
  <c r="AE92" i="7" s="1"/>
  <c r="AG136" i="7"/>
  <c r="AS136" i="7"/>
  <c r="BO104" i="7"/>
  <c r="AT103" i="7"/>
  <c r="AT102" i="7" s="1"/>
  <c r="AU102" i="7" s="1"/>
  <c r="AQ104" i="7"/>
  <c r="V69" i="7"/>
  <c r="X69" i="7" s="1"/>
  <c r="Z69" i="7" s="1"/>
  <c r="AB69" i="7" s="1"/>
  <c r="AD69" i="7" s="1"/>
  <c r="AF69" i="7" s="1"/>
  <c r="AH69" i="7" s="1"/>
  <c r="AH6" i="7" s="1"/>
  <c r="BR103" i="7"/>
  <c r="BR102" i="7" s="1"/>
  <c r="BS102" i="7" s="1"/>
  <c r="BK104" i="7"/>
  <c r="AW104" i="7"/>
  <c r="BM104" i="7"/>
  <c r="AJ103" i="7"/>
  <c r="AJ97" i="7" s="1"/>
  <c r="AK97" i="7" s="1"/>
  <c r="AH103" i="7"/>
  <c r="AH97" i="7" s="1"/>
  <c r="AI97" i="7" s="1"/>
  <c r="AZ103" i="7"/>
  <c r="AZ102" i="7" s="1"/>
  <c r="BA102" i="7" s="1"/>
  <c r="BC121" i="7"/>
  <c r="BC119" i="7"/>
  <c r="AS121" i="7"/>
  <c r="AR114" i="7"/>
  <c r="AS114" i="7" s="1"/>
  <c r="AS119" i="7"/>
  <c r="AK111" i="7"/>
  <c r="AJ110" i="7"/>
  <c r="AJ109" i="7" s="1"/>
  <c r="AK109" i="7" s="1"/>
  <c r="AM111" i="7"/>
  <c r="AP110" i="7"/>
  <c r="AP109" i="7" s="1"/>
  <c r="AQ109" i="7" s="1"/>
  <c r="AQ111" i="7"/>
  <c r="BA121" i="7"/>
  <c r="BA119" i="7"/>
  <c r="BK121" i="7"/>
  <c r="BK119" i="7"/>
  <c r="BG119" i="7"/>
  <c r="BG121" i="7"/>
  <c r="AI111" i="7"/>
  <c r="AH110" i="7"/>
  <c r="AH109" i="7" s="1"/>
  <c r="AI109" i="7" s="1"/>
  <c r="AJ114" i="7"/>
  <c r="AK114" i="7" s="1"/>
  <c r="AK119" i="7"/>
  <c r="AK121" i="7"/>
  <c r="AC111" i="7"/>
  <c r="AB110" i="7"/>
  <c r="AB109" i="7" s="1"/>
  <c r="AC109" i="7" s="1"/>
  <c r="AO111" i="7"/>
  <c r="AN110" i="7"/>
  <c r="AN109" i="7" s="1"/>
  <c r="AO109" i="7" s="1"/>
  <c r="BE119" i="7"/>
  <c r="BE121" i="7"/>
  <c r="AE111" i="7"/>
  <c r="AD110" i="7"/>
  <c r="AD109" i="7" s="1"/>
  <c r="AE109" i="7" s="1"/>
  <c r="AC104" i="7"/>
  <c r="AY121" i="7"/>
  <c r="AY119" i="7"/>
  <c r="AG121" i="7"/>
  <c r="AF114" i="7"/>
  <c r="AG114" i="7" s="1"/>
  <c r="AO121" i="7"/>
  <c r="BI119" i="7"/>
  <c r="BI121" i="7"/>
  <c r="BQ121" i="7"/>
  <c r="BQ119" i="7"/>
  <c r="BM121" i="7"/>
  <c r="BM119" i="7"/>
  <c r="AD114" i="7"/>
  <c r="AE114" i="7" s="1"/>
  <c r="AE119" i="7"/>
  <c r="AE121" i="7"/>
  <c r="BC104" i="7"/>
  <c r="BO121" i="7"/>
  <c r="BO119" i="7"/>
  <c r="AL114" i="7"/>
  <c r="AM114" i="7" s="1"/>
  <c r="AM119" i="7"/>
  <c r="AM121" i="7"/>
  <c r="AQ121" i="7"/>
  <c r="AI121" i="7"/>
  <c r="AH114" i="7"/>
  <c r="AI114" i="7" s="1"/>
  <c r="AI119" i="7"/>
  <c r="AT114" i="7"/>
  <c r="AU114" i="7" s="1"/>
  <c r="AU121" i="7"/>
  <c r="AU119" i="7"/>
  <c r="AC121" i="7"/>
  <c r="AB120" i="7"/>
  <c r="AB114" i="7" s="1"/>
  <c r="AC114" i="7" s="1"/>
  <c r="AW121" i="7"/>
  <c r="AW119" i="7"/>
  <c r="AG111" i="7"/>
  <c r="AF110" i="7"/>
  <c r="AF109" i="7" s="1"/>
  <c r="AG109" i="7" s="1"/>
  <c r="BS121" i="7"/>
  <c r="BS119" i="7"/>
  <c r="AX69" i="7"/>
  <c r="AX6" i="7" s="1"/>
  <c r="AF97" i="7"/>
  <c r="AG97" i="7" s="1"/>
  <c r="AB102" i="7"/>
  <c r="AV102" i="7"/>
  <c r="AR97" i="7"/>
  <c r="AS97" i="7" s="1"/>
  <c r="AP97" i="7"/>
  <c r="AQ97" i="7" s="1"/>
  <c r="AX102" i="7"/>
  <c r="AY102" i="7" s="1"/>
  <c r="AN97" i="7"/>
  <c r="AO97" i="7" s="1"/>
  <c r="X70" i="7"/>
  <c r="X102" i="7" l="1"/>
  <c r="Z102" i="7"/>
  <c r="AD102" i="7"/>
  <c r="AE102" i="7" s="1"/>
  <c r="AL97" i="7"/>
  <c r="AM97" i="7" s="1"/>
  <c r="AT97" i="7"/>
  <c r="AU97" i="7" s="1"/>
  <c r="X68" i="7"/>
  <c r="X3" i="7" s="1"/>
  <c r="V68" i="7"/>
  <c r="AH102" i="7"/>
  <c r="AI102" i="7" s="1"/>
  <c r="AJ102" i="7"/>
  <c r="AK102" i="7" s="1"/>
  <c r="AB119" i="7"/>
  <c r="AC119" i="7" s="1"/>
  <c r="AQ119" i="7"/>
  <c r="AP114" i="7"/>
  <c r="AQ114" i="7" s="1"/>
  <c r="AO119" i="7"/>
  <c r="AN114" i="7"/>
  <c r="AO114" i="7" s="1"/>
  <c r="AG119" i="7"/>
  <c r="AW102" i="7"/>
  <c r="AC102" i="7"/>
  <c r="AZ69" i="7"/>
  <c r="AN6" i="7"/>
  <c r="Z70" i="7"/>
  <c r="Z68" i="7" s="1"/>
  <c r="Z3" i="7" s="1"/>
  <c r="X14" i="7"/>
  <c r="X6" i="7" s="1"/>
  <c r="X4" i="7" s="1"/>
  <c r="AS94" i="7" l="1"/>
  <c r="AS92" i="7"/>
  <c r="AI92" i="7"/>
  <c r="AI94" i="7"/>
  <c r="AK92" i="7"/>
  <c r="AK94" i="7"/>
  <c r="AU94" i="7"/>
  <c r="AU92" i="7"/>
  <c r="AC94" i="7"/>
  <c r="AC92" i="7"/>
  <c r="AG94" i="7"/>
  <c r="AG92" i="7"/>
  <c r="BC94" i="7"/>
  <c r="BC92" i="7"/>
  <c r="BE92" i="7"/>
  <c r="BE94" i="7"/>
  <c r="BG92" i="7"/>
  <c r="BG94" i="7"/>
  <c r="BI92" i="7"/>
  <c r="BI94" i="7"/>
  <c r="BK94" i="7"/>
  <c r="BK92" i="7"/>
  <c r="BM94" i="7"/>
  <c r="BM92" i="7"/>
  <c r="BO94" i="7"/>
  <c r="BN93" i="7"/>
  <c r="BN92" i="7" s="1"/>
  <c r="BO92" i="7" s="1"/>
  <c r="AW94" i="7"/>
  <c r="AW92" i="7"/>
  <c r="BQ94" i="7"/>
  <c r="BP93" i="7"/>
  <c r="BP92" i="7" s="1"/>
  <c r="BQ92" i="7" s="1"/>
  <c r="AY94" i="7"/>
  <c r="AY92" i="7"/>
  <c r="BR93" i="7"/>
  <c r="BR92" i="7" s="1"/>
  <c r="BS92" i="7" s="1"/>
  <c r="BA94" i="7"/>
  <c r="BA92" i="7"/>
  <c r="AZ6" i="7"/>
  <c r="BB69" i="7"/>
  <c r="AP6" i="7"/>
  <c r="AB70" i="7"/>
  <c r="AD70" i="7" s="1"/>
  <c r="Z14" i="7"/>
  <c r="Z6" i="7" s="1"/>
  <c r="Z4" i="7" s="1"/>
  <c r="AD65" i="7" l="1"/>
  <c r="AD68" i="7"/>
  <c r="AD3" i="7" s="1"/>
  <c r="AD66" i="7"/>
  <c r="AD14" i="7"/>
  <c r="AD6" i="7" s="1"/>
  <c r="AD4" i="7" s="1"/>
  <c r="AQ94" i="7"/>
  <c r="AQ92" i="7"/>
  <c r="AO92" i="7"/>
  <c r="AO94" i="7"/>
  <c r="AM92" i="7"/>
  <c r="AM94" i="7"/>
  <c r="AB68" i="7"/>
  <c r="AB3" i="7" s="1"/>
  <c r="BB6" i="7"/>
  <c r="BD69" i="7"/>
  <c r="AT6" i="7"/>
  <c r="AR6" i="7"/>
  <c r="AB14" i="7"/>
  <c r="AB6" i="7" s="1"/>
  <c r="AB4" i="7" s="1"/>
  <c r="BD6" i="7" l="1"/>
  <c r="BF69" i="7"/>
  <c r="AF70" i="7"/>
  <c r="AF68" i="7" l="1"/>
  <c r="AF3" i="7" s="1"/>
  <c r="BH69" i="7"/>
  <c r="BF6" i="7"/>
  <c r="AH70" i="7"/>
  <c r="AF66" i="7"/>
  <c r="AF65" i="7"/>
  <c r="AF14" i="7"/>
  <c r="AF6" i="7" s="1"/>
  <c r="AF4" i="7" s="1"/>
  <c r="AH68" i="7" l="1"/>
  <c r="AH3" i="7" s="1"/>
  <c r="BH6" i="7"/>
  <c r="BJ69" i="7"/>
  <c r="AH66" i="7"/>
  <c r="AH65" i="7"/>
  <c r="AH14" i="7"/>
  <c r="BJ6" i="7" l="1"/>
  <c r="BL69" i="7"/>
  <c r="BL6" i="7" s="1"/>
  <c r="AJ14" i="7"/>
  <c r="AJ65" i="7"/>
  <c r="AL70" i="7"/>
  <c r="AJ66" i="7"/>
  <c r="AL68" i="7" l="1"/>
  <c r="AL3" i="7" s="1"/>
  <c r="BN69" i="7"/>
  <c r="BN6" i="7" s="1"/>
  <c r="AL65" i="7"/>
  <c r="AL14" i="7"/>
  <c r="AN70" i="7"/>
  <c r="AL66" i="7"/>
  <c r="AN68" i="7" l="1"/>
  <c r="AN3" i="7" s="1"/>
  <c r="BP69" i="7"/>
  <c r="BP6" i="7" s="1"/>
  <c r="AN66" i="7"/>
  <c r="AN14" i="7"/>
  <c r="AN65" i="7"/>
  <c r="AP68" i="7"/>
  <c r="AP3" i="7" s="1"/>
  <c r="BR69" i="7" l="1"/>
  <c r="BR6" i="7" s="1"/>
  <c r="AP66" i="7"/>
  <c r="AP65" i="7"/>
  <c r="AP14" i="7"/>
  <c r="AR70" i="7"/>
  <c r="AT70" i="7" l="1"/>
  <c r="AV70" i="7" s="1"/>
  <c r="AV14" i="7" s="1"/>
  <c r="AR68" i="7"/>
  <c r="AR3" i="7" s="1"/>
  <c r="AR65" i="7"/>
  <c r="AR14" i="7"/>
  <c r="AR66" i="7"/>
  <c r="AT68" i="7" l="1"/>
  <c r="AT3" i="7" s="1"/>
  <c r="AX70" i="7"/>
  <c r="AT14" i="7"/>
  <c r="AT65" i="7"/>
  <c r="AT66" i="7"/>
  <c r="AV68" i="7" l="1"/>
  <c r="AV3" i="7" s="1"/>
  <c r="AZ70" i="7"/>
  <c r="AX14" i="7"/>
  <c r="AX66" i="7"/>
  <c r="AX65" i="7"/>
  <c r="AX68" i="7"/>
  <c r="AX3" i="7" s="1"/>
  <c r="AV66" i="7"/>
  <c r="AV65" i="7"/>
  <c r="AZ65" i="7" l="1"/>
  <c r="BB70" i="7"/>
  <c r="AZ66" i="7"/>
  <c r="AZ14" i="7"/>
  <c r="AZ68" i="7"/>
  <c r="AZ3" i="7" s="1"/>
  <c r="BB65" i="7" l="1"/>
  <c r="BB66" i="7"/>
  <c r="BD70" i="7"/>
  <c r="BD68" i="7" s="1"/>
  <c r="BD3" i="7" s="1"/>
  <c r="BB14" i="7"/>
  <c r="BB68" i="7"/>
  <c r="BB3" i="7" s="1"/>
  <c r="BD65" i="7" l="1"/>
  <c r="BD66" i="7"/>
  <c r="BD14" i="7"/>
  <c r="BF70" i="7"/>
  <c r="BF65" i="7" s="1"/>
  <c r="BH70" i="7" l="1"/>
  <c r="BF14" i="7"/>
  <c r="BF66" i="7"/>
  <c r="BF68" i="7"/>
  <c r="BF3" i="7" s="1"/>
  <c r="BH68" i="7" l="1"/>
  <c r="BH3" i="7" s="1"/>
  <c r="BJ70" i="7"/>
  <c r="BJ14" i="7" s="1"/>
  <c r="BH14" i="7"/>
  <c r="BH65" i="7"/>
  <c r="BH66" i="7"/>
  <c r="BJ68" i="7" l="1"/>
  <c r="BJ3" i="7" s="1"/>
  <c r="BJ65" i="7"/>
  <c r="BJ66" i="7"/>
  <c r="BL70" i="7"/>
  <c r="BN70" i="7" s="1"/>
  <c r="BL66" i="7" l="1"/>
  <c r="BL68" i="7"/>
  <c r="BL3" i="7" s="1"/>
  <c r="BL14" i="7"/>
  <c r="BL65" i="7"/>
  <c r="BP70" i="7"/>
  <c r="BN66" i="7"/>
  <c r="BN65" i="7"/>
  <c r="BN14" i="7"/>
  <c r="BN68" i="7"/>
  <c r="BN3" i="7" s="1"/>
  <c r="BR70" i="7" l="1"/>
  <c r="BP66" i="7"/>
  <c r="BP65" i="7"/>
  <c r="BP14" i="7"/>
  <c r="BP68" i="7"/>
  <c r="BP3" i="7" s="1"/>
  <c r="BR68" i="7" l="1"/>
  <c r="BR3" i="7" s="1"/>
  <c r="BR66" i="7"/>
  <c r="BR65" i="7"/>
  <c r="BR14" i="7"/>
</calcChain>
</file>

<file path=xl/sharedStrings.xml><?xml version="1.0" encoding="utf-8"?>
<sst xmlns="http://schemas.openxmlformats.org/spreadsheetml/2006/main" count="1236" uniqueCount="787">
  <si>
    <t>Okt-24</t>
  </si>
  <si>
    <t>Total free cash adjustments (end of period)</t>
  </si>
  <si>
    <t>Total free cash</t>
  </si>
  <si>
    <t xml:space="preserve">May 25th </t>
  </si>
  <si>
    <t>Total vpb reserve adjustments (end of period)</t>
  </si>
  <si>
    <t>Total vpb reserve</t>
  </si>
  <si>
    <t>Payables (Vpb)</t>
  </si>
  <si>
    <t>WH holding</t>
  </si>
  <si>
    <t>GenAI holding</t>
  </si>
  <si>
    <t xml:space="preserve">Saleshunt.ai </t>
  </si>
  <si>
    <t>Generative AI Strategy B.V.</t>
  </si>
  <si>
    <t>Generative AI Strategy B.V. (2023)</t>
  </si>
  <si>
    <t>Total cash adjustments (end of period)</t>
  </si>
  <si>
    <t xml:space="preserve">Liquidity </t>
  </si>
  <si>
    <t>Payables (VAT)</t>
  </si>
  <si>
    <t>Already paid invoices (soon)</t>
  </si>
  <si>
    <t>Payable 1</t>
  </si>
  <si>
    <t>Van der Veur Consulting</t>
  </si>
  <si>
    <t>Parcom</t>
  </si>
  <si>
    <t>Timeless</t>
  </si>
  <si>
    <t>Payable 2</t>
  </si>
  <si>
    <t>NPM Capital N.V.</t>
  </si>
  <si>
    <t xml:space="preserve">Brandaris (incl. btw) </t>
  </si>
  <si>
    <t>Totaal NLO</t>
  </si>
  <si>
    <t>Payable 3</t>
  </si>
  <si>
    <t>Kroneberg Interim Management</t>
  </si>
  <si>
    <t>Zinc</t>
  </si>
  <si>
    <t>Atradius</t>
  </si>
  <si>
    <t>Payable 4</t>
  </si>
  <si>
    <t>Rabobank</t>
  </si>
  <si>
    <t>Happy Hestia B.V.</t>
  </si>
  <si>
    <t xml:space="preserve">Payables (non-tax) </t>
  </si>
  <si>
    <t>Wouter</t>
  </si>
  <si>
    <t>Quinten</t>
  </si>
  <si>
    <t>Claire</t>
  </si>
  <si>
    <t>Claire Mei</t>
  </si>
  <si>
    <t>Niels Juli</t>
  </si>
  <si>
    <t>Slidesforyou</t>
  </si>
  <si>
    <t>Greg vakantiediscounter</t>
  </si>
  <si>
    <t>Wouter DGA salaris</t>
  </si>
  <si>
    <t>Maaike</t>
  </si>
  <si>
    <t>Maaike Mei</t>
  </si>
  <si>
    <t>Jorrit Juli</t>
  </si>
  <si>
    <t>Step2 team Ramin</t>
  </si>
  <si>
    <t>Notaris</t>
  </si>
  <si>
    <t>Atsy</t>
  </si>
  <si>
    <t>Compute and stuff</t>
  </si>
  <si>
    <t>Claire Juni</t>
  </si>
  <si>
    <t>Jorrit Juni</t>
  </si>
  <si>
    <t>Step2 team Jorrit</t>
  </si>
  <si>
    <t>Subthread</t>
  </si>
  <si>
    <t>Maaike Juni</t>
  </si>
  <si>
    <t>Wouter geld</t>
  </si>
  <si>
    <t>Payable 5</t>
  </si>
  <si>
    <t>Huawei tool</t>
  </si>
  <si>
    <t>Ugoo</t>
  </si>
  <si>
    <t>Jurjan</t>
  </si>
  <si>
    <t>Greg Hema + Nedstar referral</t>
  </si>
  <si>
    <t>Payable 6</t>
  </si>
  <si>
    <t xml:space="preserve">Salary </t>
  </si>
  <si>
    <t>Payable 7</t>
  </si>
  <si>
    <t>Loonheffingen</t>
  </si>
  <si>
    <t>Greg referral</t>
  </si>
  <si>
    <t>Payable 8</t>
  </si>
  <si>
    <t>Wouter DGA salais</t>
  </si>
  <si>
    <t>Textkernal</t>
  </si>
  <si>
    <t>Niels juni</t>
  </si>
  <si>
    <t>Payable 9</t>
  </si>
  <si>
    <t>Hein Juni</t>
  </si>
  <si>
    <t>Payable 10</t>
  </si>
  <si>
    <t>Hein Juli</t>
  </si>
  <si>
    <t>Payable 11</t>
  </si>
  <si>
    <t>Ramin</t>
  </si>
  <si>
    <t>Payable 12</t>
  </si>
  <si>
    <t>Payable 13</t>
  </si>
  <si>
    <t>Step2</t>
  </si>
  <si>
    <t>Balance sheet (credit/debit)</t>
  </si>
  <si>
    <t>Receivable 1</t>
  </si>
  <si>
    <t>Egeria</t>
  </si>
  <si>
    <t>Koen lening</t>
  </si>
  <si>
    <t>Swinkels</t>
  </si>
  <si>
    <t>Elastofirm</t>
  </si>
  <si>
    <t>Bluetrail textkernal</t>
  </si>
  <si>
    <t>Bidfood (foodyard II)</t>
  </si>
  <si>
    <t>TPG global</t>
  </si>
  <si>
    <t>Cooffice borg</t>
  </si>
  <si>
    <t>Receivable 2</t>
  </si>
  <si>
    <t>Sandvik</t>
  </si>
  <si>
    <t>Joolz</t>
  </si>
  <si>
    <t>DD</t>
  </si>
  <si>
    <t>VMN maand 2</t>
  </si>
  <si>
    <t>VMN maand 3</t>
  </si>
  <si>
    <t>Rekening courant Wouter</t>
  </si>
  <si>
    <t>Receivable 3</t>
  </si>
  <si>
    <t xml:space="preserve">Elastofirm </t>
  </si>
  <si>
    <t>Den Hartogh</t>
  </si>
  <si>
    <t>Step2 June</t>
  </si>
  <si>
    <t>VMN maand 2 (met BTW)</t>
  </si>
  <si>
    <t>Laptop paul</t>
  </si>
  <si>
    <t>Receivables</t>
  </si>
  <si>
    <t>Plene</t>
  </si>
  <si>
    <t>PSH</t>
  </si>
  <si>
    <t>Hema</t>
  </si>
  <si>
    <t>Receivable 4</t>
  </si>
  <si>
    <t>Brill</t>
  </si>
  <si>
    <t>VMN maand 1</t>
  </si>
  <si>
    <t>Individual</t>
  </si>
  <si>
    <t>AG Mallorca</t>
  </si>
  <si>
    <t>Bonus NLO</t>
  </si>
  <si>
    <t xml:space="preserve">Den Hartogh </t>
  </si>
  <si>
    <t>Receivable 5</t>
  </si>
  <si>
    <t>Bluetrail</t>
  </si>
  <si>
    <t>Salesforce</t>
  </si>
  <si>
    <t>ROM</t>
  </si>
  <si>
    <t>Viscon</t>
  </si>
  <si>
    <t>Receivable 6</t>
  </si>
  <si>
    <t>Kameryck</t>
  </si>
  <si>
    <t xml:space="preserve">Esro DE </t>
  </si>
  <si>
    <t xml:space="preserve">PSH (met BTW) </t>
  </si>
  <si>
    <t>Receivable 7</t>
  </si>
  <si>
    <t xml:space="preserve">Elasto May </t>
  </si>
  <si>
    <t xml:space="preserve">PSH </t>
  </si>
  <si>
    <t xml:space="preserve">Elastofirm (met BTW) </t>
  </si>
  <si>
    <t>TPG missing</t>
  </si>
  <si>
    <t>Receivable 8</t>
  </si>
  <si>
    <t xml:space="preserve">Tickets SF </t>
  </si>
  <si>
    <t>APF</t>
  </si>
  <si>
    <t>Kubo</t>
  </si>
  <si>
    <t>Receivable 9</t>
  </si>
  <si>
    <t>Allinq</t>
  </si>
  <si>
    <t>Receivable 10</t>
  </si>
  <si>
    <t xml:space="preserve">Cash </t>
  </si>
  <si>
    <t xml:space="preserve"> </t>
  </si>
  <si>
    <t>Generative AI Strategy B.V. (bunq)</t>
  </si>
  <si>
    <t>Generative AI Strategy B.V. (revolut)</t>
  </si>
  <si>
    <t>Runway (Semi-fixed)</t>
  </si>
  <si>
    <t>Runway (Fixed)</t>
  </si>
  <si>
    <t>Cash position</t>
  </si>
  <si>
    <t>Total free cash (end of period), post Vpb</t>
  </si>
  <si>
    <t>Total vpb reserve (end of period)</t>
  </si>
  <si>
    <t>Total cash (end of period)</t>
  </si>
  <si>
    <t>Vpb reserve (in month)</t>
  </si>
  <si>
    <t>Cash delta</t>
  </si>
  <si>
    <t>Total cash in</t>
  </si>
  <si>
    <t>Total cash sales (n-1)</t>
  </si>
  <si>
    <t>Other cash in</t>
  </si>
  <si>
    <t>Eric compensation Atsy</t>
  </si>
  <si>
    <t xml:space="preserve">WBSO I I </t>
  </si>
  <si>
    <t>Loan Paul laptop</t>
  </si>
  <si>
    <t>Loan Martine laptop</t>
  </si>
  <si>
    <t xml:space="preserve">Other cash in </t>
  </si>
  <si>
    <t>Greg video</t>
  </si>
  <si>
    <t>Total cash out</t>
  </si>
  <si>
    <t>Total cash OPEX</t>
  </si>
  <si>
    <t xml:space="preserve">Other cash out </t>
  </si>
  <si>
    <t>Laptop Martine</t>
  </si>
  <si>
    <t>vanLooman</t>
  </si>
  <si>
    <t>Liquidatie Sociates</t>
  </si>
  <si>
    <t>Koen</t>
  </si>
  <si>
    <t>Paul edu</t>
  </si>
  <si>
    <t>Koop VOF</t>
  </si>
  <si>
    <t>Cash adjustments b/o actuals</t>
  </si>
  <si>
    <t>IND  registration</t>
  </si>
  <si>
    <t>DGA salaris compensation</t>
  </si>
  <si>
    <t>Cummulative profit - VPB (year)</t>
  </si>
  <si>
    <t xml:space="preserve">Cummulative VPB (19% of profits) </t>
  </si>
  <si>
    <t>Cummulative profit (year)</t>
  </si>
  <si>
    <t>Cummulative revenue (year)</t>
  </si>
  <si>
    <t xml:space="preserve">Cummulative profit - VPB </t>
  </si>
  <si>
    <t>Cummulative profit</t>
  </si>
  <si>
    <t xml:space="preserve">Cummulative revenue </t>
  </si>
  <si>
    <t>Gross Margin in month (%)</t>
  </si>
  <si>
    <t>Sales</t>
  </si>
  <si>
    <t>Rat.</t>
  </si>
  <si>
    <t>Total sales</t>
  </si>
  <si>
    <t xml:space="preserve">Generative AI Strategy sales </t>
  </si>
  <si>
    <t>Masterclass sales</t>
  </si>
  <si>
    <t>Customer 2</t>
  </si>
  <si>
    <t xml:space="preserve">Egeria </t>
  </si>
  <si>
    <t>DVA</t>
  </si>
  <si>
    <t>Esro</t>
  </si>
  <si>
    <t>Rabo</t>
  </si>
  <si>
    <t>Dura Vermeer</t>
  </si>
  <si>
    <t>Royal Den Hartogh Logistics</t>
  </si>
  <si>
    <t>Bidfood</t>
  </si>
  <si>
    <t xml:space="preserve">Bencis </t>
  </si>
  <si>
    <t>Protix</t>
  </si>
  <si>
    <t>Netvice</t>
  </si>
  <si>
    <t>ASR partners</t>
  </si>
  <si>
    <t>Riouwstraat</t>
  </si>
  <si>
    <t>NLO workshops</t>
  </si>
  <si>
    <t>Stage I</t>
  </si>
  <si>
    <t>MAIT</t>
  </si>
  <si>
    <t>Stage II</t>
  </si>
  <si>
    <t>Nok.5</t>
  </si>
  <si>
    <t>Banken</t>
  </si>
  <si>
    <t>Gaston Workshop</t>
  </si>
  <si>
    <t>Customer 3</t>
  </si>
  <si>
    <t>NPM</t>
  </si>
  <si>
    <t>CPNB</t>
  </si>
  <si>
    <t>Cordstrap</t>
  </si>
  <si>
    <t>AI in finance</t>
  </si>
  <si>
    <t>NPM legal day</t>
  </si>
  <si>
    <t>CFF</t>
  </si>
  <si>
    <t>Newport</t>
  </si>
  <si>
    <t>Piper</t>
  </si>
  <si>
    <t>ASR RVC</t>
  </si>
  <si>
    <t>Olam</t>
  </si>
  <si>
    <t>Neom</t>
  </si>
  <si>
    <t>VWE</t>
  </si>
  <si>
    <t>Etos</t>
  </si>
  <si>
    <t>Almac Group</t>
  </si>
  <si>
    <t>Stox</t>
  </si>
  <si>
    <t>Eyeti (za)</t>
  </si>
  <si>
    <t>3i  Financial services team</t>
  </si>
  <si>
    <t>Veldsink</t>
  </si>
  <si>
    <t xml:space="preserve">VanZanten </t>
  </si>
  <si>
    <t>Customer 4</t>
  </si>
  <si>
    <t>YPO</t>
  </si>
  <si>
    <t xml:space="preserve">Sandvik </t>
  </si>
  <si>
    <t>Social</t>
  </si>
  <si>
    <t>Horecapact</t>
  </si>
  <si>
    <t xml:space="preserve">Salesforce (incl. travel) </t>
  </si>
  <si>
    <t xml:space="preserve">Sky </t>
  </si>
  <si>
    <t>Deli-home</t>
  </si>
  <si>
    <t>Advitas</t>
  </si>
  <si>
    <t>Alteri Private Equity</t>
  </si>
  <si>
    <t>Prompting workshop Findyour</t>
  </si>
  <si>
    <t>Rebel</t>
  </si>
  <si>
    <t xml:space="preserve">teknor Apex </t>
  </si>
  <si>
    <t>TMG</t>
  </si>
  <si>
    <t>Eyeti (ma)</t>
  </si>
  <si>
    <t xml:space="preserve">Teknor Apex </t>
  </si>
  <si>
    <t>Partners in Equity</t>
  </si>
  <si>
    <t>Mercedes-Benz</t>
  </si>
  <si>
    <t>Customer 5</t>
  </si>
  <si>
    <t>NOM</t>
  </si>
  <si>
    <t>ASR</t>
  </si>
  <si>
    <t>Vortex</t>
  </si>
  <si>
    <t>STX group</t>
  </si>
  <si>
    <t>Individual registration</t>
  </si>
  <si>
    <t>VMN workshop</t>
  </si>
  <si>
    <t>VMN Artikel</t>
  </si>
  <si>
    <t xml:space="preserve">TPG  SF </t>
  </si>
  <si>
    <t>Erasmus</t>
  </si>
  <si>
    <t>Future Biogas</t>
  </si>
  <si>
    <t>Airbridge</t>
  </si>
  <si>
    <t>ASR volmacht</t>
  </si>
  <si>
    <t>Erasmus Governance</t>
  </si>
  <si>
    <t>CEO meeting Wise  Equity</t>
  </si>
  <si>
    <t>Rijksrecherche</t>
  </si>
  <si>
    <t>Parcom CEO dag</t>
  </si>
  <si>
    <t>Apheon CFO session</t>
  </si>
  <si>
    <t>Bas van den Ende Recycling</t>
  </si>
  <si>
    <t>Customer 6</t>
  </si>
  <si>
    <t xml:space="preserve">Rabo </t>
  </si>
  <si>
    <t>PSH prompt</t>
  </si>
  <si>
    <t>Angelo Gordon</t>
  </si>
  <si>
    <t xml:space="preserve">Vortex CEO </t>
  </si>
  <si>
    <t>CCI</t>
  </si>
  <si>
    <t xml:space="preserve">Wise capital </t>
  </si>
  <si>
    <t>Wise prompting 2</t>
  </si>
  <si>
    <t>Erasmus Governance (2 sessions)</t>
  </si>
  <si>
    <t>Wise prompting 3</t>
  </si>
  <si>
    <t>Copus</t>
  </si>
  <si>
    <t>TwynstraGudde</t>
  </si>
  <si>
    <t>Nodor workshop</t>
  </si>
  <si>
    <t>Gaston Schul Training</t>
  </si>
  <si>
    <t>Veldsink II</t>
  </si>
  <si>
    <t>Customer 7</t>
  </si>
  <si>
    <t>Vision</t>
  </si>
  <si>
    <t>NLO</t>
  </si>
  <si>
    <t>VMN prompting</t>
  </si>
  <si>
    <t>Nedstar (2 sessions)</t>
  </si>
  <si>
    <t>Group of Butchers</t>
  </si>
  <si>
    <t xml:space="preserve">Summa Group </t>
  </si>
  <si>
    <t>NEOO</t>
  </si>
  <si>
    <t>Thisismatrix</t>
  </si>
  <si>
    <t>Opgroen</t>
  </si>
  <si>
    <t>BOVIB branche vereniging</t>
  </si>
  <si>
    <t>Karmijn Kapitaal II</t>
  </si>
  <si>
    <t>Finance Ideas</t>
  </si>
  <si>
    <t>NewNordic</t>
  </si>
  <si>
    <t>Customer 8</t>
  </si>
  <si>
    <t>Two assist you</t>
  </si>
  <si>
    <t xml:space="preserve">Individual </t>
  </si>
  <si>
    <t>365 capital</t>
  </si>
  <si>
    <t xml:space="preserve">Viscon </t>
  </si>
  <si>
    <t>Rev share (Philip)</t>
  </si>
  <si>
    <t>Brandaris</t>
  </si>
  <si>
    <t>Floris Visser / Henv</t>
  </si>
  <si>
    <t>Vakantiediscounter</t>
  </si>
  <si>
    <t xml:space="preserve">Floreat </t>
  </si>
  <si>
    <t>Boltrics Session 1</t>
  </si>
  <si>
    <t>Perridon Holdings</t>
  </si>
  <si>
    <t>Ausnutria</t>
  </si>
  <si>
    <t>Customer 9</t>
  </si>
  <si>
    <t>Add-value</t>
  </si>
  <si>
    <t>Alphen sessie</t>
  </si>
  <si>
    <t>Kavel vastgoed</t>
  </si>
  <si>
    <t xml:space="preserve">Sonic Equipment </t>
  </si>
  <si>
    <t>BFG Logistics Session 1</t>
  </si>
  <si>
    <t xml:space="preserve">Quintes </t>
  </si>
  <si>
    <t>Eyecaregroup</t>
  </si>
  <si>
    <t>Pentland exec</t>
  </si>
  <si>
    <t>Investnl</t>
  </si>
  <si>
    <t>Customer 10</t>
  </si>
  <si>
    <t xml:space="preserve">Karmijn Kapitaal </t>
  </si>
  <si>
    <t>FindYourgroup</t>
  </si>
  <si>
    <t>Kubo Prompting</t>
  </si>
  <si>
    <t>Squarefield</t>
  </si>
  <si>
    <t xml:space="preserve">AES </t>
  </si>
  <si>
    <t>Koninklijke Auping</t>
  </si>
  <si>
    <t>Financieel Fit Franchisedag</t>
  </si>
  <si>
    <t>Customer 11</t>
  </si>
  <si>
    <t>Dura Vermeer Bouw zuid</t>
  </si>
  <si>
    <t>DeKyser</t>
  </si>
  <si>
    <t>Scan Modul International</t>
  </si>
  <si>
    <t xml:space="preserve">BFBG </t>
  </si>
  <si>
    <t>Karmijn Kapitaal I</t>
  </si>
  <si>
    <t>Gaston</t>
  </si>
  <si>
    <t>Quantoz Blockchain Technology</t>
  </si>
  <si>
    <t>Eur holding</t>
  </si>
  <si>
    <t>Customer 12</t>
  </si>
  <si>
    <t>GOM</t>
  </si>
  <si>
    <t xml:space="preserve">3i PE team </t>
  </si>
  <si>
    <t>Bugaboo</t>
  </si>
  <si>
    <t>1.5 uur facilicom</t>
  </si>
  <si>
    <t>Prompting workshop van Mierlo</t>
  </si>
  <si>
    <t xml:space="preserve">FrieslandCampina </t>
  </si>
  <si>
    <t>Furniture company</t>
  </si>
  <si>
    <t>P&amp;O Partner BV</t>
  </si>
  <si>
    <t>Facilicom 4  workshops</t>
  </si>
  <si>
    <t>Customer 13</t>
  </si>
  <si>
    <t>Newport CFO</t>
  </si>
  <si>
    <t>Justbrands</t>
  </si>
  <si>
    <t>Piper 4 travle brands</t>
  </si>
  <si>
    <t xml:space="preserve">Pentlands PE </t>
  </si>
  <si>
    <t>Montesorri</t>
  </si>
  <si>
    <t>HVO meat</t>
  </si>
  <si>
    <t xml:space="preserve">Grafisch lyceum </t>
  </si>
  <si>
    <t>JS Bank Limited</t>
  </si>
  <si>
    <t>Customer 14</t>
  </si>
  <si>
    <t>NHG</t>
  </si>
  <si>
    <t>McAlpine</t>
  </si>
  <si>
    <t>Erasmus (Via Emilie)</t>
  </si>
  <si>
    <t>Boltrics Session 2</t>
  </si>
  <si>
    <t>Nyver session 2</t>
  </si>
  <si>
    <t>Foreman capital</t>
  </si>
  <si>
    <t xml:space="preserve">Verlinvest </t>
  </si>
  <si>
    <t>Spark Group technical session</t>
  </si>
  <si>
    <t>Customer 15</t>
  </si>
  <si>
    <t>Stotal Specific Solutions</t>
  </si>
  <si>
    <t>Individual workshops</t>
  </si>
  <si>
    <t>Wise prompting 1</t>
  </si>
  <si>
    <t>Buysse Partners</t>
  </si>
  <si>
    <t xml:space="preserve">3i Group plc CTO session </t>
  </si>
  <si>
    <t>Dr Sam Skincare (BUNTING HOLDINGS LTD)</t>
  </si>
  <si>
    <t xml:space="preserve">HEMA strategie team </t>
  </si>
  <si>
    <t>Customer 16</t>
  </si>
  <si>
    <t>Van Mierlo</t>
  </si>
  <si>
    <t>Nyver session 1</t>
  </si>
  <si>
    <t>Vortex Capital Partners CEO dag</t>
  </si>
  <si>
    <t>Nuo Private Equity</t>
  </si>
  <si>
    <t>Customer 17</t>
  </si>
  <si>
    <t>SpringToday</t>
  </si>
  <si>
    <t xml:space="preserve">Energy21 </t>
  </si>
  <si>
    <t>Auping MT</t>
  </si>
  <si>
    <t>Axxicom Airport Caddy</t>
  </si>
  <si>
    <t>Jong facilicom</t>
  </si>
  <si>
    <t>Customer 18</t>
  </si>
  <si>
    <t>Veneta</t>
  </si>
  <si>
    <t xml:space="preserve">Use case ideation sales </t>
  </si>
  <si>
    <t>d</t>
  </si>
  <si>
    <t>Customer 1</t>
  </si>
  <si>
    <t>Nordian</t>
  </si>
  <si>
    <t>VMN</t>
  </si>
  <si>
    <t>TPG Angelo Gordon</t>
  </si>
  <si>
    <t>Nedstar</t>
  </si>
  <si>
    <t>APF sessie 2</t>
  </si>
  <si>
    <t>Facilicom</t>
  </si>
  <si>
    <t>Boltrics Session 3</t>
  </si>
  <si>
    <t xml:space="preserve">Auping AI Policy </t>
  </si>
  <si>
    <t>Ausnutria Arab</t>
  </si>
  <si>
    <t>Gaston Schul Strategy</t>
  </si>
  <si>
    <t>Teknor AI policy</t>
  </si>
  <si>
    <t xml:space="preserve">ASR session 2 </t>
  </si>
  <si>
    <t>Strategy NLO (part 2)</t>
  </si>
  <si>
    <t>Grafisch Lycem Rotterdam</t>
  </si>
  <si>
    <t>Strategy NLO (part 1)</t>
  </si>
  <si>
    <t>Allinq Strategy session</t>
  </si>
  <si>
    <t>VWE Automative use case ideation</t>
  </si>
  <si>
    <t>BFG Logistics Session 2</t>
  </si>
  <si>
    <t>Spark Group use case ideation</t>
  </si>
  <si>
    <t>Formel D</t>
  </si>
  <si>
    <t xml:space="preserve">Implementation sales </t>
  </si>
  <si>
    <t>Infinitas Nov</t>
  </si>
  <si>
    <t>Infinitas</t>
  </si>
  <si>
    <t xml:space="preserve">VMN Media </t>
  </si>
  <si>
    <t xml:space="preserve">NLO </t>
  </si>
  <si>
    <t xml:space="preserve">Nuo retainer </t>
  </si>
  <si>
    <t>Infinitas Okt</t>
  </si>
  <si>
    <t>Elasto WvH</t>
  </si>
  <si>
    <t>Elasto AI tool</t>
  </si>
  <si>
    <t>Econox</t>
  </si>
  <si>
    <t>GOM implementatie</t>
  </si>
  <si>
    <t>Gaston Schul Pilot</t>
  </si>
  <si>
    <t>Futurewhiz</t>
  </si>
  <si>
    <t>Huawei</t>
  </si>
  <si>
    <t>Bluetrail TextKernal</t>
  </si>
  <si>
    <t xml:space="preserve">Bluetrail deel 1 </t>
  </si>
  <si>
    <t>Bluetrail deel 2</t>
  </si>
  <si>
    <t>Elastofirm vibe coding</t>
  </si>
  <si>
    <t>Elastofirm retainer</t>
  </si>
  <si>
    <t>Formel D BWM project</t>
  </si>
  <si>
    <t>Formel D implementation</t>
  </si>
  <si>
    <t>Facilicom pilot Breijer sales</t>
  </si>
  <si>
    <t>Facilicom pilot HR inclusio</t>
  </si>
  <si>
    <t>Stage Electric + retainer</t>
  </si>
  <si>
    <t>Facilicom pilot HR</t>
  </si>
  <si>
    <t xml:space="preserve">Facilicom Juza </t>
  </si>
  <si>
    <t>Facilicom pilot HR FBD</t>
  </si>
  <si>
    <t xml:space="preserve">Saleshunt.ai sales </t>
  </si>
  <si>
    <t>LFE</t>
  </si>
  <si>
    <t>Esro DE</t>
  </si>
  <si>
    <t>NexioP</t>
  </si>
  <si>
    <t>Wickey</t>
  </si>
  <si>
    <t>Bluetrail additional scope</t>
  </si>
  <si>
    <t>Bauking</t>
  </si>
  <si>
    <t>Teknor</t>
  </si>
  <si>
    <t>Facilitee</t>
  </si>
  <si>
    <t>Pictet</t>
  </si>
  <si>
    <t xml:space="preserve">VMN </t>
  </si>
  <si>
    <t>Esro B</t>
  </si>
  <si>
    <t>Costs</t>
  </si>
  <si>
    <t>Rationale</t>
  </si>
  <si>
    <t>Per month</t>
  </si>
  <si>
    <t>Per year</t>
  </si>
  <si>
    <t xml:space="preserve">Total costs </t>
  </si>
  <si>
    <t>Total variable costs</t>
  </si>
  <si>
    <t>Referrals</t>
  </si>
  <si>
    <t>Claire Sky</t>
  </si>
  <si>
    <t>Parcom Greg</t>
  </si>
  <si>
    <t>Greg Piper</t>
  </si>
  <si>
    <t>Greg Wise</t>
  </si>
  <si>
    <t>Greg 3i Infra</t>
  </si>
  <si>
    <t>Greg Neom</t>
  </si>
  <si>
    <t>Greg Wise prompting II</t>
  </si>
  <si>
    <t>Greg Stage II</t>
  </si>
  <si>
    <t>Greg CEO dag Parcom</t>
  </si>
  <si>
    <t xml:space="preserve">Greg Rivean </t>
  </si>
  <si>
    <t>Greg Nuo retainer</t>
  </si>
  <si>
    <t xml:space="preserve">Greg TPG AG </t>
  </si>
  <si>
    <t>Greg 3i</t>
  </si>
  <si>
    <t>Greg Biogas</t>
  </si>
  <si>
    <t>Greg Alteri Private Equity</t>
  </si>
  <si>
    <t>Greg Etos I</t>
  </si>
  <si>
    <t>Almac Greg</t>
  </si>
  <si>
    <t>Greg Stox</t>
  </si>
  <si>
    <t>Greg retainer stage</t>
  </si>
  <si>
    <t>Nedstar referral Subthread</t>
  </si>
  <si>
    <t>Greg Formel D</t>
  </si>
  <si>
    <t>Greg Vakantiediscounter</t>
  </si>
  <si>
    <t>Greg DeKyser</t>
  </si>
  <si>
    <t>Greg 4 travel brands</t>
  </si>
  <si>
    <t>Greg thisismatrix</t>
  </si>
  <si>
    <t>Almac Marco</t>
  </si>
  <si>
    <t>Greg TMG</t>
  </si>
  <si>
    <t>Greg Justbrands (part 10%)</t>
  </si>
  <si>
    <t>Greg Nodor Retainer</t>
  </si>
  <si>
    <t>Greg Hema</t>
  </si>
  <si>
    <t>Greg Justbrands</t>
  </si>
  <si>
    <t xml:space="preserve">Greg AES </t>
  </si>
  <si>
    <t>Wise fee CEO session Marco</t>
  </si>
  <si>
    <t>Greg FormelD impl</t>
  </si>
  <si>
    <t>Verlinvest Greg</t>
  </si>
  <si>
    <t>Wise fee Promptinig Marco</t>
  </si>
  <si>
    <t>Greg Pentland</t>
  </si>
  <si>
    <t>Greg Group of butchers</t>
  </si>
  <si>
    <t>Greg McAlpine</t>
  </si>
  <si>
    <t>Greg Pentland I</t>
  </si>
  <si>
    <t>Wise CEO session fee Greg</t>
  </si>
  <si>
    <t>Greg SamSkin</t>
  </si>
  <si>
    <t>Greg Wise prompting I</t>
  </si>
  <si>
    <t xml:space="preserve">Greg 3i CTO </t>
  </si>
  <si>
    <t>Greg Wise prompting III</t>
  </si>
  <si>
    <t>Greg HEMA strategie team</t>
  </si>
  <si>
    <t>Greg 3i board</t>
  </si>
  <si>
    <t>Greg MAIT</t>
  </si>
  <si>
    <t>Greg NUO</t>
  </si>
  <si>
    <t>Greg 3i Bugaboo</t>
  </si>
  <si>
    <t>Greg Pentlands II</t>
  </si>
  <si>
    <t>Marco NUO</t>
  </si>
  <si>
    <t xml:space="preserve">COGS </t>
  </si>
  <si>
    <t>OpenAI API credits</t>
  </si>
  <si>
    <t>est</t>
  </si>
  <si>
    <t xml:space="preserve">Google cloud storage </t>
  </si>
  <si>
    <t>Google cloud compute</t>
  </si>
  <si>
    <t xml:space="preserve">Vector database </t>
  </si>
  <si>
    <t>eLearning platform</t>
  </si>
  <si>
    <t xml:space="preserve">Variable HR burn </t>
  </si>
  <si>
    <t>Bahaa</t>
  </si>
  <si>
    <t>Nour</t>
  </si>
  <si>
    <t>Ali</t>
  </si>
  <si>
    <t>Other freelancers Saleshunt</t>
  </si>
  <si>
    <t>Maurice</t>
  </si>
  <si>
    <t>Baked</t>
  </si>
  <si>
    <t xml:space="preserve">Ausnutria Alinda </t>
  </si>
  <si>
    <t xml:space="preserve">Other freelancers Generative AI </t>
  </si>
  <si>
    <t>Marco</t>
  </si>
  <si>
    <t>Stephanie NLO</t>
  </si>
  <si>
    <t>Claire NLO</t>
  </si>
  <si>
    <t>Bas Prins NLO</t>
  </si>
  <si>
    <t>Bram N</t>
  </si>
  <si>
    <t>Step2 team</t>
  </si>
  <si>
    <t xml:space="preserve">Tanya </t>
  </si>
  <si>
    <t>Guido freelance training</t>
  </si>
  <si>
    <t>Stephanie vakantiediscounter</t>
  </si>
  <si>
    <t>Roderik</t>
  </si>
  <si>
    <t>Simon Ronnes</t>
  </si>
  <si>
    <t>Subthread additional scope</t>
  </si>
  <si>
    <t>Saskia Facilicom Strategy</t>
  </si>
  <si>
    <t>Gideon NLO</t>
  </si>
  <si>
    <t>Jorrit &amp; Jurjan</t>
  </si>
  <si>
    <t>Saskia Facilicom inclusio pilot</t>
  </si>
  <si>
    <t>Relocation Bahaa (paid to Ibrahim)</t>
  </si>
  <si>
    <t>Bas Prins Justbrands</t>
  </si>
  <si>
    <t>Saskia Facilicom Breijer Sales pilot</t>
  </si>
  <si>
    <t>Magali Facilicom FBD HR</t>
  </si>
  <si>
    <t>Saskia</t>
  </si>
  <si>
    <t>Kaaynaat</t>
  </si>
  <si>
    <t>Saskia Facilicom  Juza</t>
  </si>
  <si>
    <t>Bluetrail dev</t>
  </si>
  <si>
    <t>Maarten</t>
  </si>
  <si>
    <t>Magali Facilicom Trigion HR</t>
  </si>
  <si>
    <t>Saskia InvestNL POHV</t>
  </si>
  <si>
    <t>Maurice VWE Automative</t>
  </si>
  <si>
    <t>Reinier Facilicom</t>
  </si>
  <si>
    <t>Other freelancers Generative AI</t>
  </si>
  <si>
    <t>Marco FormelD</t>
  </si>
  <si>
    <t>Workshops Facilicom Saskia</t>
  </si>
  <si>
    <t xml:space="preserve">Other office </t>
  </si>
  <si>
    <t>Office</t>
  </si>
  <si>
    <t>Food</t>
  </si>
  <si>
    <t>SF</t>
  </si>
  <si>
    <t>Petit Caron /Restaurants</t>
  </si>
  <si>
    <t>WBSO kosten</t>
  </si>
  <si>
    <t xml:space="preserve">Office activities </t>
  </si>
  <si>
    <t>Nieuwe bureaus</t>
  </si>
  <si>
    <t xml:space="preserve">Lawyers </t>
  </si>
  <si>
    <t xml:space="preserve">Lawyer IND </t>
  </si>
  <si>
    <t>Adam &amp; Wolf Immigration Lawyers</t>
  </si>
  <si>
    <t xml:space="preserve">Legal advise </t>
  </si>
  <si>
    <t>IND Leges</t>
  </si>
  <si>
    <t xml:space="preserve">Fiscal advisors </t>
  </si>
  <si>
    <t>PO</t>
  </si>
  <si>
    <t>Adviezen Jurisdisch</t>
  </si>
  <si>
    <t xml:space="preserve">Notary </t>
  </si>
  <si>
    <t xml:space="preserve">Oprichting STAK GenAI </t>
  </si>
  <si>
    <t>Travel</t>
  </si>
  <si>
    <t>Dublin</t>
  </si>
  <si>
    <t>Londen</t>
  </si>
  <si>
    <t>Chauffeur + benzine + Italy</t>
  </si>
  <si>
    <t>Travel UK</t>
  </si>
  <si>
    <t>Vluchten</t>
  </si>
  <si>
    <t>Hotels</t>
  </si>
  <si>
    <t>Transport</t>
  </si>
  <si>
    <t>Other</t>
  </si>
  <si>
    <t>Fun stuf</t>
  </si>
  <si>
    <t xml:space="preserve">Team weekend </t>
  </si>
  <si>
    <t>Team uitje + KWF</t>
  </si>
  <si>
    <t xml:space="preserve">Xmas dinner + Sint </t>
  </si>
  <si>
    <t>Podcast</t>
  </si>
  <si>
    <t xml:space="preserve">Spullen kopen </t>
  </si>
  <si>
    <t>Bureaus</t>
  </si>
  <si>
    <t>Ads &amp; Marketing</t>
  </si>
  <si>
    <t xml:space="preserve">Ad budget </t>
  </si>
  <si>
    <t>Individual session test</t>
  </si>
  <si>
    <t>Video</t>
  </si>
  <si>
    <t>Ad video</t>
  </si>
  <si>
    <t>Other expenses</t>
  </si>
  <si>
    <t>Total fixed costs</t>
  </si>
  <si>
    <t>Fixed HR burn (belastingen)</t>
  </si>
  <si>
    <t xml:space="preserve">Wouter (DGA) </t>
  </si>
  <si>
    <t>Werkgever</t>
  </si>
  <si>
    <t>Werknemer</t>
  </si>
  <si>
    <t>Bram</t>
  </si>
  <si>
    <t>Paul</t>
  </si>
  <si>
    <t>Swarupa</t>
  </si>
  <si>
    <t>Martine</t>
  </si>
  <si>
    <t>Tom Teurlings</t>
  </si>
  <si>
    <t>Guido Steenbergen</t>
  </si>
  <si>
    <t>Ole</t>
  </si>
  <si>
    <t>Isabelle</t>
  </si>
  <si>
    <t>Sterre</t>
  </si>
  <si>
    <t>Tim</t>
  </si>
  <si>
    <t>Robin</t>
  </si>
  <si>
    <t>Tessa</t>
  </si>
  <si>
    <t>Moe</t>
  </si>
  <si>
    <t>Fixed HR burn (loon)</t>
  </si>
  <si>
    <t>Daan Peters</t>
  </si>
  <si>
    <t>Atzamas</t>
  </si>
  <si>
    <t>Other team mebers (holding bucket)</t>
  </si>
  <si>
    <t>Gideon</t>
  </si>
  <si>
    <t>Other team mebers intern (holding bucket)</t>
  </si>
  <si>
    <t xml:space="preserve">New intern </t>
  </si>
  <si>
    <t>Bonus</t>
  </si>
  <si>
    <t>Eindejaarsbonus</t>
  </si>
  <si>
    <t>Fixed HR burn (other)</t>
  </si>
  <si>
    <t xml:space="preserve">Ziekteverzuimverzekering GenAI Strategy </t>
  </si>
  <si>
    <t>Ziekteverzuimverzekering Saleshunt.ai</t>
  </si>
  <si>
    <t>Verzekering Beroeps en aansprakelijkheidsverzekering</t>
  </si>
  <si>
    <t>Auto Martine</t>
  </si>
  <si>
    <t>Arboned Saleshunt</t>
  </si>
  <si>
    <t xml:space="preserve">Arboned GenAI Strategy </t>
  </si>
  <si>
    <t>Rent</t>
  </si>
  <si>
    <t>Parking</t>
  </si>
  <si>
    <t>Housing</t>
  </si>
  <si>
    <t>Train/car Wouter</t>
  </si>
  <si>
    <t>Train Paul</t>
  </si>
  <si>
    <t xml:space="preserve">Train Martine </t>
  </si>
  <si>
    <t>Train Guido</t>
  </si>
  <si>
    <t>Tools</t>
  </si>
  <si>
    <t>Estimated</t>
  </si>
  <si>
    <t>Zapier</t>
  </si>
  <si>
    <t>ChatGPT</t>
  </si>
  <si>
    <t xml:space="preserve">Google Gemini </t>
  </si>
  <si>
    <t>Phantombuster (GenAI)</t>
  </si>
  <si>
    <t>LinkedIn Sales Navigator</t>
  </si>
  <si>
    <t>Midjourney</t>
  </si>
  <si>
    <t>Runway.ai (GenAI)</t>
  </si>
  <si>
    <t>Loom (GenAI)</t>
  </si>
  <si>
    <t>Notion</t>
  </si>
  <si>
    <t>Slack</t>
  </si>
  <si>
    <t>Pipedrive (GenAI)</t>
  </si>
  <si>
    <t xml:space="preserve">Envato Elements </t>
  </si>
  <si>
    <t>QR code generator</t>
  </si>
  <si>
    <t>Adobe creative cloud (GenAI)</t>
  </si>
  <si>
    <t>Calendly</t>
  </si>
  <si>
    <t>Surfe</t>
  </si>
  <si>
    <t>Copilot</t>
  </si>
  <si>
    <t xml:space="preserve">Copilot office </t>
  </si>
  <si>
    <t>Elevenlabs (Saleshunt)</t>
  </si>
  <si>
    <t>Heygen</t>
  </si>
  <si>
    <t>Fireflies</t>
  </si>
  <si>
    <t>Magical</t>
  </si>
  <si>
    <t>Figma (Saleshunt)</t>
  </si>
  <si>
    <t>Kaspr (Saleshunt)</t>
  </si>
  <si>
    <t>Overloop</t>
  </si>
  <si>
    <t>Microsoft</t>
  </si>
  <si>
    <t>Digital infra</t>
  </si>
  <si>
    <t>Sendmarc / DMARC</t>
  </si>
  <si>
    <t>SalesHunt.ai domain</t>
  </si>
  <si>
    <t xml:space="preserve">Other domain names </t>
  </si>
  <si>
    <t>Website hosting (Piece of mind and GenAI strategy)</t>
  </si>
  <si>
    <t>Supabase database</t>
  </si>
  <si>
    <t>Zyte API rotation</t>
  </si>
  <si>
    <t>Wix (Saleshunt)</t>
  </si>
  <si>
    <t>MS 365</t>
  </si>
  <si>
    <t>Claude</t>
  </si>
  <si>
    <t>1Password</t>
  </si>
  <si>
    <t>GitHub</t>
  </si>
  <si>
    <t>Vercel</t>
  </si>
  <si>
    <t>Suno</t>
  </si>
  <si>
    <t>DeepL</t>
  </si>
  <si>
    <t>Bland AI</t>
  </si>
  <si>
    <t>Stackblitz</t>
  </si>
  <si>
    <t>RapidAPI</t>
  </si>
  <si>
    <t>Apify (Saleshunt)</t>
  </si>
  <si>
    <t>Cursor AI</t>
  </si>
  <si>
    <t>Screen Studio</t>
  </si>
  <si>
    <t>Langchain Langsmith (Saleshunt)</t>
  </si>
  <si>
    <t>Cohere.ai (Saleshunt)</t>
  </si>
  <si>
    <t>Bright Data</t>
  </si>
  <si>
    <t>ORG AI (Saleshunt)</t>
  </si>
  <si>
    <t>Tavily AI</t>
  </si>
  <si>
    <t>Perplexity AI</t>
  </si>
  <si>
    <t>Canva</t>
  </si>
  <si>
    <t>Jina</t>
  </si>
  <si>
    <t>North Data</t>
  </si>
  <si>
    <t>Twilio</t>
  </si>
  <si>
    <t>Wispr</t>
  </si>
  <si>
    <t>Admin</t>
  </si>
  <si>
    <t>NBRS</t>
  </si>
  <si>
    <t>Salarisverwerking Generative AI Strategy</t>
  </si>
  <si>
    <t>Salarisverwerking SalesHunt</t>
  </si>
  <si>
    <t>Bank</t>
  </si>
  <si>
    <t>Marco MAIT</t>
  </si>
  <si>
    <t>TSS workflow</t>
  </si>
  <si>
    <t xml:space="preserve">Subthread TSS </t>
  </si>
  <si>
    <t>Eyecare</t>
  </si>
  <si>
    <t>Stephanie Eyecare</t>
  </si>
  <si>
    <t>Auping Prompting</t>
  </si>
  <si>
    <t>PCI</t>
  </si>
  <si>
    <t xml:space="preserve">Saskia Magali handover Trigion </t>
  </si>
  <si>
    <t xml:space="preserve">Grafisch Lycem </t>
  </si>
  <si>
    <t>Reptune</t>
  </si>
  <si>
    <t>VWE implementation</t>
  </si>
  <si>
    <t>VWE Subthread</t>
  </si>
  <si>
    <t>Ruby toys</t>
  </si>
  <si>
    <t>3i CEO session</t>
  </si>
  <si>
    <t>3i partner session (1/2)</t>
  </si>
  <si>
    <t>3i partner session (2/2)</t>
  </si>
  <si>
    <t>Perplexity AI Comet</t>
  </si>
  <si>
    <t>FremantleMedia Netherlands B.V.</t>
  </si>
  <si>
    <t>Duranmatic</t>
  </si>
  <si>
    <t>Pentland Global Supply Chain Workshop</t>
  </si>
  <si>
    <t>Futurebiogas retainer Paulito</t>
  </si>
  <si>
    <t>Futurebiogas Saleshunt.ai One-off</t>
  </si>
  <si>
    <t>Amsterdam Consumer Goods</t>
  </si>
  <si>
    <t>Mait Workflow design</t>
  </si>
  <si>
    <t>Greg mait</t>
  </si>
  <si>
    <t>Eyeti Tender workflow design</t>
  </si>
  <si>
    <t>MVGM inspiratie</t>
  </si>
  <si>
    <t>MVGM workflow design</t>
  </si>
  <si>
    <t>MVGM pilot</t>
  </si>
  <si>
    <t>Synergia</t>
  </si>
  <si>
    <t>Apheon</t>
  </si>
  <si>
    <t>Quintes pilot</t>
  </si>
  <si>
    <t>Quintes workshop 1</t>
  </si>
  <si>
    <t>Quintes workshop 2</t>
  </si>
  <si>
    <t>3i Prompting</t>
  </si>
  <si>
    <t>Waijer</t>
  </si>
  <si>
    <t>Slokker</t>
  </si>
  <si>
    <t>ECTA</t>
  </si>
  <si>
    <t>Other office</t>
  </si>
  <si>
    <t xml:space="preserve">IMP B.V. </t>
  </si>
  <si>
    <t>Spark Group AI Policy</t>
  </si>
  <si>
    <t xml:space="preserve">Ilionx </t>
  </si>
  <si>
    <t>Magali ilionx</t>
  </si>
  <si>
    <t>Hema Belgïe</t>
  </si>
  <si>
    <t>Rolling profit - VPB (12M rolling)</t>
  </si>
  <si>
    <t xml:space="preserve">Rolling VPB (19% of profits) </t>
  </si>
  <si>
    <t>Rolling revenue (12M)</t>
  </si>
  <si>
    <t>Rolling profit (12M)</t>
  </si>
  <si>
    <t>Rivean</t>
  </si>
  <si>
    <t>Ausnutria Strategy</t>
  </si>
  <si>
    <t>Facilicom Prompting</t>
  </si>
  <si>
    <t>Beaufort Consulting</t>
  </si>
  <si>
    <t>Total variable costs (Shared)</t>
  </si>
  <si>
    <t>Total variable costs (Saleshunt.ai)</t>
  </si>
  <si>
    <t>Workflow Developer (Wissam)</t>
  </si>
  <si>
    <t>Workflow Developer (Oussama)</t>
  </si>
  <si>
    <t>Greg Futurebiogas Saleshunt.ai</t>
  </si>
  <si>
    <t xml:space="preserve">TBD (What is this?) </t>
  </si>
  <si>
    <t>Total Fixed Costs (Saleshunt)</t>
  </si>
  <si>
    <t>Total Fixed Costs (Shared)</t>
  </si>
  <si>
    <t>Relocation fees</t>
  </si>
  <si>
    <t>Accountant / Administratie</t>
  </si>
  <si>
    <t>Total costs (Generative AI Strategy)</t>
  </si>
  <si>
    <t>Total Fixed Costs (Saleshunt.ai)</t>
  </si>
  <si>
    <t>1/2 Shared Fixed Costs</t>
  </si>
  <si>
    <t>Total variable costs (Generative AI Strategy)</t>
  </si>
  <si>
    <t>Total Fixed Costs (Generative AI Strategy)</t>
  </si>
  <si>
    <t>1/2 Shared variable Costs</t>
  </si>
  <si>
    <t xml:space="preserve">1/2 Total Shared Costs </t>
  </si>
  <si>
    <t>Customer 19</t>
  </si>
  <si>
    <t>Customer 20</t>
  </si>
  <si>
    <t>Overall metrics</t>
  </si>
  <si>
    <t>Total costs (Saleshunt.ai)</t>
  </si>
  <si>
    <t>Investments Graduate</t>
  </si>
  <si>
    <t>Investments Dragons</t>
  </si>
  <si>
    <t>Profits</t>
  </si>
  <si>
    <t>Total profit (EBTIDA)</t>
  </si>
  <si>
    <t xml:space="preserve">Profit Generative AI Strategy (EBTIDA) </t>
  </si>
  <si>
    <t>Profit Saleshunt.ai (EBITDA)</t>
  </si>
  <si>
    <t>All Costs</t>
  </si>
  <si>
    <t>Generative AI Strategy Metrics</t>
  </si>
  <si>
    <t>Saleshunt.ai Metrics</t>
  </si>
  <si>
    <t xml:space="preserve">Liquidity calculations (delta vs forecast) </t>
  </si>
  <si>
    <t>Linear</t>
  </si>
  <si>
    <t>Train costs</t>
  </si>
  <si>
    <t>WBSO I</t>
  </si>
  <si>
    <t>Other Sales Comissions</t>
  </si>
  <si>
    <t>Referrals &amp; Sales Comissions</t>
  </si>
  <si>
    <t>DGA Bonus</t>
  </si>
  <si>
    <t>DGA salaris compensation liquidity correction</t>
  </si>
  <si>
    <t>Workshop xSuite</t>
  </si>
  <si>
    <t>Greg xSuite</t>
  </si>
  <si>
    <t>Rivean workshop 1</t>
  </si>
  <si>
    <t>Rivean workshop 2 (prompting)</t>
  </si>
  <si>
    <t>Greg 3i  Professional Services</t>
  </si>
  <si>
    <t>Greg Waijer</t>
  </si>
  <si>
    <t xml:space="preserve">Movico Group </t>
  </si>
  <si>
    <t>Hema België Greg</t>
  </si>
  <si>
    <t>Ian</t>
  </si>
  <si>
    <t>Imker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</si>
</sst>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413]\ #,##0"/>
    <numFmt numFmtId="165" formatCode="0.0%"/>
  </numFmts>
  <fonts count="3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b/>
      <i/>
      <sz val="11"/>
      <color theme="0" tint="-0.34998626667073579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i/>
      <sz val="11"/>
      <color theme="5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FFC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i/>
      <sz val="11"/>
      <color rgb="FFEE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164" fontId="3" fillId="0" borderId="0" xfId="0" applyNumberFormat="1" applyFont="1"/>
    <xf numFmtId="164" fontId="6" fillId="2" borderId="0" xfId="0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1" fillId="2" borderId="0" xfId="0" applyNumberFormat="1" applyFont="1" applyFill="1"/>
    <xf numFmtId="164" fontId="2" fillId="2" borderId="0" xfId="0" applyNumberFormat="1" applyFont="1" applyFill="1"/>
    <xf numFmtId="164" fontId="6" fillId="2" borderId="0" xfId="0" applyNumberFormat="1" applyFont="1" applyFill="1" applyAlignment="1">
      <alignment horizontal="right"/>
    </xf>
    <xf numFmtId="164" fontId="7" fillId="2" borderId="0" xfId="0" applyNumberFormat="1" applyFont="1" applyFill="1"/>
    <xf numFmtId="164" fontId="7" fillId="2" borderId="0" xfId="0" applyNumberFormat="1" applyFont="1" applyFill="1" applyAlignment="1">
      <alignment horizontal="right"/>
    </xf>
    <xf numFmtId="164" fontId="2" fillId="4" borderId="0" xfId="0" applyNumberFormat="1" applyFont="1" applyFill="1"/>
    <xf numFmtId="164" fontId="1" fillId="4" borderId="0" xfId="0" applyNumberFormat="1" applyFont="1" applyFill="1"/>
    <xf numFmtId="164" fontId="13" fillId="4" borderId="0" xfId="0" applyNumberFormat="1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164" fontId="2" fillId="0" borderId="0" xfId="0" applyNumberFormat="1" applyFont="1"/>
    <xf numFmtId="164" fontId="6" fillId="0" borderId="0" xfId="0" applyNumberFormat="1" applyFont="1"/>
    <xf numFmtId="164" fontId="5" fillId="0" borderId="0" xfId="0" applyNumberFormat="1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1" fillId="0" borderId="0" xfId="0" applyNumberFormat="1" applyFont="1"/>
    <xf numFmtId="164" fontId="13" fillId="0" borderId="0" xfId="0" applyNumberFormat="1" applyFont="1" applyAlignment="1">
      <alignment horizontal="right"/>
    </xf>
    <xf numFmtId="164" fontId="10" fillId="0" borderId="0" xfId="0" applyNumberFormat="1" applyFont="1"/>
    <xf numFmtId="164" fontId="9" fillId="0" borderId="0" xfId="0" applyNumberFormat="1" applyFont="1" applyAlignment="1">
      <alignment horizontal="right"/>
    </xf>
    <xf numFmtId="164" fontId="7" fillId="0" borderId="0" xfId="0" applyNumberFormat="1" applyFont="1"/>
    <xf numFmtId="164" fontId="6" fillId="2" borderId="0" xfId="0" applyNumberFormat="1" applyFont="1" applyFill="1" applyAlignment="1">
      <alignment horizontal="left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3" borderId="0" xfId="0" applyNumberFormat="1" applyFont="1" applyFill="1"/>
    <xf numFmtId="164" fontId="13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164" fontId="15" fillId="0" borderId="0" xfId="0" applyNumberFormat="1" applyFont="1"/>
    <xf numFmtId="164" fontId="0" fillId="0" borderId="0" xfId="0" applyNumberFormat="1" applyAlignment="1">
      <alignment horizontal="right"/>
    </xf>
    <xf numFmtId="164" fontId="12" fillId="0" borderId="0" xfId="0" applyNumberFormat="1" applyFont="1" applyAlignment="1">
      <alignment horizontal="right"/>
    </xf>
    <xf numFmtId="17" fontId="1" fillId="2" borderId="0" xfId="0" applyNumberFormat="1" applyFont="1" applyFill="1"/>
    <xf numFmtId="164" fontId="0" fillId="5" borderId="0" xfId="0" applyNumberFormat="1" applyFill="1"/>
    <xf numFmtId="164" fontId="3" fillId="5" borderId="0" xfId="0" applyNumberFormat="1" applyFont="1" applyFill="1"/>
    <xf numFmtId="164" fontId="0" fillId="5" borderId="0" xfId="0" applyNumberFormat="1" applyFill="1" applyAlignment="1">
      <alignment horizontal="right"/>
    </xf>
    <xf numFmtId="164" fontId="16" fillId="5" borderId="0" xfId="0" applyNumberFormat="1" applyFont="1" applyFill="1"/>
    <xf numFmtId="164" fontId="4" fillId="0" borderId="0" xfId="0" applyNumberFormat="1" applyFont="1"/>
    <xf numFmtId="164" fontId="17" fillId="5" borderId="0" xfId="0" applyNumberFormat="1" applyFont="1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17" fontId="2" fillId="6" borderId="0" xfId="0" applyNumberFormat="1" applyFont="1" applyFill="1"/>
    <xf numFmtId="164" fontId="3" fillId="6" borderId="0" xfId="0" applyNumberFormat="1" applyFont="1" applyFill="1" applyAlignment="1">
      <alignment horizontal="right"/>
    </xf>
    <xf numFmtId="164" fontId="2" fillId="6" borderId="0" xfId="0" applyNumberFormat="1" applyFont="1" applyFill="1"/>
    <xf numFmtId="164" fontId="18" fillId="5" borderId="0" xfId="0" applyNumberFormat="1" applyFont="1" applyFill="1"/>
    <xf numFmtId="164" fontId="19" fillId="5" borderId="0" xfId="0" applyNumberFormat="1" applyFont="1" applyFill="1"/>
    <xf numFmtId="164" fontId="20" fillId="5" borderId="0" xfId="0" applyNumberFormat="1" applyFont="1" applyFill="1"/>
    <xf numFmtId="164" fontId="11" fillId="5" borderId="0" xfId="0" applyNumberFormat="1" applyFont="1" applyFill="1" applyAlignment="1">
      <alignment horizontal="right"/>
    </xf>
    <xf numFmtId="164" fontId="8" fillId="4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17" fontId="1" fillId="2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5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3" fillId="6" borderId="0" xfId="0" applyNumberFormat="1" applyFont="1" applyFill="1"/>
    <xf numFmtId="164" fontId="10" fillId="4" borderId="0" xfId="0" applyNumberFormat="1" applyFont="1" applyFill="1"/>
    <xf numFmtId="164" fontId="10" fillId="3" borderId="0" xfId="0" applyNumberFormat="1" applyFont="1" applyFill="1"/>
    <xf numFmtId="164" fontId="21" fillId="0" borderId="0" xfId="0" applyNumberFormat="1" applyFont="1"/>
    <xf numFmtId="2" fontId="0" fillId="0" borderId="0" xfId="0" applyNumberFormat="1"/>
    <xf numFmtId="164" fontId="22" fillId="5" borderId="0" xfId="0" applyNumberFormat="1" applyFont="1" applyFill="1"/>
    <xf numFmtId="164" fontId="18" fillId="0" borderId="0" xfId="0" applyNumberFormat="1" applyFont="1" applyAlignment="1">
      <alignment horizontal="right"/>
    </xf>
    <xf numFmtId="164" fontId="16" fillId="0" borderId="0" xfId="0" applyNumberFormat="1" applyFont="1"/>
    <xf numFmtId="164" fontId="17" fillId="0" borderId="0" xfId="0" applyNumberFormat="1" applyFont="1"/>
    <xf numFmtId="164" fontId="17" fillId="0" borderId="0" xfId="0" applyNumberFormat="1" applyFont="1" applyAlignment="1">
      <alignment horizontal="right"/>
    </xf>
    <xf numFmtId="164" fontId="17" fillId="5" borderId="0" xfId="0" applyNumberFormat="1" applyFont="1" applyFill="1" applyAlignment="1">
      <alignment horizontal="right"/>
    </xf>
    <xf numFmtId="164" fontId="21" fillId="0" borderId="0" xfId="0" applyNumberFormat="1" applyFont="1" applyAlignment="1">
      <alignment horizontal="right"/>
    </xf>
    <xf numFmtId="164" fontId="3" fillId="3" borderId="0" xfId="0" applyNumberFormat="1" applyFont="1" applyFill="1"/>
    <xf numFmtId="164" fontId="7" fillId="3" borderId="0" xfId="0" applyNumberFormat="1" applyFont="1" applyFill="1"/>
    <xf numFmtId="2" fontId="3" fillId="0" borderId="0" xfId="0" applyNumberFormat="1" applyFont="1"/>
    <xf numFmtId="2" fontId="7" fillId="0" borderId="0" xfId="0" applyNumberFormat="1" applyFont="1"/>
    <xf numFmtId="2" fontId="8" fillId="0" borderId="0" xfId="0" applyNumberFormat="1" applyFont="1" applyAlignment="1">
      <alignment horizontal="right"/>
    </xf>
    <xf numFmtId="164" fontId="0" fillId="7" borderId="1" xfId="0" applyNumberFormat="1" applyFill="1" applyBorder="1"/>
    <xf numFmtId="164" fontId="0" fillId="7" borderId="2" xfId="0" applyNumberFormat="1" applyFill="1" applyBorder="1"/>
    <xf numFmtId="164" fontId="6" fillId="8" borderId="3" xfId="0" applyNumberFormat="1" applyFont="1" applyFill="1" applyBorder="1"/>
    <xf numFmtId="164" fontId="21" fillId="5" borderId="0" xfId="0" applyNumberFormat="1" applyFont="1" applyFill="1"/>
    <xf numFmtId="164" fontId="23" fillId="0" borderId="0" xfId="0" applyNumberFormat="1" applyFont="1" applyAlignment="1">
      <alignment horizontal="right"/>
    </xf>
    <xf numFmtId="164" fontId="12" fillId="5" borderId="0" xfId="0" applyNumberFormat="1" applyFont="1" applyFill="1"/>
    <xf numFmtId="164" fontId="21" fillId="5" borderId="0" xfId="0" applyNumberFormat="1" applyFont="1" applyFill="1" applyAlignment="1">
      <alignment horizontal="right"/>
    </xf>
    <xf numFmtId="164" fontId="24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4" fontId="16" fillId="5" borderId="0" xfId="0" applyNumberFormat="1" applyFont="1" applyFill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0" fillId="9" borderId="0" xfId="0" applyNumberFormat="1" applyFill="1"/>
    <xf numFmtId="164" fontId="6" fillId="9" borderId="0" xfId="0" applyNumberFormat="1" applyFont="1" applyFill="1"/>
    <xf numFmtId="164" fontId="5" fillId="9" borderId="0" xfId="0" applyNumberFormat="1" applyFont="1" applyFill="1" applyAlignment="1">
      <alignment horizontal="right"/>
    </xf>
    <xf numFmtId="164" fontId="8" fillId="9" borderId="0" xfId="0" applyNumberFormat="1" applyFont="1" applyFill="1" applyAlignment="1">
      <alignment horizontal="right"/>
    </xf>
    <xf numFmtId="10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0" fontId="8" fillId="9" borderId="0" xfId="0" applyNumberFormat="1" applyFont="1" applyFill="1" applyAlignment="1">
      <alignment horizontal="left"/>
    </xf>
    <xf numFmtId="164" fontId="23" fillId="5" borderId="0" xfId="0" applyNumberFormat="1" applyFont="1" applyFill="1"/>
    <xf numFmtId="164" fontId="2" fillId="10" borderId="0" xfId="0" applyNumberFormat="1" applyFont="1" applyFill="1"/>
    <xf numFmtId="164" fontId="26" fillId="5" borderId="0" xfId="0" applyNumberFormat="1" applyFont="1" applyFill="1"/>
    <xf numFmtId="164" fontId="25" fillId="5" borderId="0" xfId="0" applyNumberFormat="1" applyFont="1" applyFill="1"/>
    <xf numFmtId="164" fontId="23" fillId="0" borderId="0" xfId="0" applyNumberFormat="1" applyFont="1"/>
    <xf numFmtId="164" fontId="27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28" fillId="0" borderId="0" xfId="0" applyNumberFormat="1" applyFont="1"/>
    <xf numFmtId="164" fontId="25" fillId="0" borderId="0" xfId="0" applyNumberFormat="1" applyFont="1" applyAlignment="1">
      <alignment horizontal="right"/>
    </xf>
    <xf numFmtId="164" fontId="25" fillId="5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horizontal="right"/>
    </xf>
    <xf numFmtId="164" fontId="29" fillId="0" borderId="0" xfId="0" applyNumberFormat="1" applyFont="1"/>
    <xf numFmtId="164" fontId="30" fillId="5" borderId="0" xfId="0" applyNumberFormat="1" applyFont="1" applyFill="1"/>
    <xf numFmtId="164" fontId="4" fillId="0" borderId="0" xfId="0" applyNumberFormat="1" applyFont="1" applyAlignment="1">
      <alignment horizontal="right"/>
    </xf>
    <xf numFmtId="164" fontId="4" fillId="5" borderId="0" xfId="0" applyNumberFormat="1" applyFont="1" applyFill="1"/>
    <xf numFmtId="164" fontId="0" fillId="10" borderId="0" xfId="0" applyNumberFormat="1" applyFill="1"/>
    <xf numFmtId="164" fontId="1" fillId="10" borderId="0" xfId="0" applyNumberFormat="1" applyFont="1" applyFill="1"/>
    <xf numFmtId="164" fontId="3" fillId="10" borderId="0" xfId="0" applyNumberFormat="1" applyFont="1" applyFill="1"/>
    <xf numFmtId="164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right"/>
    </xf>
    <xf numFmtId="17" fontId="2" fillId="10" borderId="0" xfId="0" applyNumberFormat="1" applyFont="1" applyFill="1"/>
    <xf numFmtId="164" fontId="3" fillId="10" borderId="0" xfId="0" applyNumberFormat="1" applyFont="1" applyFill="1" applyAlignment="1">
      <alignment horizontal="right"/>
    </xf>
    <xf numFmtId="17" fontId="2" fillId="1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164" fontId="13" fillId="10" borderId="0" xfId="0" applyNumberFormat="1" applyFont="1" applyFill="1" applyAlignment="1">
      <alignment horizontal="right"/>
    </xf>
    <xf numFmtId="164" fontId="9" fillId="10" borderId="0" xfId="0" applyNumberFormat="1" applyFont="1" applyFill="1" applyAlignment="1">
      <alignment horizontal="right"/>
    </xf>
    <xf numFmtId="164" fontId="8" fillId="10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4" xfId="0" applyNumberFormat="1" applyBorder="1"/>
    <xf numFmtId="17" fontId="1" fillId="2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/>
    <xf numFmtId="164" fontId="2" fillId="4" borderId="4" xfId="0" applyNumberFormat="1" applyFont="1" applyFill="1" applyBorder="1"/>
    <xf numFmtId="164" fontId="2" fillId="0" borderId="4" xfId="0" applyNumberFormat="1" applyFont="1" applyBorder="1"/>
    <xf numFmtId="164" fontId="0" fillId="5" borderId="4" xfId="0" applyNumberFormat="1" applyFill="1" applyBorder="1"/>
    <xf numFmtId="2" fontId="3" fillId="0" borderId="4" xfId="0" applyNumberFormat="1" applyFont="1" applyBorder="1"/>
    <xf numFmtId="164" fontId="3" fillId="3" borderId="4" xfId="0" applyNumberFormat="1" applyFont="1" applyFill="1" applyBorder="1"/>
    <xf numFmtId="164" fontId="3" fillId="0" borderId="4" xfId="0" applyNumberFormat="1" applyFont="1" applyBorder="1"/>
    <xf numFmtId="164" fontId="21" fillId="5" borderId="4" xfId="0" applyNumberFormat="1" applyFont="1" applyFill="1" applyBorder="1"/>
    <xf numFmtId="164" fontId="0" fillId="9" borderId="4" xfId="0" applyNumberFormat="1" applyFill="1" applyBorder="1"/>
    <xf numFmtId="165" fontId="5" fillId="0" borderId="4" xfId="0" applyNumberFormat="1" applyFont="1" applyBorder="1"/>
    <xf numFmtId="164" fontId="16" fillId="0" borderId="4" xfId="0" applyNumberFormat="1" applyFont="1" applyBorder="1"/>
    <xf numFmtId="164" fontId="10" fillId="0" borderId="4" xfId="0" applyNumberFormat="1" applyFont="1" applyBorder="1"/>
    <xf numFmtId="164" fontId="18" fillId="5" borderId="4" xfId="0" applyNumberFormat="1" applyFont="1" applyFill="1" applyBorder="1"/>
    <xf numFmtId="164" fontId="20" fillId="5" borderId="4" xfId="0" applyNumberFormat="1" applyFont="1" applyFill="1" applyBorder="1"/>
    <xf numFmtId="164" fontId="3" fillId="5" borderId="4" xfId="0" applyNumberFormat="1" applyFont="1" applyFill="1" applyBorder="1"/>
    <xf numFmtId="164" fontId="19" fillId="5" borderId="4" xfId="0" applyNumberFormat="1" applyFont="1" applyFill="1" applyBorder="1"/>
    <xf numFmtId="164" fontId="2" fillId="3" borderId="4" xfId="0" applyNumberFormat="1" applyFont="1" applyFill="1" applyBorder="1"/>
    <xf numFmtId="164" fontId="2" fillId="10" borderId="4" xfId="0" applyNumberFormat="1" applyFont="1" applyFill="1" applyBorder="1"/>
    <xf numFmtId="164" fontId="12" fillId="5" borderId="4" xfId="0" applyNumberFormat="1" applyFont="1" applyFill="1" applyBorder="1"/>
    <xf numFmtId="164" fontId="17" fillId="5" borderId="4" xfId="0" applyNumberFormat="1" applyFont="1" applyFill="1" applyBorder="1"/>
    <xf numFmtId="164" fontId="23" fillId="5" borderId="4" xfId="0" applyNumberFormat="1" applyFont="1" applyFill="1" applyBorder="1"/>
    <xf numFmtId="164" fontId="4" fillId="5" borderId="4" xfId="0" applyNumberFormat="1" applyFont="1" applyFill="1" applyBorder="1"/>
    <xf numFmtId="164" fontId="17" fillId="0" borderId="4" xfId="0" applyNumberFormat="1" applyFont="1" applyBorder="1"/>
    <xf numFmtId="17" fontId="2" fillId="10" borderId="4" xfId="0" applyNumberFormat="1" applyFont="1" applyFill="1" applyBorder="1" applyAlignment="1">
      <alignment horizontal="right"/>
    </xf>
    <xf numFmtId="164" fontId="17" fillId="5" borderId="4" xfId="0" applyNumberFormat="1" applyFont="1" applyFill="1" applyBorder="1" applyAlignment="1">
      <alignment horizontal="right"/>
    </xf>
    <xf numFmtId="164" fontId="3" fillId="5" borderId="4" xfId="0" applyNumberFormat="1" applyFont="1" applyFill="1" applyBorder="1" applyAlignment="1">
      <alignment horizontal="right"/>
    </xf>
    <xf numFmtId="164" fontId="0" fillId="5" borderId="4" xfId="0" applyNumberFormat="1" applyFill="1" applyBorder="1" applyAlignment="1">
      <alignment horizontal="right"/>
    </xf>
    <xf numFmtId="164" fontId="16" fillId="5" borderId="4" xfId="0" applyNumberFormat="1" applyFont="1" applyFill="1" applyBorder="1"/>
    <xf numFmtId="164" fontId="25" fillId="0" borderId="4" xfId="0" applyNumberFormat="1" applyFont="1" applyBorder="1"/>
    <xf numFmtId="164" fontId="25" fillId="5" borderId="4" xfId="0" applyNumberFormat="1" applyFont="1" applyFill="1" applyBorder="1"/>
    <xf numFmtId="164" fontId="16" fillId="5" borderId="4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46C5-9A1C-4B3E-A158-B3327921FCDF}">
  <dimension ref="A1:BT489"/>
  <sheetViews>
    <sheetView showGridLines="0" tabSelected="1" topLeftCell="B1" zoomScale="85" zoomScaleNormal="85" workbookViewId="0">
      <pane xSplit="9" ySplit="2" topLeftCell="BD211" activePane="bottomRight" state="frozen"/>
      <selection pane="topRight" activeCell="K1" sqref="K1"/>
      <selection pane="bottomLeft" activeCell="B3" sqref="B3"/>
      <selection pane="bottomRight" activeCell="BL242" sqref="BL242"/>
    </sheetView>
  </sheetViews>
  <sheetFormatPr defaultColWidth="8.85546875" defaultRowHeight="15" outlineLevelRow="2" x14ac:dyDescent="0.25"/>
  <cols>
    <col min="1" max="1" width="2.7109375" style="4" customWidth="1"/>
    <col min="2" max="6" width="1.85546875" style="4" customWidth="1"/>
    <col min="7" max="7" width="1.85546875" style="1" customWidth="1"/>
    <col min="8" max="8" width="1.85546875" style="4" customWidth="1"/>
    <col min="9" max="9" width="8.85546875" style="4"/>
    <col min="10" max="10" width="22.140625" style="4" customWidth="1"/>
    <col min="11" max="13" width="8.85546875" style="4"/>
    <col min="14" max="14" width="8.85546875" style="15"/>
    <col min="15" max="15" width="8.85546875" style="4"/>
    <col min="16" max="16" width="14" style="4" customWidth="1"/>
    <col min="17" max="17" width="13.5703125" style="4" customWidth="1"/>
    <col min="18" max="18" width="9.85546875" style="4" customWidth="1"/>
    <col min="19" max="19" width="9.7109375" style="16" customWidth="1"/>
    <col min="20" max="20" width="16.85546875" style="4" customWidth="1"/>
    <col min="21" max="21" width="15.85546875" style="18" customWidth="1"/>
    <col min="22" max="22" width="15.85546875" style="4" customWidth="1"/>
    <col min="23" max="23" width="14.85546875" style="18" customWidth="1"/>
    <col min="24" max="24" width="15.85546875" style="4" customWidth="1"/>
    <col min="25" max="25" width="15.42578125" style="18" customWidth="1"/>
    <col min="26" max="26" width="15.85546875" style="4" customWidth="1"/>
    <col min="27" max="27" width="22.42578125" style="18" customWidth="1"/>
    <col min="28" max="28" width="26" style="4" customWidth="1"/>
    <col min="29" max="29" width="22.42578125" style="18" customWidth="1"/>
    <col min="30" max="30" width="19" style="4" customWidth="1"/>
    <col min="31" max="31" width="31.7109375" style="18" customWidth="1"/>
    <col min="32" max="32" width="13.7109375" style="4" customWidth="1"/>
    <col min="33" max="33" width="14.5703125" style="18" customWidth="1"/>
    <col min="34" max="34" width="22.140625" style="4" customWidth="1"/>
    <col min="35" max="35" width="19.28515625" style="18" customWidth="1"/>
    <col min="36" max="36" width="19.5703125" style="4" customWidth="1"/>
    <col min="37" max="37" width="13" style="18" customWidth="1"/>
    <col min="38" max="38" width="19.140625" style="4" customWidth="1"/>
    <col min="39" max="39" width="16.7109375" style="18" customWidth="1"/>
    <col min="40" max="40" width="15.85546875" style="4" bestFit="1" customWidth="1"/>
    <col min="41" max="41" width="25" style="18" customWidth="1"/>
    <col min="42" max="42" width="15.85546875" style="4" bestFit="1" customWidth="1"/>
    <col min="43" max="43" width="16.5703125" style="18" customWidth="1"/>
    <col min="44" max="44" width="15.85546875" style="4" bestFit="1" customWidth="1"/>
    <col min="45" max="45" width="14.140625" style="18" customWidth="1"/>
    <col min="46" max="46" width="14.5703125" style="121" customWidth="1"/>
    <col min="47" max="47" width="24.7109375" style="18" customWidth="1"/>
    <col min="48" max="48" width="15.85546875" style="4" bestFit="1" customWidth="1"/>
    <col min="49" max="49" width="20.85546875" style="18" customWidth="1"/>
    <col min="50" max="50" width="23.42578125" style="4" customWidth="1"/>
    <col min="51" max="51" width="18.7109375" style="18" customWidth="1"/>
    <col min="52" max="52" width="16.140625" style="4" customWidth="1"/>
    <col min="53" max="53" width="19.42578125" style="18" customWidth="1"/>
    <col min="54" max="54" width="17.85546875" style="4" customWidth="1"/>
    <col min="55" max="55" width="21.7109375" style="52" customWidth="1"/>
    <col min="56" max="56" width="15.85546875" style="4" bestFit="1" customWidth="1"/>
    <col min="57" max="57" width="18.7109375" style="18" customWidth="1"/>
    <col min="58" max="58" width="14.42578125" style="4" customWidth="1"/>
    <col min="59" max="59" width="29.85546875" style="18" customWidth="1"/>
    <col min="60" max="60" width="15.85546875" style="4" bestFit="1" customWidth="1"/>
    <col min="61" max="61" width="20.85546875" style="18" customWidth="1"/>
    <col min="62" max="62" width="23.140625" style="4" customWidth="1"/>
    <col min="63" max="63" width="17.42578125" style="18" customWidth="1"/>
    <col min="64" max="64" width="15.85546875" style="4" bestFit="1" customWidth="1"/>
    <col min="65" max="65" width="19.28515625" style="18" customWidth="1"/>
    <col min="66" max="66" width="15.85546875" style="4" bestFit="1" customWidth="1"/>
    <col min="67" max="67" width="13.42578125" style="18" customWidth="1"/>
    <col min="68" max="68" width="15.85546875" style="4" bestFit="1" customWidth="1"/>
    <col min="69" max="69" width="9.7109375" style="18" customWidth="1"/>
    <col min="70" max="70" width="15.85546875" style="4" bestFit="1" customWidth="1"/>
    <col min="71" max="71" width="9.7109375" style="18" customWidth="1"/>
    <col min="72" max="72" width="10.85546875" style="4" bestFit="1" customWidth="1"/>
    <col min="73" max="16384" width="8.85546875" style="4"/>
  </cols>
  <sheetData>
    <row r="1" spans="3:71" x14ac:dyDescent="0.25">
      <c r="BC1" s="18"/>
    </row>
    <row r="2" spans="3:71" s="14" customFormat="1" x14ac:dyDescent="0.25">
      <c r="C2" s="5" t="s">
        <v>769</v>
      </c>
      <c r="D2" s="6"/>
      <c r="E2" s="6"/>
      <c r="F2" s="6"/>
      <c r="G2" s="154"/>
      <c r="H2" s="6"/>
      <c r="I2" s="6"/>
      <c r="J2" s="6"/>
      <c r="K2" s="6"/>
      <c r="L2" s="6"/>
      <c r="M2" s="6"/>
      <c r="N2" s="5"/>
      <c r="O2" s="6"/>
      <c r="P2" s="6"/>
      <c r="Q2" s="6"/>
      <c r="S2" s="155"/>
      <c r="T2" s="33">
        <v>45231</v>
      </c>
      <c r="U2" s="156"/>
      <c r="V2" s="33">
        <v>45261</v>
      </c>
      <c r="W2" s="156"/>
      <c r="X2" s="33">
        <v>45292</v>
      </c>
      <c r="Y2" s="156"/>
      <c r="Z2" s="33">
        <v>45323</v>
      </c>
      <c r="AA2" s="156"/>
      <c r="AB2" s="33">
        <v>45352</v>
      </c>
      <c r="AC2" s="156"/>
      <c r="AD2" s="33">
        <v>45383</v>
      </c>
      <c r="AE2" s="156"/>
      <c r="AF2" s="33">
        <v>45413</v>
      </c>
      <c r="AG2" s="156"/>
      <c r="AH2" s="33">
        <v>45444</v>
      </c>
      <c r="AI2" s="156"/>
      <c r="AJ2" s="33">
        <v>45474</v>
      </c>
      <c r="AK2" s="156"/>
      <c r="AL2" s="33">
        <v>45528</v>
      </c>
      <c r="AM2" s="156"/>
      <c r="AN2" s="33">
        <v>45559</v>
      </c>
      <c r="AO2" s="156"/>
      <c r="AP2" s="51" t="s">
        <v>0</v>
      </c>
      <c r="AQ2" s="156"/>
      <c r="AR2" s="51">
        <v>45620</v>
      </c>
      <c r="AS2" s="156"/>
      <c r="AT2" s="122">
        <v>45650</v>
      </c>
      <c r="AU2" s="156"/>
      <c r="AV2" s="51">
        <v>45658</v>
      </c>
      <c r="AW2" s="156"/>
      <c r="AX2" s="51">
        <v>45689</v>
      </c>
      <c r="AY2" s="156"/>
      <c r="AZ2" s="51">
        <f>AX2+30</f>
        <v>45719</v>
      </c>
      <c r="BA2" s="156"/>
      <c r="BB2" s="51">
        <f>AZ2+30</f>
        <v>45749</v>
      </c>
      <c r="BC2" s="156"/>
      <c r="BD2" s="51">
        <f>BB2+30</f>
        <v>45779</v>
      </c>
      <c r="BE2" s="156"/>
      <c r="BF2" s="51">
        <f>BD2+30</f>
        <v>45809</v>
      </c>
      <c r="BG2" s="156"/>
      <c r="BH2" s="51">
        <f>BF2+30</f>
        <v>45839</v>
      </c>
      <c r="BI2" s="156"/>
      <c r="BJ2" s="51">
        <f>BH2+31</f>
        <v>45870</v>
      </c>
      <c r="BK2" s="156"/>
      <c r="BL2" s="51">
        <f>BJ2+31</f>
        <v>45901</v>
      </c>
      <c r="BM2" s="156"/>
      <c r="BN2" s="51">
        <f>BL2+31</f>
        <v>45932</v>
      </c>
      <c r="BO2" s="156"/>
      <c r="BP2" s="51">
        <f>BN2+31</f>
        <v>45963</v>
      </c>
      <c r="BQ2" s="156"/>
      <c r="BR2" s="51">
        <f>BP2+31</f>
        <v>45994</v>
      </c>
      <c r="BS2" s="156"/>
    </row>
    <row r="3" spans="3:71" outlineLevel="1" x14ac:dyDescent="0.25">
      <c r="C3" s="40" t="s">
        <v>1</v>
      </c>
      <c r="D3" s="40"/>
      <c r="E3" s="40"/>
      <c r="F3" s="40"/>
      <c r="G3" s="55"/>
      <c r="H3" s="40"/>
      <c r="I3" s="40"/>
      <c r="J3" s="40"/>
      <c r="K3" s="40"/>
      <c r="L3" s="40"/>
      <c r="M3" s="40"/>
      <c r="N3" s="40"/>
      <c r="O3" s="40"/>
      <c r="P3" s="40"/>
      <c r="Q3" s="40"/>
      <c r="S3" s="41"/>
      <c r="T3" s="42"/>
      <c r="U3" s="43"/>
      <c r="V3" s="42"/>
      <c r="W3" s="43"/>
      <c r="X3" s="44">
        <f>X13-X68</f>
        <v>-4691.6703416666714</v>
      </c>
      <c r="Y3" s="43"/>
      <c r="Z3" s="44">
        <f>Z13-Z68</f>
        <v>-56713.849733333343</v>
      </c>
      <c r="AA3" s="43"/>
      <c r="AB3" s="44">
        <f>AB13-AB68</f>
        <v>-17589.463575000002</v>
      </c>
      <c r="AC3" s="43"/>
      <c r="AD3" s="44">
        <f>AD13-AD68</f>
        <v>-43133.020449999989</v>
      </c>
      <c r="AE3" s="43"/>
      <c r="AF3" s="44">
        <f>AF13-AF68</f>
        <v>-78747.429691666664</v>
      </c>
      <c r="AG3" s="43"/>
      <c r="AH3" s="44">
        <f>AH4-AH68</f>
        <v>-84421.216233333325</v>
      </c>
      <c r="AI3" s="43"/>
      <c r="AJ3" s="44">
        <f>AJ4-AJ68</f>
        <v>0</v>
      </c>
      <c r="AK3" s="43"/>
      <c r="AL3" s="44">
        <f>AL4-AL68</f>
        <v>-269370.81174166669</v>
      </c>
      <c r="AM3" s="43"/>
      <c r="AN3" s="44">
        <f>AN4-AN68</f>
        <v>-237706.79398333337</v>
      </c>
      <c r="AO3" s="43"/>
      <c r="AP3" s="44">
        <f>AP4-AP68</f>
        <v>129714.14300833334</v>
      </c>
      <c r="AQ3" s="43"/>
      <c r="AR3" s="44">
        <f>AR4-AR68</f>
        <v>-347841.26703333331</v>
      </c>
      <c r="AS3" s="43"/>
      <c r="AT3" s="123">
        <f>AT4-AT68</f>
        <v>164887.40600070276</v>
      </c>
      <c r="AU3" s="43"/>
      <c r="AV3" s="44">
        <f>AV4-AV68</f>
        <v>-451861.13408042176</v>
      </c>
      <c r="AW3" s="43"/>
      <c r="AX3" s="44">
        <f>AX4-AX68</f>
        <v>-555039.83013699518</v>
      </c>
      <c r="AY3" s="43"/>
      <c r="AZ3" s="44">
        <f>AZ4-AZ68</f>
        <v>-531559.60835021408</v>
      </c>
      <c r="BA3" s="43"/>
      <c r="BB3" s="44">
        <f>BB4-BB68</f>
        <v>-650619.72364816291</v>
      </c>
      <c r="BC3" s="43"/>
      <c r="BD3" s="44">
        <f>BD4-BD68</f>
        <v>-792455.8165025746</v>
      </c>
      <c r="BE3" s="43"/>
      <c r="BF3" s="44">
        <f>BF4-BF68</f>
        <v>-956700.95587855484</v>
      </c>
      <c r="BG3" s="43"/>
      <c r="BH3" s="44">
        <f>BH4-BH68</f>
        <v>-1113968.2799648293</v>
      </c>
      <c r="BI3" s="43"/>
      <c r="BJ3" s="44">
        <f>BJ4-BJ68</f>
        <v>-1269535.5376981627</v>
      </c>
      <c r="BK3" s="43"/>
      <c r="BL3" s="44">
        <f>BL4-BL68</f>
        <v>-1202768.2340314961</v>
      </c>
      <c r="BM3" s="43"/>
      <c r="BN3" s="44">
        <f>BN4-BN68</f>
        <v>-1476960.6003648294</v>
      </c>
      <c r="BO3" s="43"/>
      <c r="BP3" s="44">
        <f>BP4-BP68</f>
        <v>-1566631.3466981626</v>
      </c>
      <c r="BQ3" s="43"/>
      <c r="BR3" s="44">
        <f>BR4-BR68</f>
        <v>-1473552.7611314962</v>
      </c>
      <c r="BS3" s="43"/>
    </row>
    <row r="4" spans="3:71" s="14" customFormat="1" outlineLevel="1" x14ac:dyDescent="0.25">
      <c r="C4" s="10" t="s">
        <v>2</v>
      </c>
      <c r="D4" s="10"/>
      <c r="E4" s="10"/>
      <c r="F4" s="10"/>
      <c r="G4" s="56"/>
      <c r="H4" s="10"/>
      <c r="I4" s="10"/>
      <c r="J4" s="10"/>
      <c r="K4" s="10"/>
      <c r="L4" s="10"/>
      <c r="M4" s="10"/>
      <c r="N4" s="11"/>
      <c r="O4" s="10"/>
      <c r="P4" s="10"/>
      <c r="Q4" s="10"/>
      <c r="R4" s="4"/>
      <c r="S4" s="12"/>
      <c r="T4" s="10">
        <f>T46</f>
        <v>0</v>
      </c>
      <c r="U4" s="13"/>
      <c r="V4" s="10">
        <f>T4+V46</f>
        <v>0</v>
      </c>
      <c r="W4" s="13"/>
      <c r="X4" s="10">
        <f>X46+X31-X17-X6</f>
        <v>78448.264658333326</v>
      </c>
      <c r="Y4" s="13"/>
      <c r="Z4" s="10">
        <f>Z46+Z31-Z17-Z6</f>
        <v>11653.030266666661</v>
      </c>
      <c r="AA4" s="13"/>
      <c r="AB4" s="10">
        <f>AB46+AB31-AB17-AB11-AB6</f>
        <v>34536.301424999983</v>
      </c>
      <c r="AC4" s="13"/>
      <c r="AD4" s="10">
        <f>AD46+AD31-AD17-AD11-AD6</f>
        <v>120635.20288333332</v>
      </c>
      <c r="AE4" s="49" t="s">
        <v>3</v>
      </c>
      <c r="AF4" s="10">
        <f>AF46+AF31-AF17-AF11-AF6</f>
        <v>12102.485308333315</v>
      </c>
      <c r="AG4" s="13"/>
      <c r="AH4" s="10">
        <f>AH15-AH7</f>
        <v>-43489.22</v>
      </c>
      <c r="AI4" s="13"/>
      <c r="AJ4" s="10">
        <f>AJ15-AJ7</f>
        <v>108928.20000000001</v>
      </c>
      <c r="AK4" s="13"/>
      <c r="AL4" s="10">
        <f>AL15-AL7</f>
        <v>0</v>
      </c>
      <c r="AM4" s="13"/>
      <c r="AN4" s="10">
        <f>AN15-AN7</f>
        <v>0</v>
      </c>
      <c r="AO4" s="13"/>
      <c r="AP4" s="10">
        <f>AP15-AP7</f>
        <v>402178</v>
      </c>
      <c r="AQ4" s="13"/>
      <c r="AR4" s="10">
        <f>AR15-AR7</f>
        <v>0</v>
      </c>
      <c r="AS4" s="13"/>
      <c r="AT4" s="124">
        <f>AT15-AT7</f>
        <v>562391</v>
      </c>
      <c r="AU4" s="13"/>
      <c r="AV4" s="10">
        <f>AV15-AV7</f>
        <v>0</v>
      </c>
      <c r="AW4" s="13"/>
      <c r="AX4" s="10">
        <f>AX15-AX7</f>
        <v>0</v>
      </c>
      <c r="AY4" s="13"/>
      <c r="AZ4" s="10">
        <f>AZ15-AZ7</f>
        <v>0</v>
      </c>
      <c r="BA4" s="13"/>
      <c r="BB4" s="10">
        <f>BB15-BB7</f>
        <v>0</v>
      </c>
      <c r="BC4" s="13"/>
      <c r="BD4" s="10">
        <f>BD15-BD7</f>
        <v>0</v>
      </c>
      <c r="BE4" s="13"/>
      <c r="BF4" s="10">
        <f>BF15-BF7</f>
        <v>0</v>
      </c>
      <c r="BG4" s="13"/>
      <c r="BH4" s="10">
        <f>BH15-BH7</f>
        <v>0</v>
      </c>
      <c r="BI4" s="13"/>
      <c r="BJ4" s="10">
        <f>BJ15-BJ7</f>
        <v>0</v>
      </c>
      <c r="BK4" s="13"/>
      <c r="BL4" s="10">
        <f>BL15-BL7</f>
        <v>0</v>
      </c>
      <c r="BM4" s="13"/>
      <c r="BN4" s="10">
        <f>BN15-BN7</f>
        <v>0</v>
      </c>
      <c r="BO4" s="13"/>
      <c r="BP4" s="10">
        <f>BP15-BP7</f>
        <v>0</v>
      </c>
      <c r="BQ4" s="13"/>
      <c r="BR4" s="10">
        <f>BR15-BR7</f>
        <v>0</v>
      </c>
      <c r="BS4" s="13"/>
    </row>
    <row r="5" spans="3:71" s="14" customFormat="1" ht="4.5" customHeight="1" outlineLevel="1" x14ac:dyDescent="0.25">
      <c r="G5" s="21"/>
      <c r="N5" s="19"/>
      <c r="R5" s="4"/>
      <c r="S5" s="20"/>
      <c r="U5" s="22"/>
      <c r="W5" s="22"/>
      <c r="Y5" s="22"/>
      <c r="AA5" s="22"/>
      <c r="AC5" s="22"/>
      <c r="AE5" s="18"/>
      <c r="AG5" s="22"/>
      <c r="AI5" s="22"/>
      <c r="AK5" s="22"/>
      <c r="AM5" s="22"/>
      <c r="AO5" s="22"/>
      <c r="AQ5" s="22"/>
      <c r="AS5" s="22"/>
      <c r="AT5" s="125"/>
      <c r="AU5" s="22"/>
      <c r="AW5" s="22"/>
      <c r="AY5" s="22"/>
      <c r="BA5" s="22"/>
      <c r="BC5" s="22"/>
      <c r="BE5" s="22"/>
      <c r="BG5" s="22"/>
      <c r="BI5" s="22"/>
      <c r="BK5" s="22"/>
      <c r="BM5" s="22"/>
      <c r="BO5" s="22"/>
      <c r="BQ5" s="22"/>
      <c r="BS5" s="22"/>
    </row>
    <row r="6" spans="3:71" outlineLevel="1" x14ac:dyDescent="0.25">
      <c r="C6" s="40" t="s">
        <v>4</v>
      </c>
      <c r="D6" s="40"/>
      <c r="E6" s="40"/>
      <c r="F6" s="40"/>
      <c r="G6" s="55"/>
      <c r="H6" s="40"/>
      <c r="I6" s="40"/>
      <c r="J6" s="40"/>
      <c r="K6" s="40"/>
      <c r="L6" s="40"/>
      <c r="M6" s="40"/>
      <c r="N6" s="40"/>
      <c r="O6" s="40"/>
      <c r="P6" s="40"/>
      <c r="Q6" s="40"/>
      <c r="S6" s="41"/>
      <c r="T6" s="42"/>
      <c r="U6" s="43"/>
      <c r="V6" s="42"/>
      <c r="W6" s="43"/>
      <c r="X6" s="44">
        <f>X14-X69</f>
        <v>-78448.264658333326</v>
      </c>
      <c r="Y6" s="43"/>
      <c r="Z6" s="44">
        <f>Z14-Z69</f>
        <v>-5954.0302666666612</v>
      </c>
      <c r="AA6" s="43"/>
      <c r="AB6" s="44">
        <f>AB14-AB69</f>
        <v>-32665.301424999983</v>
      </c>
      <c r="AC6" s="43"/>
      <c r="AD6" s="44">
        <f>AD14-AD69</f>
        <v>-120635.20288333332</v>
      </c>
      <c r="AE6" s="43"/>
      <c r="AF6" s="44">
        <f>AF14-AF69</f>
        <v>9863.5146916666854</v>
      </c>
      <c r="AG6" s="43"/>
      <c r="AH6" s="44">
        <f>AH69-AH7</f>
        <v>-42836.4329</v>
      </c>
      <c r="AI6" s="43"/>
      <c r="AJ6" s="44">
        <f>AJ69-AJ7</f>
        <v>0</v>
      </c>
      <c r="AK6" s="43"/>
      <c r="AL6" s="44">
        <f>AL69-AL7</f>
        <v>103513.62909166666</v>
      </c>
      <c r="AM6" s="43"/>
      <c r="AN6" s="44">
        <f>AN69-AN7</f>
        <v>115160.93768333332</v>
      </c>
      <c r="AO6" s="43"/>
      <c r="AP6" s="44">
        <f>AP69-AP7</f>
        <v>129714.14300833333</v>
      </c>
      <c r="AQ6" s="43"/>
      <c r="AR6" s="44">
        <f>AR69-AR7</f>
        <v>140522.73713333331</v>
      </c>
      <c r="AS6" s="43"/>
      <c r="AT6" s="123">
        <f>AT69-AT7</f>
        <v>151148.27061917668</v>
      </c>
      <c r="AU6" s="43"/>
      <c r="AV6" s="44">
        <f>AV69-AV7</f>
        <v>160812.74989548189</v>
      </c>
      <c r="AW6" s="43"/>
      <c r="AX6" s="44">
        <f>AX69-AX7</f>
        <v>165865.58526876013</v>
      </c>
      <c r="AY6" s="43"/>
      <c r="AZ6" s="44">
        <f>AZ69-AZ7</f>
        <v>193034.89182461746</v>
      </c>
      <c r="BA6" s="43"/>
      <c r="BB6" s="44">
        <f>BB69-BB7</f>
        <v>213371.44288491158</v>
      </c>
      <c r="BC6" s="43"/>
      <c r="BD6" s="44">
        <f>BD69-BD7</f>
        <v>227744.89429520571</v>
      </c>
      <c r="BE6" s="43"/>
      <c r="BF6" s="44">
        <f>BF69-BF7</f>
        <v>240011.99251726453</v>
      </c>
      <c r="BG6" s="43"/>
      <c r="BH6" s="44">
        <f>BH69-BH7</f>
        <v>254036.52078393119</v>
      </c>
      <c r="BI6" s="43"/>
      <c r="BJ6" s="44">
        <f>BJ69-BJ7</f>
        <v>247216.83305059787</v>
      </c>
      <c r="BK6" s="43"/>
      <c r="BL6" s="44">
        <f>BL69-BL7</f>
        <v>288369.43338393117</v>
      </c>
      <c r="BM6" s="43"/>
      <c r="BN6" s="44">
        <f>BN69-BN7</f>
        <v>286792.3637172645</v>
      </c>
      <c r="BO6" s="43"/>
      <c r="BP6" s="44">
        <f>BP69-BP7</f>
        <v>257588.91405059781</v>
      </c>
      <c r="BQ6" s="43"/>
      <c r="BR6" s="44">
        <f>BR69-BR7</f>
        <v>221143.80628393113</v>
      </c>
      <c r="BS6" s="43"/>
    </row>
    <row r="7" spans="3:71" s="14" customFormat="1" outlineLevel="1" x14ac:dyDescent="0.25">
      <c r="C7" s="10" t="s">
        <v>5</v>
      </c>
      <c r="D7" s="10"/>
      <c r="E7" s="10"/>
      <c r="F7" s="10"/>
      <c r="G7" s="56"/>
      <c r="H7" s="10"/>
      <c r="I7" s="10"/>
      <c r="J7" s="10"/>
      <c r="K7" s="10"/>
      <c r="L7" s="10"/>
      <c r="M7" s="10"/>
      <c r="N7" s="11"/>
      <c r="O7" s="10"/>
      <c r="P7" s="10"/>
      <c r="Q7" s="10"/>
      <c r="R7" s="4"/>
      <c r="S7" s="12"/>
      <c r="T7" s="10">
        <f>T8</f>
        <v>0</v>
      </c>
      <c r="U7" s="13"/>
      <c r="V7" s="10">
        <f>V8</f>
        <v>0</v>
      </c>
      <c r="W7" s="13"/>
      <c r="X7" s="10">
        <f>X8</f>
        <v>0</v>
      </c>
      <c r="Y7" s="13"/>
      <c r="Z7" s="10">
        <f>Z8</f>
        <v>0</v>
      </c>
      <c r="AA7" s="13"/>
      <c r="AB7" s="10">
        <f>AB8</f>
        <v>0</v>
      </c>
      <c r="AC7" s="13"/>
      <c r="AD7" s="10">
        <f>AD8</f>
        <v>0</v>
      </c>
      <c r="AE7" s="49" t="s">
        <v>3</v>
      </c>
      <c r="AF7" s="10">
        <f>AF8</f>
        <v>0</v>
      </c>
      <c r="AG7" s="13"/>
      <c r="AH7" s="10">
        <f>AH8</f>
        <v>82349.61</v>
      </c>
      <c r="AI7" s="13"/>
      <c r="AJ7" s="10">
        <f>AJ8</f>
        <v>106400</v>
      </c>
      <c r="AK7" s="13"/>
      <c r="AL7" s="10">
        <f>AL8</f>
        <v>0</v>
      </c>
      <c r="AM7" s="13"/>
      <c r="AN7" s="10">
        <f>AN8</f>
        <v>0</v>
      </c>
      <c r="AO7" s="13"/>
      <c r="AP7" s="10">
        <f>AP8</f>
        <v>0</v>
      </c>
      <c r="AQ7" s="13"/>
      <c r="AR7" s="10">
        <f>AR8</f>
        <v>0</v>
      </c>
      <c r="AS7" s="13"/>
      <c r="AT7" s="124">
        <f>AT8</f>
        <v>0</v>
      </c>
      <c r="AU7" s="13"/>
      <c r="AV7" s="10">
        <f>AV8</f>
        <v>0</v>
      </c>
      <c r="AW7" s="13"/>
      <c r="AX7" s="10">
        <f>AX8</f>
        <v>0</v>
      </c>
      <c r="AY7" s="13"/>
      <c r="AZ7" s="10">
        <f>AZ8</f>
        <v>0</v>
      </c>
      <c r="BA7" s="13"/>
      <c r="BB7" s="10">
        <f>BB8</f>
        <v>0</v>
      </c>
      <c r="BC7" s="13"/>
      <c r="BD7" s="10">
        <f>BD8</f>
        <v>0</v>
      </c>
      <c r="BE7" s="13"/>
      <c r="BF7" s="10">
        <f>BF8</f>
        <v>0</v>
      </c>
      <c r="BG7" s="13"/>
      <c r="BH7" s="10">
        <f>BH8</f>
        <v>0</v>
      </c>
      <c r="BI7" s="13"/>
      <c r="BJ7" s="10">
        <f>BJ8</f>
        <v>0</v>
      </c>
      <c r="BK7" s="13"/>
      <c r="BL7" s="10">
        <f>BL8</f>
        <v>0</v>
      </c>
      <c r="BM7" s="13"/>
      <c r="BN7" s="10">
        <f>BN8</f>
        <v>0</v>
      </c>
      <c r="BO7" s="13"/>
      <c r="BP7" s="10">
        <f>BP8</f>
        <v>0</v>
      </c>
      <c r="BQ7" s="13"/>
      <c r="BR7" s="10">
        <f>BR8</f>
        <v>0</v>
      </c>
      <c r="BS7" s="13"/>
    </row>
    <row r="8" spans="3:71" s="14" customFormat="1" outlineLevel="1" x14ac:dyDescent="0.25">
      <c r="C8" s="14" t="s">
        <v>6</v>
      </c>
      <c r="G8" s="21"/>
      <c r="N8" s="19"/>
      <c r="S8" s="20"/>
      <c r="U8" s="22"/>
      <c r="W8" s="22"/>
      <c r="Y8" s="22"/>
      <c r="Z8" s="14">
        <f>SUM(Z10:Z12)</f>
        <v>0</v>
      </c>
      <c r="AA8" s="22"/>
      <c r="AB8" s="14">
        <f>SUM(AB9:AB12)</f>
        <v>0</v>
      </c>
      <c r="AC8" s="22"/>
      <c r="AD8" s="14">
        <f>SUM(AD9:AD12)</f>
        <v>0</v>
      </c>
      <c r="AE8" s="18"/>
      <c r="AF8" s="14">
        <f>SUM(AF9:AF12)</f>
        <v>0</v>
      </c>
      <c r="AG8" s="22"/>
      <c r="AH8" s="14">
        <f>SUM(AH9:AH13)</f>
        <v>82349.61</v>
      </c>
      <c r="AI8" s="22"/>
      <c r="AJ8" s="14">
        <f>SUM(AJ9:AJ13)</f>
        <v>106400</v>
      </c>
      <c r="AK8" s="22"/>
      <c r="AL8" s="14">
        <f>SUM(AL9:AL12)</f>
        <v>0</v>
      </c>
      <c r="AM8" s="22"/>
      <c r="AN8" s="14">
        <f>SUM(AN9:AN12)</f>
        <v>0</v>
      </c>
      <c r="AO8" s="22"/>
      <c r="AP8" s="14">
        <f>SUM(AP9:AP12)</f>
        <v>0</v>
      </c>
      <c r="AQ8" s="22"/>
      <c r="AR8" s="14">
        <f>SUM(AR9:AR12)</f>
        <v>0</v>
      </c>
      <c r="AS8" s="22"/>
      <c r="AT8" s="125">
        <f>SUM(AT9:AT12)</f>
        <v>0</v>
      </c>
      <c r="AU8" s="22"/>
      <c r="AV8" s="14">
        <f>SUM(AV9:AV12)</f>
        <v>0</v>
      </c>
      <c r="AW8" s="22"/>
      <c r="AX8" s="14">
        <f>SUM(AX9:AX12)</f>
        <v>0</v>
      </c>
      <c r="AY8" s="22"/>
      <c r="AZ8" s="14">
        <f>SUM(AZ9:AZ12)</f>
        <v>0</v>
      </c>
      <c r="BA8" s="22"/>
      <c r="BB8" s="14">
        <f>SUM(BB9:BB13)</f>
        <v>0</v>
      </c>
      <c r="BC8" s="22"/>
      <c r="BD8" s="14">
        <f>SUM(BD9:BD12)</f>
        <v>0</v>
      </c>
      <c r="BE8" s="22"/>
      <c r="BF8" s="14">
        <f>SUM(BF9:BF12)</f>
        <v>0</v>
      </c>
      <c r="BG8" s="22"/>
      <c r="BH8" s="14">
        <f>SUM(BH9:BH12)</f>
        <v>0</v>
      </c>
      <c r="BI8" s="22"/>
      <c r="BJ8" s="14">
        <f>SUM(BJ9:BJ12)</f>
        <v>0</v>
      </c>
      <c r="BK8" s="22"/>
      <c r="BL8" s="14">
        <f>SUM(BL9:BL12)</f>
        <v>0</v>
      </c>
      <c r="BM8" s="22"/>
      <c r="BN8" s="14">
        <f>SUM(BN9:BN12)</f>
        <v>0</v>
      </c>
      <c r="BO8" s="22"/>
      <c r="BP8" s="14">
        <f>SUM(BP9:BP12)</f>
        <v>0</v>
      </c>
      <c r="BQ8" s="22"/>
      <c r="BR8" s="14">
        <f>SUM(BR9:BR12)</f>
        <v>0</v>
      </c>
      <c r="BS8" s="22"/>
    </row>
    <row r="9" spans="3:71" s="14" customFormat="1" outlineLevel="2" x14ac:dyDescent="0.25">
      <c r="D9" s="4" t="s">
        <v>7</v>
      </c>
      <c r="G9" s="21"/>
      <c r="N9" s="19"/>
      <c r="S9" s="20"/>
      <c r="U9" s="22"/>
      <c r="W9" s="22"/>
      <c r="X9" s="34"/>
      <c r="Y9" s="22"/>
      <c r="Z9" s="34">
        <v>0</v>
      </c>
      <c r="AA9" s="22"/>
      <c r="AB9" s="34">
        <v>0</v>
      </c>
      <c r="AC9" s="22"/>
      <c r="AD9" s="34">
        <v>0</v>
      </c>
      <c r="AE9" s="18"/>
      <c r="AF9" s="34">
        <v>0</v>
      </c>
      <c r="AG9" s="22"/>
      <c r="AH9" s="34">
        <v>0</v>
      </c>
      <c r="AI9" s="22"/>
      <c r="AJ9" s="34">
        <v>0</v>
      </c>
      <c r="AK9" s="22"/>
      <c r="AL9" s="34">
        <v>0</v>
      </c>
      <c r="AM9" s="22"/>
      <c r="AN9" s="34">
        <v>0</v>
      </c>
      <c r="AO9" s="22"/>
      <c r="AP9" s="34">
        <v>0</v>
      </c>
      <c r="AQ9" s="22"/>
      <c r="AR9" s="34">
        <v>0</v>
      </c>
      <c r="AS9" s="22"/>
      <c r="AT9" s="126">
        <v>0</v>
      </c>
      <c r="AU9" s="22"/>
      <c r="AV9" s="34">
        <v>0</v>
      </c>
      <c r="AW9" s="22"/>
      <c r="AX9" s="34">
        <v>0</v>
      </c>
      <c r="AY9" s="22"/>
      <c r="AZ9" s="34">
        <v>0</v>
      </c>
      <c r="BA9" s="22"/>
      <c r="BB9" s="34">
        <v>0</v>
      </c>
      <c r="BC9" s="22"/>
      <c r="BD9" s="34">
        <v>0</v>
      </c>
      <c r="BE9" s="22"/>
      <c r="BF9" s="34">
        <v>0</v>
      </c>
      <c r="BG9" s="22"/>
      <c r="BH9" s="34">
        <v>0</v>
      </c>
      <c r="BI9" s="22"/>
      <c r="BJ9" s="34">
        <v>0</v>
      </c>
      <c r="BK9" s="22"/>
      <c r="BL9" s="34">
        <v>0</v>
      </c>
      <c r="BM9" s="22"/>
      <c r="BN9" s="34">
        <v>0</v>
      </c>
      <c r="BO9" s="22"/>
      <c r="BP9" s="34">
        <v>0</v>
      </c>
      <c r="BQ9" s="22"/>
      <c r="BR9" s="34">
        <v>0</v>
      </c>
      <c r="BS9" s="22"/>
    </row>
    <row r="10" spans="3:71" s="14" customFormat="1" outlineLevel="2" x14ac:dyDescent="0.25">
      <c r="D10" s="4" t="s">
        <v>8</v>
      </c>
      <c r="G10" s="21"/>
      <c r="N10" s="19"/>
      <c r="S10" s="20"/>
      <c r="U10" s="22"/>
      <c r="W10" s="22"/>
      <c r="X10" s="34"/>
      <c r="Y10" s="22"/>
      <c r="Z10" s="34">
        <v>0</v>
      </c>
      <c r="AA10" s="22"/>
      <c r="AB10" s="34">
        <v>0</v>
      </c>
      <c r="AC10" s="22"/>
      <c r="AD10" s="34">
        <v>0</v>
      </c>
      <c r="AE10" s="18"/>
      <c r="AF10" s="34">
        <v>0</v>
      </c>
      <c r="AG10" s="22"/>
      <c r="AH10" s="34">
        <v>0</v>
      </c>
      <c r="AI10" s="22"/>
      <c r="AJ10" s="34">
        <v>0</v>
      </c>
      <c r="AK10" s="22"/>
      <c r="AL10" s="34">
        <v>0</v>
      </c>
      <c r="AM10" s="22"/>
      <c r="AN10" s="34">
        <v>0</v>
      </c>
      <c r="AO10" s="22"/>
      <c r="AP10" s="34">
        <v>0</v>
      </c>
      <c r="AQ10" s="22"/>
      <c r="AR10" s="34">
        <v>0</v>
      </c>
      <c r="AS10" s="22"/>
      <c r="AT10" s="126">
        <v>0</v>
      </c>
      <c r="AU10" s="22"/>
      <c r="AV10" s="34">
        <v>0</v>
      </c>
      <c r="AW10" s="22"/>
      <c r="AX10" s="34">
        <v>0</v>
      </c>
      <c r="AY10" s="22"/>
      <c r="AZ10" s="34">
        <v>0</v>
      </c>
      <c r="BA10" s="22"/>
      <c r="BB10" s="34">
        <v>0</v>
      </c>
      <c r="BC10" s="22"/>
      <c r="BD10" s="34">
        <v>0</v>
      </c>
      <c r="BE10" s="22"/>
      <c r="BF10" s="34">
        <v>0</v>
      </c>
      <c r="BG10" s="22"/>
      <c r="BH10" s="34">
        <v>0</v>
      </c>
      <c r="BI10" s="22"/>
      <c r="BJ10" s="34">
        <v>0</v>
      </c>
      <c r="BK10" s="22"/>
      <c r="BL10" s="34">
        <v>0</v>
      </c>
      <c r="BM10" s="22"/>
      <c r="BN10" s="34">
        <v>0</v>
      </c>
      <c r="BO10" s="22"/>
      <c r="BP10" s="34">
        <v>0</v>
      </c>
      <c r="BQ10" s="22"/>
      <c r="BR10" s="34">
        <v>0</v>
      </c>
      <c r="BS10" s="22"/>
    </row>
    <row r="11" spans="3:71" outlineLevel="2" x14ac:dyDescent="0.25">
      <c r="D11" s="4" t="s">
        <v>9</v>
      </c>
      <c r="X11" s="34"/>
      <c r="Z11" s="34">
        <v>0</v>
      </c>
      <c r="AB11" s="34">
        <v>0</v>
      </c>
      <c r="AD11" s="34">
        <v>0</v>
      </c>
      <c r="AF11" s="34">
        <v>0</v>
      </c>
      <c r="AH11" s="34">
        <f>92529*0.19</f>
        <v>17580.509999999998</v>
      </c>
      <c r="AJ11" s="34">
        <v>6270</v>
      </c>
      <c r="AL11" s="34">
        <v>0</v>
      </c>
      <c r="AN11" s="34">
        <v>0</v>
      </c>
      <c r="AP11" s="34">
        <v>0</v>
      </c>
      <c r="AR11" s="34">
        <v>0</v>
      </c>
      <c r="AT11" s="126">
        <v>0</v>
      </c>
      <c r="AV11" s="34">
        <v>0</v>
      </c>
      <c r="AX11" s="34">
        <v>0</v>
      </c>
      <c r="AZ11" s="34">
        <v>0</v>
      </c>
      <c r="BB11" s="34">
        <v>0</v>
      </c>
      <c r="BC11" s="18"/>
      <c r="BD11" s="34">
        <v>0</v>
      </c>
      <c r="BF11" s="34">
        <v>0</v>
      </c>
      <c r="BH11" s="34">
        <v>0</v>
      </c>
      <c r="BJ11" s="34">
        <v>0</v>
      </c>
      <c r="BL11" s="34">
        <v>0</v>
      </c>
      <c r="BN11" s="34">
        <v>0</v>
      </c>
      <c r="BP11" s="34">
        <v>0</v>
      </c>
      <c r="BR11" s="34">
        <v>0</v>
      </c>
    </row>
    <row r="12" spans="3:71" outlineLevel="2" x14ac:dyDescent="0.25">
      <c r="D12" s="4" t="s">
        <v>10</v>
      </c>
      <c r="X12" s="34"/>
      <c r="Z12" s="34">
        <v>0</v>
      </c>
      <c r="AB12" s="34">
        <v>0</v>
      </c>
      <c r="AD12" s="34">
        <v>0</v>
      </c>
      <c r="AF12" s="34">
        <v>0</v>
      </c>
      <c r="AH12" s="34">
        <f>197890*0.19</f>
        <v>37599.1</v>
      </c>
      <c r="AJ12" s="34">
        <v>72960</v>
      </c>
      <c r="AL12" s="34">
        <v>0</v>
      </c>
      <c r="AN12" s="34">
        <v>0</v>
      </c>
      <c r="AP12" s="34">
        <v>0</v>
      </c>
      <c r="AR12" s="34">
        <v>0</v>
      </c>
      <c r="AT12" s="126">
        <v>0</v>
      </c>
      <c r="AV12" s="34">
        <v>0</v>
      </c>
      <c r="AX12" s="34">
        <v>0</v>
      </c>
      <c r="AZ12" s="34">
        <v>0</v>
      </c>
      <c r="BB12" s="34">
        <v>0</v>
      </c>
      <c r="BC12" s="18"/>
      <c r="BD12" s="34">
        <v>0</v>
      </c>
      <c r="BF12" s="34">
        <v>0</v>
      </c>
      <c r="BH12" s="34">
        <v>0</v>
      </c>
      <c r="BJ12" s="34">
        <v>0</v>
      </c>
      <c r="BL12" s="34">
        <v>0</v>
      </c>
      <c r="BN12" s="34">
        <v>0</v>
      </c>
      <c r="BP12" s="34">
        <v>0</v>
      </c>
      <c r="BR12" s="34">
        <v>0</v>
      </c>
    </row>
    <row r="13" spans="3:71" outlineLevel="2" x14ac:dyDescent="0.25">
      <c r="D13" s="4" t="s">
        <v>11</v>
      </c>
      <c r="X13" s="34"/>
      <c r="Z13" s="34">
        <v>0</v>
      </c>
      <c r="AB13" s="34">
        <v>0</v>
      </c>
      <c r="AD13" s="34">
        <v>0</v>
      </c>
      <c r="AF13" s="34">
        <v>0</v>
      </c>
      <c r="AH13" s="34">
        <f>143000*0.19</f>
        <v>27170</v>
      </c>
      <c r="AJ13" s="34">
        <f>143000*0.19</f>
        <v>27170</v>
      </c>
      <c r="AL13" s="34">
        <v>0</v>
      </c>
      <c r="AN13" s="34">
        <v>0</v>
      </c>
      <c r="AP13" s="34">
        <v>0</v>
      </c>
      <c r="AR13" s="34">
        <v>0</v>
      </c>
      <c r="AT13" s="126">
        <v>0</v>
      </c>
      <c r="AV13" s="34">
        <v>0</v>
      </c>
      <c r="AX13" s="34">
        <v>0</v>
      </c>
      <c r="AZ13" s="34">
        <v>0</v>
      </c>
      <c r="BB13" s="34">
        <v>0</v>
      </c>
      <c r="BC13" s="18"/>
      <c r="BD13" s="34">
        <v>0</v>
      </c>
      <c r="BF13" s="34">
        <v>0</v>
      </c>
      <c r="BH13" s="34">
        <v>0</v>
      </c>
      <c r="BJ13" s="34">
        <v>0</v>
      </c>
      <c r="BL13" s="34">
        <v>0</v>
      </c>
      <c r="BN13" s="34">
        <v>0</v>
      </c>
      <c r="BP13" s="34">
        <v>0</v>
      </c>
      <c r="BR13" s="34">
        <v>0</v>
      </c>
    </row>
    <row r="14" spans="3:71" outlineLevel="1" x14ac:dyDescent="0.25">
      <c r="C14" s="40" t="s">
        <v>12</v>
      </c>
      <c r="D14" s="40"/>
      <c r="E14" s="40"/>
      <c r="F14" s="40"/>
      <c r="G14" s="55"/>
      <c r="H14" s="40"/>
      <c r="I14" s="40"/>
      <c r="J14" s="40"/>
      <c r="K14" s="40"/>
      <c r="L14" s="40"/>
      <c r="M14" s="40"/>
      <c r="N14" s="40"/>
      <c r="O14" s="40"/>
      <c r="P14" s="40"/>
      <c r="Q14" s="40"/>
      <c r="S14" s="41"/>
      <c r="T14" s="42"/>
      <c r="U14" s="43"/>
      <c r="V14" s="42"/>
      <c r="W14" s="43"/>
      <c r="X14" s="44">
        <f>X15-X70</f>
        <v>-41569.967499999999</v>
      </c>
      <c r="Y14" s="43"/>
      <c r="Z14" s="44">
        <f>Z15-Z70</f>
        <v>26555.559999999998</v>
      </c>
      <c r="AA14" s="43"/>
      <c r="AB14" s="44">
        <f>AB15-AB70</f>
        <v>9017.9925000000076</v>
      </c>
      <c r="AC14" s="43"/>
      <c r="AD14" s="44">
        <f>AD15-AD70</f>
        <v>-81884.111666666649</v>
      </c>
      <c r="AE14" s="43"/>
      <c r="AF14" s="44">
        <f>AF15-AF70</f>
        <v>42745.187500000015</v>
      </c>
      <c r="AG14" s="43"/>
      <c r="AH14" s="44">
        <f>AH15-AH70</f>
        <v>-41584.783333333326</v>
      </c>
      <c r="AI14" s="43"/>
      <c r="AJ14" s="44">
        <f>AJ15-AJ70</f>
        <v>0</v>
      </c>
      <c r="AK14" s="43"/>
      <c r="AL14" s="44">
        <f>AL15-AL70</f>
        <v>-372884.44083333336</v>
      </c>
      <c r="AM14" s="43"/>
      <c r="AN14" s="44">
        <f>AN15-AN70</f>
        <v>-352867.73166666669</v>
      </c>
      <c r="AO14" s="43"/>
      <c r="AP14" s="44">
        <f>AP15-AP70</f>
        <v>0</v>
      </c>
      <c r="AQ14" s="43"/>
      <c r="AR14" s="44">
        <f>AR15-AR70</f>
        <v>-488364.00416666665</v>
      </c>
      <c r="AS14" s="43"/>
      <c r="AT14" s="123">
        <f>AT15-AT70</f>
        <v>13739.135381526081</v>
      </c>
      <c r="AU14" s="43"/>
      <c r="AV14" s="44">
        <f>AV15-AV70</f>
        <v>-612673.88397590362</v>
      </c>
      <c r="AW14" s="43"/>
      <c r="AX14" s="44">
        <f>AX15-AX70</f>
        <v>-720905.41540575528</v>
      </c>
      <c r="AY14" s="43"/>
      <c r="AZ14" s="44">
        <f>AZ15-AZ70</f>
        <v>-724594.5001748316</v>
      </c>
      <c r="BA14" s="43"/>
      <c r="BB14" s="44">
        <f>BB15-BB70</f>
        <v>-863991.16653307446</v>
      </c>
      <c r="BC14" s="43"/>
      <c r="BD14" s="44">
        <f>BD15-BD70</f>
        <v>-1020200.7107977803</v>
      </c>
      <c r="BE14" s="43"/>
      <c r="BF14" s="44">
        <f>BF15-BF70</f>
        <v>-1196712.9483958194</v>
      </c>
      <c r="BG14" s="43"/>
      <c r="BH14" s="44">
        <f>BH15-BH70</f>
        <v>-1368004.8007487606</v>
      </c>
      <c r="BI14" s="43"/>
      <c r="BJ14" s="44">
        <f>BJ15-BJ70</f>
        <v>-1516752.3707487606</v>
      </c>
      <c r="BK14" s="43"/>
      <c r="BL14" s="44">
        <f>BL15-BL70</f>
        <v>-1491137.6674154273</v>
      </c>
      <c r="BM14" s="43"/>
      <c r="BN14" s="44">
        <f>BN15-BN70</f>
        <v>-1763752.9640820939</v>
      </c>
      <c r="BO14" s="43"/>
      <c r="BP14" s="44">
        <f>BP15-BP70</f>
        <v>-1824220.2607487605</v>
      </c>
      <c r="BQ14" s="43"/>
      <c r="BR14" s="44">
        <f>BR15-BR70</f>
        <v>-1694696.5674154272</v>
      </c>
      <c r="BS14" s="43"/>
    </row>
    <row r="15" spans="3:71" s="14" customFormat="1" outlineLevel="1" x14ac:dyDescent="0.25">
      <c r="C15" s="10" t="s">
        <v>13</v>
      </c>
      <c r="D15" s="10"/>
      <c r="E15" s="10"/>
      <c r="F15" s="10"/>
      <c r="G15" s="56"/>
      <c r="H15" s="10"/>
      <c r="I15" s="10"/>
      <c r="J15" s="10"/>
      <c r="K15" s="10"/>
      <c r="L15" s="10"/>
      <c r="M15" s="10"/>
      <c r="N15" s="11"/>
      <c r="O15" s="10"/>
      <c r="P15" s="10"/>
      <c r="Q15" s="10"/>
      <c r="R15" s="4"/>
      <c r="S15" s="12"/>
      <c r="T15" s="10">
        <f>T58</f>
        <v>0</v>
      </c>
      <c r="U15" s="13"/>
      <c r="V15" s="10">
        <f>T15+V58</f>
        <v>0</v>
      </c>
      <c r="W15" s="13"/>
      <c r="X15" s="10">
        <f>X58+X45-X27-X16</f>
        <v>0</v>
      </c>
      <c r="Y15" s="13"/>
      <c r="Z15" s="10">
        <f>Z58+Z45-Z27-Z16</f>
        <v>115779</v>
      </c>
      <c r="AA15" s="13"/>
      <c r="AB15" s="10">
        <f>AB58+AB45-AB27-AB21-AB16</f>
        <v>68290.75</v>
      </c>
      <c r="AC15" s="13"/>
      <c r="AD15" s="10">
        <f>AD58+AD45-AD27-AD21-AD16</f>
        <v>0</v>
      </c>
      <c r="AE15" s="49" t="s">
        <v>3</v>
      </c>
      <c r="AF15" s="10">
        <f>AF58+AF45-AF27-AF21-AF16</f>
        <v>154374.29</v>
      </c>
      <c r="AG15" s="13"/>
      <c r="AH15" s="10">
        <f>AH58+AH45-AH27-AH21-AH16-AH8</f>
        <v>38860.39</v>
      </c>
      <c r="AI15" s="13"/>
      <c r="AJ15" s="10">
        <f>AJ58+AJ45-AJ27-AJ21-AJ16</f>
        <v>215328.2</v>
      </c>
      <c r="AK15" s="13"/>
      <c r="AL15" s="10">
        <f>AL58+AL45-AL27-AL16</f>
        <v>0</v>
      </c>
      <c r="AM15" s="13"/>
      <c r="AN15" s="10">
        <f>AN58+AN45-AN27-AN16</f>
        <v>0</v>
      </c>
      <c r="AO15" s="13"/>
      <c r="AP15" s="10">
        <f>AP58+AP45-AP27-AP21</f>
        <v>402178</v>
      </c>
      <c r="AQ15" s="13"/>
      <c r="AR15" s="10">
        <f>AR58+AR45-AR27-AR16</f>
        <v>0</v>
      </c>
      <c r="AS15" s="13"/>
      <c r="AT15" s="124">
        <f>AT58+AT45+AT41-AT27-AT21-AT16</f>
        <v>562391</v>
      </c>
      <c r="AU15" s="13"/>
      <c r="AV15" s="10">
        <f>AV58+AV45-AV27-AV16</f>
        <v>0</v>
      </c>
      <c r="AW15" s="13"/>
      <c r="AX15" s="10">
        <f>AX58+AX45-AX27-AX16</f>
        <v>0</v>
      </c>
      <c r="AY15" s="13"/>
      <c r="AZ15" s="10">
        <f>AZ58+AZ45-AZ27-AZ16</f>
        <v>0</v>
      </c>
      <c r="BA15" s="13"/>
      <c r="BB15" s="10">
        <f>BB58+BB45-BB27-BB16</f>
        <v>0</v>
      </c>
      <c r="BC15" s="13"/>
      <c r="BD15" s="10">
        <f>BD58+BD45-BD27-BD16</f>
        <v>0</v>
      </c>
      <c r="BE15" s="13"/>
      <c r="BF15" s="10">
        <f>BF58+BF45-BF27-BF16</f>
        <v>0</v>
      </c>
      <c r="BG15" s="13"/>
      <c r="BH15" s="10">
        <f>BH58+BH45-BH27-BH16</f>
        <v>0</v>
      </c>
      <c r="BI15" s="13"/>
      <c r="BJ15" s="10">
        <f>BJ58+BJ45-BJ27-BJ16</f>
        <v>0</v>
      </c>
      <c r="BK15" s="13"/>
      <c r="BL15" s="10">
        <f>BL58+BL45-BL27-BL16</f>
        <v>0</v>
      </c>
      <c r="BM15" s="13"/>
      <c r="BN15" s="10">
        <f>BN58+BN45-BN27-BN16</f>
        <v>0</v>
      </c>
      <c r="BO15" s="13"/>
      <c r="BP15" s="10">
        <f>BP58+BP45-BP27-BP16</f>
        <v>0</v>
      </c>
      <c r="BQ15" s="13"/>
      <c r="BR15" s="10">
        <f>BR58+BR45-BR27-BR16</f>
        <v>0</v>
      </c>
      <c r="BS15" s="13"/>
    </row>
    <row r="16" spans="3:71" s="14" customFormat="1" outlineLevel="1" x14ac:dyDescent="0.25">
      <c r="C16" s="14" t="s">
        <v>14</v>
      </c>
      <c r="G16" s="21"/>
      <c r="N16" s="19"/>
      <c r="S16" s="20"/>
      <c r="U16" s="22"/>
      <c r="W16" s="22"/>
      <c r="Y16" s="22"/>
      <c r="Z16" s="14">
        <f>SUM(Z18:Z20)</f>
        <v>17792</v>
      </c>
      <c r="AA16" s="22"/>
      <c r="AB16" s="14">
        <f>SUM(AB17:AB20)</f>
        <v>39263</v>
      </c>
      <c r="AC16" s="22"/>
      <c r="AD16" s="14">
        <f>SUM(AD17:AD20)</f>
        <v>0</v>
      </c>
      <c r="AE16" s="18"/>
      <c r="AF16" s="14">
        <f>SUM(AF17:AF20)</f>
        <v>8901</v>
      </c>
      <c r="AG16" s="22"/>
      <c r="AH16" s="14">
        <f>SUM(AH17:AH20)</f>
        <v>25742</v>
      </c>
      <c r="AI16" s="22"/>
      <c r="AJ16" s="14">
        <f>SUM(AJ17:AJ20)</f>
        <v>3327</v>
      </c>
      <c r="AK16" s="22"/>
      <c r="AL16" s="14">
        <f>SUM(AL17:AL20)</f>
        <v>0</v>
      </c>
      <c r="AM16" s="22"/>
      <c r="AN16" s="14">
        <f>SUM(AN17:AN20)</f>
        <v>0</v>
      </c>
      <c r="AO16" s="22"/>
      <c r="AP16" s="14">
        <f>SUM(AP17:AP20)</f>
        <v>-315</v>
      </c>
      <c r="AQ16" s="22"/>
      <c r="AR16" s="14">
        <f>SUM(AR17:AR20)</f>
        <v>0</v>
      </c>
      <c r="AS16" s="22"/>
      <c r="AT16" s="125">
        <f>SUM(AT17:AT20)</f>
        <v>82098</v>
      </c>
      <c r="AU16" s="22"/>
      <c r="AV16" s="14">
        <f>SUM(AV17:AV20)</f>
        <v>0</v>
      </c>
      <c r="AW16" s="22"/>
      <c r="AX16" s="14">
        <f>SUM(AX17:AX20)</f>
        <v>0</v>
      </c>
      <c r="AY16" s="22"/>
      <c r="AZ16" s="14">
        <f>SUM(AZ17:AZ20)</f>
        <v>0</v>
      </c>
      <c r="BA16" s="22"/>
      <c r="BB16" s="14">
        <f>SUM(BB17:BB20)</f>
        <v>0</v>
      </c>
      <c r="BC16" s="22"/>
      <c r="BD16" s="14">
        <f>SUM(BD17:BD20)</f>
        <v>0</v>
      </c>
      <c r="BE16" s="22"/>
      <c r="BF16" s="14">
        <f>SUM(BF17:BF20)</f>
        <v>0</v>
      </c>
      <c r="BG16" s="22"/>
      <c r="BH16" s="14">
        <f>SUM(BH17:BH20)</f>
        <v>0</v>
      </c>
      <c r="BI16" s="22"/>
      <c r="BJ16" s="14">
        <f>SUM(BJ17:BJ20)</f>
        <v>0</v>
      </c>
      <c r="BK16" s="22"/>
      <c r="BL16" s="14">
        <f>SUM(BL17:BL20)</f>
        <v>0</v>
      </c>
      <c r="BM16" s="22"/>
      <c r="BN16" s="14">
        <f>SUM(BN17:BN20)</f>
        <v>0</v>
      </c>
      <c r="BO16" s="22"/>
      <c r="BP16" s="14">
        <f>SUM(BP17:BP20)</f>
        <v>0</v>
      </c>
      <c r="BQ16" s="22"/>
      <c r="BR16" s="14">
        <f>SUM(BR17:BR20)</f>
        <v>0</v>
      </c>
      <c r="BS16" s="22"/>
    </row>
    <row r="17" spans="3:71" s="14" customFormat="1" outlineLevel="2" x14ac:dyDescent="0.25">
      <c r="D17" s="4" t="s">
        <v>7</v>
      </c>
      <c r="G17" s="21"/>
      <c r="N17" s="19"/>
      <c r="S17" s="20"/>
      <c r="U17" s="22"/>
      <c r="W17" s="22"/>
      <c r="X17" s="34"/>
      <c r="Y17" s="22"/>
      <c r="Z17" s="34">
        <v>-699</v>
      </c>
      <c r="AA17" s="22"/>
      <c r="AB17" s="34">
        <v>-21</v>
      </c>
      <c r="AC17" s="22"/>
      <c r="AD17" s="34">
        <v>0</v>
      </c>
      <c r="AE17" s="18"/>
      <c r="AF17" s="34">
        <v>-56</v>
      </c>
      <c r="AG17" s="22"/>
      <c r="AH17" s="34">
        <v>-56</v>
      </c>
      <c r="AI17" s="22"/>
      <c r="AJ17" s="34">
        <v>0</v>
      </c>
      <c r="AK17" s="22"/>
      <c r="AL17" s="34">
        <v>0</v>
      </c>
      <c r="AM17" s="22"/>
      <c r="AN17" s="34">
        <v>0</v>
      </c>
      <c r="AO17" s="22"/>
      <c r="AP17" s="34">
        <v>0</v>
      </c>
      <c r="AQ17" s="22"/>
      <c r="AR17" s="34">
        <v>0</v>
      </c>
      <c r="AS17" s="22"/>
      <c r="AT17" s="126">
        <v>13000</v>
      </c>
      <c r="AU17" s="22"/>
      <c r="AV17" s="34">
        <v>0</v>
      </c>
      <c r="AW17" s="22"/>
      <c r="AX17" s="34">
        <v>0</v>
      </c>
      <c r="AY17" s="22"/>
      <c r="AZ17" s="34">
        <v>0</v>
      </c>
      <c r="BA17" s="22"/>
      <c r="BB17" s="34">
        <v>0</v>
      </c>
      <c r="BC17" s="22"/>
      <c r="BD17" s="34">
        <v>0</v>
      </c>
      <c r="BE17" s="22"/>
      <c r="BF17" s="34">
        <v>0</v>
      </c>
      <c r="BG17" s="22"/>
      <c r="BH17" s="34">
        <v>0</v>
      </c>
      <c r="BI17" s="22"/>
      <c r="BJ17" s="34">
        <v>0</v>
      </c>
      <c r="BK17" s="22"/>
      <c r="BL17" s="34">
        <v>0</v>
      </c>
      <c r="BM17" s="22"/>
      <c r="BN17" s="34">
        <v>0</v>
      </c>
      <c r="BO17" s="22"/>
      <c r="BP17" s="34">
        <v>0</v>
      </c>
      <c r="BQ17" s="22"/>
      <c r="BR17" s="34">
        <v>0</v>
      </c>
      <c r="BS17" s="22"/>
    </row>
    <row r="18" spans="3:71" s="14" customFormat="1" outlineLevel="2" x14ac:dyDescent="0.25">
      <c r="D18" s="4" t="s">
        <v>8</v>
      </c>
      <c r="G18" s="21"/>
      <c r="N18" s="19"/>
      <c r="S18" s="20"/>
      <c r="U18" s="22"/>
      <c r="W18" s="22"/>
      <c r="X18" s="34"/>
      <c r="Y18" s="22"/>
      <c r="Z18" s="34">
        <v>-699</v>
      </c>
      <c r="AA18" s="22"/>
      <c r="AB18" s="34">
        <v>-699</v>
      </c>
      <c r="AC18" s="22"/>
      <c r="AD18" s="34">
        <v>0</v>
      </c>
      <c r="AE18" s="18"/>
      <c r="AF18" s="34">
        <v>-17</v>
      </c>
      <c r="AG18" s="22"/>
      <c r="AH18" s="34">
        <v>-17</v>
      </c>
      <c r="AI18" s="22"/>
      <c r="AJ18" s="34">
        <v>-28</v>
      </c>
      <c r="AK18" s="22"/>
      <c r="AL18" s="34">
        <v>0</v>
      </c>
      <c r="AM18" s="22"/>
      <c r="AN18" s="34">
        <v>0</v>
      </c>
      <c r="AO18" s="22"/>
      <c r="AP18" s="34">
        <v>-253</v>
      </c>
      <c r="AQ18" s="22"/>
      <c r="AR18" s="34">
        <v>0</v>
      </c>
      <c r="AS18" s="22"/>
      <c r="AT18" s="126">
        <v>1026</v>
      </c>
      <c r="AU18" s="22"/>
      <c r="AV18" s="34">
        <v>0</v>
      </c>
      <c r="AW18" s="22"/>
      <c r="AX18" s="34">
        <v>0</v>
      </c>
      <c r="AY18" s="22"/>
      <c r="AZ18" s="34">
        <v>0</v>
      </c>
      <c r="BA18" s="22"/>
      <c r="BB18" s="34">
        <v>0</v>
      </c>
      <c r="BC18" s="22"/>
      <c r="BD18" s="34">
        <v>0</v>
      </c>
      <c r="BE18" s="22"/>
      <c r="BF18" s="34">
        <v>0</v>
      </c>
      <c r="BG18" s="22"/>
      <c r="BH18" s="34">
        <v>0</v>
      </c>
      <c r="BI18" s="22"/>
      <c r="BJ18" s="34">
        <v>0</v>
      </c>
      <c r="BK18" s="22"/>
      <c r="BL18" s="34">
        <v>0</v>
      </c>
      <c r="BM18" s="22"/>
      <c r="BN18" s="34">
        <v>0</v>
      </c>
      <c r="BO18" s="22"/>
      <c r="BP18" s="34">
        <v>0</v>
      </c>
      <c r="BQ18" s="22"/>
      <c r="BR18" s="34">
        <v>0</v>
      </c>
      <c r="BS18" s="22"/>
    </row>
    <row r="19" spans="3:71" outlineLevel="2" x14ac:dyDescent="0.25">
      <c r="D19" s="4" t="s">
        <v>9</v>
      </c>
      <c r="X19" s="34"/>
      <c r="Z19" s="34">
        <v>24990</v>
      </c>
      <c r="AB19" s="34">
        <v>30962</v>
      </c>
      <c r="AD19" s="34">
        <v>0</v>
      </c>
      <c r="AF19" s="34">
        <v>0</v>
      </c>
      <c r="AH19" s="34">
        <v>9610</v>
      </c>
      <c r="AJ19" s="34">
        <v>1365</v>
      </c>
      <c r="AL19" s="34">
        <v>0</v>
      </c>
      <c r="AN19" s="34">
        <v>0</v>
      </c>
      <c r="AP19" s="34">
        <v>-62</v>
      </c>
      <c r="AR19" s="34">
        <v>0</v>
      </c>
      <c r="AT19" s="126">
        <f>24336-400</f>
        <v>23936</v>
      </c>
      <c r="AV19" s="34">
        <v>0</v>
      </c>
      <c r="AX19" s="34">
        <v>0</v>
      </c>
      <c r="AZ19" s="34">
        <v>0</v>
      </c>
      <c r="BB19" s="34">
        <v>0</v>
      </c>
      <c r="BC19" s="18"/>
      <c r="BD19" s="34">
        <v>0</v>
      </c>
      <c r="BF19" s="34">
        <v>0</v>
      </c>
      <c r="BH19" s="34">
        <v>0</v>
      </c>
      <c r="BJ19" s="34">
        <v>0</v>
      </c>
      <c r="BL19" s="34">
        <v>0</v>
      </c>
      <c r="BN19" s="34">
        <v>0</v>
      </c>
      <c r="BP19" s="34">
        <v>0</v>
      </c>
      <c r="BR19" s="34">
        <v>0</v>
      </c>
    </row>
    <row r="20" spans="3:71" outlineLevel="2" x14ac:dyDescent="0.25">
      <c r="D20" s="4" t="s">
        <v>10</v>
      </c>
      <c r="X20" s="34"/>
      <c r="Z20" s="34">
        <v>-6499</v>
      </c>
      <c r="AB20" s="34">
        <v>9021</v>
      </c>
      <c r="AD20" s="34">
        <v>0</v>
      </c>
      <c r="AF20" s="34">
        <v>8974</v>
      </c>
      <c r="AH20" s="34">
        <v>16205</v>
      </c>
      <c r="AJ20" s="34">
        <v>1990</v>
      </c>
      <c r="AL20" s="34">
        <v>0</v>
      </c>
      <c r="AN20" s="34">
        <v>0</v>
      </c>
      <c r="AP20" s="34">
        <v>0</v>
      </c>
      <c r="AR20" s="34">
        <v>0</v>
      </c>
      <c r="AT20" s="126">
        <f>53236-9100</f>
        <v>44136</v>
      </c>
      <c r="AV20" s="34">
        <v>0</v>
      </c>
      <c r="AX20" s="34">
        <v>0</v>
      </c>
      <c r="AZ20" s="34">
        <v>0</v>
      </c>
      <c r="BB20" s="34">
        <v>0</v>
      </c>
      <c r="BC20" s="18"/>
      <c r="BD20" s="34">
        <v>0</v>
      </c>
      <c r="BF20" s="34">
        <v>0</v>
      </c>
      <c r="BH20" s="34">
        <v>0</v>
      </c>
      <c r="BJ20" s="34">
        <v>0</v>
      </c>
      <c r="BL20" s="34">
        <v>0</v>
      </c>
      <c r="BN20" s="34">
        <v>0</v>
      </c>
      <c r="BP20" s="34">
        <v>0</v>
      </c>
      <c r="BR20" s="34">
        <v>0</v>
      </c>
    </row>
    <row r="21" spans="3:71" s="14" customFormat="1" outlineLevel="1" x14ac:dyDescent="0.25">
      <c r="C21" s="14" t="s">
        <v>15</v>
      </c>
      <c r="G21" s="21"/>
      <c r="N21" s="19"/>
      <c r="S21" s="20"/>
      <c r="U21" s="22"/>
      <c r="W21" s="22"/>
      <c r="Y21" s="22"/>
      <c r="Z21" s="14">
        <f>SUM(Z22:Z29)</f>
        <v>10000</v>
      </c>
      <c r="AA21" s="22"/>
      <c r="AB21" s="14">
        <f>SUM(AB22:AB26)</f>
        <v>29796.25</v>
      </c>
      <c r="AC21" s="22"/>
      <c r="AD21" s="14">
        <f>SUM(AD22:AD29)</f>
        <v>0</v>
      </c>
      <c r="AE21" s="18"/>
      <c r="AF21" s="14">
        <f>SUM(AF22:AF26)</f>
        <v>0</v>
      </c>
      <c r="AG21" s="22"/>
      <c r="AH21" s="14">
        <f>SUM(AH22:AH26)</f>
        <v>0</v>
      </c>
      <c r="AI21" s="22"/>
      <c r="AJ21" s="14">
        <f>SUM(AJ22:AJ26)</f>
        <v>0</v>
      </c>
      <c r="AK21" s="22"/>
      <c r="AL21" s="14">
        <f>SUM(AL22:AL26)</f>
        <v>0</v>
      </c>
      <c r="AM21" s="22"/>
      <c r="AN21" s="14">
        <f>SUM(AN22:AN26)</f>
        <v>0</v>
      </c>
      <c r="AO21" s="22"/>
      <c r="AP21" s="14">
        <f>SUM(AP22:AP26)</f>
        <v>12817</v>
      </c>
      <c r="AQ21" s="22"/>
      <c r="AR21" s="14">
        <f>SUM(AR22:AR26)</f>
        <v>0</v>
      </c>
      <c r="AS21" s="22"/>
      <c r="AT21" s="125">
        <f>SUM(AT22:AT26)</f>
        <v>139300</v>
      </c>
      <c r="AU21" s="22"/>
      <c r="AV21" s="14">
        <f>SUM(AV22:AV26)</f>
        <v>0</v>
      </c>
      <c r="AW21" s="22"/>
      <c r="AX21" s="14">
        <f>SUM(AX22:AX26)</f>
        <v>0</v>
      </c>
      <c r="AY21" s="22"/>
      <c r="AZ21" s="14">
        <f>SUM(AZ22:AZ26)</f>
        <v>0</v>
      </c>
      <c r="BA21" s="22"/>
      <c r="BB21" s="14">
        <f>SUM(BB22:BB26)</f>
        <v>0</v>
      </c>
      <c r="BC21" s="22"/>
      <c r="BD21" s="14">
        <f>SUM(BD22:BD26)</f>
        <v>0</v>
      </c>
      <c r="BE21" s="22"/>
      <c r="BF21" s="14">
        <f>SUM(BF22:BF26)</f>
        <v>0</v>
      </c>
      <c r="BG21" s="22"/>
      <c r="BH21" s="14">
        <f>SUM(BH22:BH26)</f>
        <v>0</v>
      </c>
      <c r="BI21" s="22"/>
      <c r="BJ21" s="14">
        <f>SUM(BJ22:BJ26)</f>
        <v>0</v>
      </c>
      <c r="BK21" s="22"/>
      <c r="BL21" s="14">
        <f>SUM(BL22:BL26)</f>
        <v>0</v>
      </c>
      <c r="BM21" s="22"/>
      <c r="BN21" s="14">
        <f>SUM(BN22:BN26)</f>
        <v>0</v>
      </c>
      <c r="BO21" s="22"/>
      <c r="BP21" s="14">
        <f>SUM(BP22:BP26)</f>
        <v>0</v>
      </c>
      <c r="BQ21" s="22"/>
      <c r="BR21" s="14">
        <f>SUM(BR22:BR26)</f>
        <v>0</v>
      </c>
      <c r="BS21" s="22"/>
    </row>
    <row r="22" spans="3:71" s="14" customFormat="1" outlineLevel="2" x14ac:dyDescent="0.25">
      <c r="D22" s="4" t="s">
        <v>16</v>
      </c>
      <c r="G22" s="21"/>
      <c r="N22" s="19"/>
      <c r="S22" s="20"/>
      <c r="U22" s="22"/>
      <c r="W22" s="18"/>
      <c r="X22" s="34"/>
      <c r="Y22" s="18"/>
      <c r="Z22" s="34">
        <v>0</v>
      </c>
      <c r="AA22" s="18" t="s">
        <v>17</v>
      </c>
      <c r="AB22" s="34">
        <v>151.25</v>
      </c>
      <c r="AD22" s="34">
        <v>0</v>
      </c>
      <c r="AE22" s="18"/>
      <c r="AF22" s="34">
        <v>0</v>
      </c>
      <c r="AG22" s="22"/>
      <c r="AH22" s="34">
        <v>0</v>
      </c>
      <c r="AI22" s="22"/>
      <c r="AJ22" s="34">
        <v>0</v>
      </c>
      <c r="AK22" s="22"/>
      <c r="AL22" s="34">
        <v>0</v>
      </c>
      <c r="AM22" s="22"/>
      <c r="AN22" s="34">
        <v>0</v>
      </c>
      <c r="AO22" s="18" t="s">
        <v>18</v>
      </c>
      <c r="AP22" s="34">
        <v>5557</v>
      </c>
      <c r="AQ22" s="22"/>
      <c r="AR22" s="34">
        <v>0</v>
      </c>
      <c r="AS22" s="18" t="s">
        <v>19</v>
      </c>
      <c r="AT22" s="126">
        <v>6000</v>
      </c>
      <c r="AU22" s="22"/>
      <c r="AV22" s="34">
        <v>0</v>
      </c>
      <c r="AW22" s="22"/>
      <c r="AX22" s="34">
        <v>0</v>
      </c>
      <c r="AY22" s="22"/>
      <c r="AZ22" s="34">
        <v>0</v>
      </c>
      <c r="BA22" s="22"/>
      <c r="BB22" s="34">
        <v>0</v>
      </c>
      <c r="BC22" s="22"/>
      <c r="BD22" s="34">
        <v>0</v>
      </c>
      <c r="BE22" s="22"/>
      <c r="BF22" s="34">
        <v>0</v>
      </c>
      <c r="BG22" s="22"/>
      <c r="BH22" s="34">
        <v>0</v>
      </c>
      <c r="BI22" s="22"/>
      <c r="BJ22" s="34">
        <v>0</v>
      </c>
      <c r="BK22" s="22"/>
      <c r="BL22" s="34">
        <v>0</v>
      </c>
      <c r="BM22" s="22"/>
      <c r="BN22" s="34">
        <v>0</v>
      </c>
      <c r="BO22" s="22"/>
      <c r="BP22" s="34">
        <v>0</v>
      </c>
      <c r="BQ22" s="22"/>
      <c r="BR22" s="34">
        <v>0</v>
      </c>
      <c r="BS22" s="22"/>
    </row>
    <row r="23" spans="3:71" s="14" customFormat="1" outlineLevel="2" x14ac:dyDescent="0.25">
      <c r="D23" s="4" t="s">
        <v>20</v>
      </c>
      <c r="G23" s="21"/>
      <c r="N23" s="19"/>
      <c r="S23" s="20"/>
      <c r="U23" s="22"/>
      <c r="W23" s="22"/>
      <c r="X23" s="34"/>
      <c r="Y23" s="18"/>
      <c r="Z23" s="34">
        <v>0</v>
      </c>
      <c r="AA23" s="18" t="s">
        <v>21</v>
      </c>
      <c r="AB23" s="34">
        <v>24200</v>
      </c>
      <c r="AD23" s="34">
        <v>0</v>
      </c>
      <c r="AE23" s="18"/>
      <c r="AF23" s="34">
        <v>0</v>
      </c>
      <c r="AG23" s="22"/>
      <c r="AH23" s="34">
        <v>0</v>
      </c>
      <c r="AI23" s="22"/>
      <c r="AJ23" s="34">
        <v>0</v>
      </c>
      <c r="AK23" s="22"/>
      <c r="AL23" s="34">
        <v>0</v>
      </c>
      <c r="AM23" s="22"/>
      <c r="AN23" s="34">
        <v>0</v>
      </c>
      <c r="AO23" s="18" t="s">
        <v>22</v>
      </c>
      <c r="AP23" s="34">
        <v>3630</v>
      </c>
      <c r="AQ23" s="22"/>
      <c r="AR23" s="34">
        <v>0</v>
      </c>
      <c r="AS23" s="18" t="s">
        <v>23</v>
      </c>
      <c r="AT23" s="126">
        <v>123300</v>
      </c>
      <c r="AU23" s="22"/>
      <c r="AV23" s="34">
        <v>0</v>
      </c>
      <c r="AW23" s="22"/>
      <c r="AX23" s="34">
        <v>0</v>
      </c>
      <c r="AY23" s="22"/>
      <c r="AZ23" s="34">
        <v>0</v>
      </c>
      <c r="BA23" s="22"/>
      <c r="BB23" s="34">
        <v>0</v>
      </c>
      <c r="BC23" s="22"/>
      <c r="BD23" s="34">
        <v>0</v>
      </c>
      <c r="BE23" s="22"/>
      <c r="BF23" s="34">
        <v>0</v>
      </c>
      <c r="BG23" s="22"/>
      <c r="BH23" s="34">
        <v>0</v>
      </c>
      <c r="BI23" s="22"/>
      <c r="BJ23" s="34">
        <v>0</v>
      </c>
      <c r="BK23" s="22"/>
      <c r="BL23" s="34">
        <v>0</v>
      </c>
      <c r="BM23" s="22"/>
      <c r="BN23" s="34">
        <v>0</v>
      </c>
      <c r="BO23" s="22"/>
      <c r="BP23" s="34">
        <v>0</v>
      </c>
      <c r="BQ23" s="22"/>
      <c r="BR23" s="34">
        <v>0</v>
      </c>
      <c r="BS23" s="22"/>
    </row>
    <row r="24" spans="3:71" s="14" customFormat="1" outlineLevel="2" x14ac:dyDescent="0.25">
      <c r="D24" s="4" t="s">
        <v>24</v>
      </c>
      <c r="G24" s="21"/>
      <c r="N24" s="19"/>
      <c r="S24" s="20"/>
      <c r="U24" s="22"/>
      <c r="W24" s="22"/>
      <c r="X24" s="34"/>
      <c r="Y24" s="18"/>
      <c r="Z24" s="34">
        <v>0</v>
      </c>
      <c r="AA24" s="18" t="s">
        <v>25</v>
      </c>
      <c r="AB24" s="34">
        <v>2420</v>
      </c>
      <c r="AD24" s="34">
        <v>0</v>
      </c>
      <c r="AE24" s="18"/>
      <c r="AF24" s="34">
        <v>0</v>
      </c>
      <c r="AG24" s="22"/>
      <c r="AH24" s="34">
        <v>0</v>
      </c>
      <c r="AI24" s="22"/>
      <c r="AJ24" s="34">
        <v>0</v>
      </c>
      <c r="AK24" s="22"/>
      <c r="AL24" s="34">
        <v>0</v>
      </c>
      <c r="AM24" s="22"/>
      <c r="AN24" s="34">
        <v>0</v>
      </c>
      <c r="AO24" s="18" t="s">
        <v>26</v>
      </c>
      <c r="AP24" s="34">
        <v>3630</v>
      </c>
      <c r="AQ24" s="22"/>
      <c r="AR24" s="34">
        <v>0</v>
      </c>
      <c r="AS24" s="18" t="s">
        <v>27</v>
      </c>
      <c r="AT24" s="126">
        <v>10000</v>
      </c>
      <c r="AU24" s="22"/>
      <c r="AV24" s="34">
        <v>0</v>
      </c>
      <c r="AW24" s="22"/>
      <c r="AX24" s="34">
        <v>0</v>
      </c>
      <c r="AY24" s="22"/>
      <c r="AZ24" s="34">
        <v>0</v>
      </c>
      <c r="BA24" s="22"/>
      <c r="BB24" s="34">
        <v>0</v>
      </c>
      <c r="BC24" s="22"/>
      <c r="BD24" s="34">
        <v>0</v>
      </c>
      <c r="BE24" s="22"/>
      <c r="BF24" s="34">
        <v>0</v>
      </c>
      <c r="BG24" s="22"/>
      <c r="BH24" s="34">
        <v>0</v>
      </c>
      <c r="BI24" s="22"/>
      <c r="BJ24" s="34">
        <v>0</v>
      </c>
      <c r="BK24" s="22"/>
      <c r="BL24" s="34">
        <v>0</v>
      </c>
      <c r="BM24" s="22"/>
      <c r="BN24" s="34">
        <v>0</v>
      </c>
      <c r="BO24" s="22"/>
      <c r="BP24" s="34">
        <v>0</v>
      </c>
      <c r="BQ24" s="22"/>
      <c r="BR24" s="34">
        <v>0</v>
      </c>
      <c r="BS24" s="22"/>
    </row>
    <row r="25" spans="3:71" s="14" customFormat="1" outlineLevel="2" x14ac:dyDescent="0.25">
      <c r="D25" s="4" t="s">
        <v>28</v>
      </c>
      <c r="G25" s="21"/>
      <c r="N25" s="19"/>
      <c r="S25" s="20"/>
      <c r="U25" s="22"/>
      <c r="W25" s="22"/>
      <c r="X25" s="34"/>
      <c r="Y25" s="18"/>
      <c r="Z25" s="34">
        <v>0</v>
      </c>
      <c r="AA25" s="18" t="s">
        <v>29</v>
      </c>
      <c r="AB25" s="34">
        <v>2420</v>
      </c>
      <c r="AD25" s="34">
        <v>0</v>
      </c>
      <c r="AE25" s="18"/>
      <c r="AF25" s="34">
        <v>0</v>
      </c>
      <c r="AG25" s="22"/>
      <c r="AH25" s="34">
        <v>0</v>
      </c>
      <c r="AI25" s="22"/>
      <c r="AJ25" s="34">
        <v>0</v>
      </c>
      <c r="AK25" s="22"/>
      <c r="AL25" s="34">
        <v>0</v>
      </c>
      <c r="AM25" s="22"/>
      <c r="AN25" s="34">
        <v>0</v>
      </c>
      <c r="AO25" s="22"/>
      <c r="AP25" s="34">
        <v>0</v>
      </c>
      <c r="AQ25" s="22"/>
      <c r="AR25" s="34"/>
      <c r="AS25" s="22"/>
      <c r="AT25" s="126"/>
      <c r="AU25" s="22"/>
      <c r="AV25" s="34"/>
      <c r="AW25" s="22"/>
      <c r="AX25" s="34"/>
      <c r="AY25" s="22"/>
      <c r="AZ25" s="34"/>
      <c r="BA25" s="22"/>
      <c r="BB25" s="34"/>
      <c r="BC25" s="22"/>
      <c r="BD25" s="34"/>
      <c r="BE25" s="22"/>
      <c r="BF25" s="34"/>
      <c r="BG25" s="22"/>
      <c r="BH25" s="34"/>
      <c r="BI25" s="22"/>
      <c r="BJ25" s="34"/>
      <c r="BK25" s="22"/>
      <c r="BL25" s="34"/>
      <c r="BM25" s="22"/>
      <c r="BN25" s="34"/>
      <c r="BO25" s="22"/>
      <c r="BP25" s="34"/>
      <c r="BQ25" s="22"/>
      <c r="BR25" s="34"/>
      <c r="BS25" s="22"/>
    </row>
    <row r="26" spans="3:71" s="14" customFormat="1" outlineLevel="2" x14ac:dyDescent="0.25">
      <c r="D26" s="4" t="s">
        <v>28</v>
      </c>
      <c r="G26" s="21"/>
      <c r="N26" s="19"/>
      <c r="S26" s="20"/>
      <c r="U26" s="22"/>
      <c r="W26" s="22"/>
      <c r="X26" s="34"/>
      <c r="Y26" s="18"/>
      <c r="Z26" s="34">
        <v>0</v>
      </c>
      <c r="AA26" s="18" t="s">
        <v>30</v>
      </c>
      <c r="AB26" s="34">
        <v>605</v>
      </c>
      <c r="AD26" s="34">
        <v>0</v>
      </c>
      <c r="AE26" s="18"/>
      <c r="AF26" s="34">
        <v>0</v>
      </c>
      <c r="AG26" s="22"/>
      <c r="AH26" s="34">
        <v>0</v>
      </c>
      <c r="AI26" s="22"/>
      <c r="AJ26" s="34">
        <v>0</v>
      </c>
      <c r="AK26" s="22"/>
      <c r="AL26" s="34">
        <v>0</v>
      </c>
      <c r="AM26" s="22"/>
      <c r="AN26" s="34">
        <v>0</v>
      </c>
      <c r="AO26" s="22"/>
      <c r="AP26" s="34">
        <v>0</v>
      </c>
      <c r="AQ26" s="22"/>
      <c r="AR26" s="34"/>
      <c r="AS26" s="22"/>
      <c r="AT26" s="126"/>
      <c r="AU26" s="22"/>
      <c r="AV26" s="34"/>
      <c r="AW26" s="22"/>
      <c r="AX26" s="34"/>
      <c r="AY26" s="22"/>
      <c r="AZ26" s="34"/>
      <c r="BA26" s="22"/>
      <c r="BB26" s="34"/>
      <c r="BC26" s="22"/>
      <c r="BD26" s="34"/>
      <c r="BE26" s="22"/>
      <c r="BF26" s="34"/>
      <c r="BG26" s="22"/>
      <c r="BH26" s="34"/>
      <c r="BI26" s="22"/>
      <c r="BJ26" s="34"/>
      <c r="BK26" s="22"/>
      <c r="BL26" s="34"/>
      <c r="BM26" s="22"/>
      <c r="BN26" s="34"/>
      <c r="BO26" s="22"/>
      <c r="BP26" s="34"/>
      <c r="BQ26" s="22"/>
      <c r="BR26" s="34"/>
      <c r="BS26" s="22"/>
    </row>
    <row r="27" spans="3:71" s="14" customFormat="1" outlineLevel="1" x14ac:dyDescent="0.25">
      <c r="C27" s="14" t="s">
        <v>31</v>
      </c>
      <c r="G27" s="21"/>
      <c r="N27" s="19"/>
      <c r="S27" s="20"/>
      <c r="U27" s="22"/>
      <c r="W27" s="22"/>
      <c r="Y27" s="22"/>
      <c r="Z27" s="14">
        <f>SUM(Z28:Z40)</f>
        <v>5000</v>
      </c>
      <c r="AA27" s="22"/>
      <c r="AB27" s="14">
        <f>SUM(AB28:AB40)</f>
        <v>56869</v>
      </c>
      <c r="AC27" s="22"/>
      <c r="AD27" s="14">
        <f>SUM(AD28:AD40)</f>
        <v>0</v>
      </c>
      <c r="AE27" s="18"/>
      <c r="AF27" s="14">
        <f>SUM(AF28:AF40)</f>
        <v>69725</v>
      </c>
      <c r="AG27" s="22"/>
      <c r="AH27" s="14">
        <f>SUM(AH28:AH40)</f>
        <v>92845</v>
      </c>
      <c r="AI27" s="18"/>
      <c r="AJ27" s="14">
        <f>SUM(AJ28:AJ40)</f>
        <v>61095.8</v>
      </c>
      <c r="AK27" s="22"/>
      <c r="AL27" s="14">
        <f>SUM(AL28:AL40)</f>
        <v>0</v>
      </c>
      <c r="AM27" s="22"/>
      <c r="AN27" s="14">
        <f>SUM(AN28:AN35)</f>
        <v>0</v>
      </c>
      <c r="AO27" s="22"/>
      <c r="AP27" s="14">
        <f>SUM(AP28:AP40)</f>
        <v>16848</v>
      </c>
      <c r="AQ27" s="22"/>
      <c r="AR27" s="14">
        <f>SUM(AR28:AR35)</f>
        <v>0</v>
      </c>
      <c r="AS27" s="22"/>
      <c r="AT27" s="125">
        <f>SUM(AT28:AT35)</f>
        <v>8051</v>
      </c>
      <c r="AU27" s="22"/>
      <c r="AV27" s="14">
        <f>SUM(AV28:AV35)</f>
        <v>0</v>
      </c>
      <c r="AW27" s="22"/>
      <c r="AX27" s="14">
        <f>SUM(AX28:AX35)</f>
        <v>0</v>
      </c>
      <c r="AY27" s="22"/>
      <c r="AZ27" s="14">
        <f>SUM(AZ28:AZ35)</f>
        <v>0</v>
      </c>
      <c r="BA27" s="22"/>
      <c r="BB27" s="14">
        <f>SUM(BB28:BB35)</f>
        <v>0</v>
      </c>
      <c r="BC27" s="22"/>
      <c r="BD27" s="14">
        <f>SUM(BD28:BD35)</f>
        <v>0</v>
      </c>
      <c r="BE27" s="22"/>
      <c r="BF27" s="14">
        <f>SUM(BF28:BF35)</f>
        <v>0</v>
      </c>
      <c r="BG27" s="22"/>
      <c r="BH27" s="14">
        <f>SUM(BH28:BH35)</f>
        <v>0</v>
      </c>
      <c r="BI27" s="22"/>
      <c r="BJ27" s="14">
        <f>SUM(BJ28:BJ35)</f>
        <v>0</v>
      </c>
      <c r="BK27" s="22"/>
      <c r="BL27" s="14">
        <f>SUM(BL28:BL35)</f>
        <v>0</v>
      </c>
      <c r="BM27" s="22"/>
      <c r="BN27" s="14">
        <f>SUM(BN28:BN35)</f>
        <v>0</v>
      </c>
      <c r="BO27" s="22"/>
      <c r="BP27" s="14">
        <f>SUM(BP28:BP35)</f>
        <v>0</v>
      </c>
      <c r="BQ27" s="22"/>
      <c r="BR27" s="14">
        <f>SUM(BR28:BR35)</f>
        <v>0</v>
      </c>
      <c r="BS27" s="22"/>
    </row>
    <row r="28" spans="3:71" s="14" customFormat="1" outlineLevel="2" x14ac:dyDescent="0.25">
      <c r="D28" s="4" t="s">
        <v>16</v>
      </c>
      <c r="G28" s="21"/>
      <c r="N28" s="19"/>
      <c r="S28" s="20"/>
      <c r="U28" s="22"/>
      <c r="W28" s="18"/>
      <c r="X28" s="34"/>
      <c r="Y28" s="18" t="s">
        <v>32</v>
      </c>
      <c r="Z28" s="34">
        <v>0</v>
      </c>
      <c r="AA28" s="18" t="s">
        <v>33</v>
      </c>
      <c r="AB28" s="34">
        <v>5000</v>
      </c>
      <c r="AC28" s="22"/>
      <c r="AD28" s="34">
        <v>0</v>
      </c>
      <c r="AE28" s="18" t="s">
        <v>34</v>
      </c>
      <c r="AF28" s="35">
        <v>3750</v>
      </c>
      <c r="AG28" s="61" t="s">
        <v>35</v>
      </c>
      <c r="AH28" s="34">
        <v>4065</v>
      </c>
      <c r="AI28" s="18" t="s">
        <v>36</v>
      </c>
      <c r="AJ28" s="34">
        <v>10120</v>
      </c>
      <c r="AK28" s="22"/>
      <c r="AL28" s="34">
        <v>0</v>
      </c>
      <c r="AM28" s="22"/>
      <c r="AN28" s="34">
        <v>0</v>
      </c>
      <c r="AO28" s="18" t="s">
        <v>37</v>
      </c>
      <c r="AP28" s="34">
        <v>400</v>
      </c>
      <c r="AQ28" s="22"/>
      <c r="AR28" s="34">
        <v>0</v>
      </c>
      <c r="AS28" s="18" t="s">
        <v>38</v>
      </c>
      <c r="AT28" s="126">
        <v>1200</v>
      </c>
      <c r="AU28" s="22"/>
      <c r="AV28" s="34">
        <v>0</v>
      </c>
      <c r="AW28" s="22"/>
      <c r="AX28" s="34">
        <v>0</v>
      </c>
      <c r="AY28" s="22"/>
      <c r="AZ28" s="34">
        <v>0</v>
      </c>
      <c r="BA28" s="22"/>
      <c r="BB28" s="34">
        <v>0</v>
      </c>
      <c r="BC28" s="22"/>
      <c r="BD28" s="34">
        <v>0</v>
      </c>
      <c r="BE28" s="22"/>
      <c r="BF28" s="34">
        <v>0</v>
      </c>
      <c r="BG28" s="22"/>
      <c r="BH28" s="34">
        <v>0</v>
      </c>
      <c r="BI28" s="22"/>
      <c r="BJ28" s="34">
        <v>0</v>
      </c>
      <c r="BK28" s="22"/>
      <c r="BL28" s="34">
        <v>0</v>
      </c>
      <c r="BM28" s="22"/>
      <c r="BN28" s="34">
        <v>0</v>
      </c>
      <c r="BO28" s="22"/>
      <c r="BP28" s="34">
        <v>0</v>
      </c>
      <c r="BQ28" s="22"/>
      <c r="BR28" s="34">
        <v>0</v>
      </c>
      <c r="BS28" s="22"/>
    </row>
    <row r="29" spans="3:71" s="14" customFormat="1" outlineLevel="2" x14ac:dyDescent="0.25">
      <c r="D29" s="4" t="s">
        <v>20</v>
      </c>
      <c r="G29" s="21"/>
      <c r="N29" s="19"/>
      <c r="S29" s="20"/>
      <c r="U29" s="22"/>
      <c r="W29" s="22"/>
      <c r="X29" s="34"/>
      <c r="Y29" s="18" t="s">
        <v>33</v>
      </c>
      <c r="Z29" s="34">
        <v>5000</v>
      </c>
      <c r="AA29" s="18" t="s">
        <v>39</v>
      </c>
      <c r="AB29" s="34">
        <v>18966</v>
      </c>
      <c r="AC29" s="22"/>
      <c r="AD29" s="34">
        <v>0</v>
      </c>
      <c r="AE29" s="18" t="s">
        <v>40</v>
      </c>
      <c r="AF29" s="35">
        <v>5208</v>
      </c>
      <c r="AG29" s="61" t="s">
        <v>41</v>
      </c>
      <c r="AH29" s="34">
        <v>4898</v>
      </c>
      <c r="AI29" s="18" t="s">
        <v>42</v>
      </c>
      <c r="AJ29" s="34">
        <v>4000</v>
      </c>
      <c r="AK29" s="22"/>
      <c r="AL29" s="34">
        <v>0</v>
      </c>
      <c r="AM29" s="22"/>
      <c r="AN29" s="34">
        <v>0</v>
      </c>
      <c r="AO29" s="18" t="s">
        <v>43</v>
      </c>
      <c r="AP29" s="34">
        <v>7320</v>
      </c>
      <c r="AQ29" s="22"/>
      <c r="AR29" s="34">
        <v>0</v>
      </c>
      <c r="AS29" s="18" t="s">
        <v>44</v>
      </c>
      <c r="AT29" s="126">
        <v>6851</v>
      </c>
      <c r="AU29" s="22"/>
      <c r="AV29" s="34">
        <v>0</v>
      </c>
      <c r="AW29" s="22"/>
      <c r="AX29" s="34">
        <v>0</v>
      </c>
      <c r="AY29" s="22"/>
      <c r="AZ29" s="34">
        <v>0</v>
      </c>
      <c r="BA29" s="22"/>
      <c r="BB29" s="34">
        <v>0</v>
      </c>
      <c r="BC29" s="22"/>
      <c r="BD29" s="34">
        <v>0</v>
      </c>
      <c r="BE29" s="22"/>
      <c r="BF29" s="34">
        <v>0</v>
      </c>
      <c r="BG29" s="22"/>
      <c r="BH29" s="34">
        <v>0</v>
      </c>
      <c r="BI29" s="22"/>
      <c r="BJ29" s="34">
        <v>0</v>
      </c>
      <c r="BK29" s="22"/>
      <c r="BL29" s="34">
        <v>0</v>
      </c>
      <c r="BM29" s="22"/>
      <c r="BN29" s="34">
        <v>0</v>
      </c>
      <c r="BO29" s="22"/>
      <c r="BP29" s="34">
        <v>0</v>
      </c>
      <c r="BQ29" s="22"/>
      <c r="BR29" s="34">
        <v>0</v>
      </c>
      <c r="BS29" s="22"/>
    </row>
    <row r="30" spans="3:71" s="14" customFormat="1" outlineLevel="2" x14ac:dyDescent="0.25">
      <c r="D30" s="4" t="s">
        <v>24</v>
      </c>
      <c r="G30" s="21"/>
      <c r="N30" s="19"/>
      <c r="S30" s="20"/>
      <c r="U30" s="22"/>
      <c r="W30" s="22"/>
      <c r="X30" s="34"/>
      <c r="Y30" s="18"/>
      <c r="Z30" s="34">
        <v>0</v>
      </c>
      <c r="AA30" s="18" t="s">
        <v>45</v>
      </c>
      <c r="AB30" s="34">
        <v>3863</v>
      </c>
      <c r="AC30" s="22"/>
      <c r="AD30" s="34">
        <v>0</v>
      </c>
      <c r="AE30" s="18" t="s">
        <v>46</v>
      </c>
      <c r="AF30" s="34">
        <v>2000</v>
      </c>
      <c r="AG30" s="61" t="s">
        <v>47</v>
      </c>
      <c r="AH30" s="34">
        <v>4065</v>
      </c>
      <c r="AI30" s="61" t="s">
        <v>48</v>
      </c>
      <c r="AJ30" s="34">
        <v>2000</v>
      </c>
      <c r="AK30" s="22"/>
      <c r="AL30" s="34">
        <v>0</v>
      </c>
      <c r="AM30" s="22"/>
      <c r="AN30" s="34">
        <v>0</v>
      </c>
      <c r="AO30" s="18" t="s">
        <v>49</v>
      </c>
      <c r="AP30" s="34">
        <v>4000</v>
      </c>
      <c r="AQ30" s="22"/>
      <c r="AR30" s="34">
        <v>0</v>
      </c>
      <c r="AS30" s="18"/>
      <c r="AT30" s="126">
        <v>0</v>
      </c>
      <c r="AU30" s="22"/>
      <c r="AV30" s="34">
        <v>0</v>
      </c>
      <c r="AW30" s="22"/>
      <c r="AX30" s="34">
        <v>0</v>
      </c>
      <c r="AY30" s="22"/>
      <c r="AZ30" s="34">
        <v>0</v>
      </c>
      <c r="BA30" s="22"/>
      <c r="BB30" s="34">
        <v>0</v>
      </c>
      <c r="BC30" s="22"/>
      <c r="BD30" s="34">
        <v>0</v>
      </c>
      <c r="BE30" s="22"/>
      <c r="BF30" s="34">
        <v>0</v>
      </c>
      <c r="BG30" s="22"/>
      <c r="BH30" s="34">
        <v>0</v>
      </c>
      <c r="BI30" s="22"/>
      <c r="BJ30" s="34">
        <v>0</v>
      </c>
      <c r="BK30" s="22"/>
      <c r="BL30" s="34">
        <v>0</v>
      </c>
      <c r="BM30" s="22"/>
      <c r="BN30" s="34">
        <v>0</v>
      </c>
      <c r="BO30" s="22"/>
      <c r="BP30" s="34">
        <v>0</v>
      </c>
      <c r="BQ30" s="22"/>
      <c r="BR30" s="34">
        <v>0</v>
      </c>
      <c r="BS30" s="22"/>
    </row>
    <row r="31" spans="3:71" s="14" customFormat="1" outlineLevel="2" x14ac:dyDescent="0.25">
      <c r="D31" s="4" t="s">
        <v>28</v>
      </c>
      <c r="G31" s="21"/>
      <c r="N31" s="19"/>
      <c r="S31" s="20"/>
      <c r="U31" s="22"/>
      <c r="W31" s="22"/>
      <c r="X31" s="34"/>
      <c r="Y31" s="18"/>
      <c r="Z31" s="34"/>
      <c r="AA31" s="18"/>
      <c r="AB31" s="34"/>
      <c r="AC31" s="22"/>
      <c r="AD31" s="34"/>
      <c r="AE31" s="61" t="s">
        <v>50</v>
      </c>
      <c r="AF31" s="34">
        <v>18280</v>
      </c>
      <c r="AG31" s="61" t="s">
        <v>51</v>
      </c>
      <c r="AH31" s="34">
        <v>3496</v>
      </c>
      <c r="AI31" s="18" t="s">
        <v>45</v>
      </c>
      <c r="AJ31" s="34">
        <v>3750</v>
      </c>
      <c r="AK31" s="22"/>
      <c r="AL31" s="34">
        <v>0</v>
      </c>
      <c r="AM31" s="22"/>
      <c r="AN31" s="34">
        <v>0</v>
      </c>
      <c r="AO31" s="22" t="s">
        <v>52</v>
      </c>
      <c r="AP31" s="34">
        <v>7978</v>
      </c>
      <c r="AQ31" s="22"/>
      <c r="AR31" s="34">
        <v>0</v>
      </c>
      <c r="AS31" s="22"/>
      <c r="AT31" s="126">
        <v>0</v>
      </c>
      <c r="AU31" s="22"/>
      <c r="AV31" s="34">
        <v>0</v>
      </c>
      <c r="AW31" s="22"/>
      <c r="AX31" s="34">
        <v>0</v>
      </c>
      <c r="AY31" s="22"/>
      <c r="AZ31" s="34">
        <v>0</v>
      </c>
      <c r="BA31" s="22"/>
      <c r="BB31" s="34">
        <v>0</v>
      </c>
      <c r="BC31" s="22"/>
      <c r="BD31" s="34">
        <v>0</v>
      </c>
      <c r="BE31" s="22"/>
      <c r="BF31" s="34">
        <v>0</v>
      </c>
      <c r="BG31" s="22"/>
      <c r="BH31" s="34">
        <v>0</v>
      </c>
      <c r="BI31" s="22"/>
      <c r="BJ31" s="34">
        <v>0</v>
      </c>
      <c r="BK31" s="22"/>
      <c r="BL31" s="34">
        <v>0</v>
      </c>
      <c r="BM31" s="22"/>
      <c r="BN31" s="34">
        <v>0</v>
      </c>
      <c r="BO31" s="22"/>
      <c r="BP31" s="34">
        <v>0</v>
      </c>
      <c r="BQ31" s="22"/>
      <c r="BR31" s="34">
        <v>0</v>
      </c>
      <c r="BS31" s="22"/>
    </row>
    <row r="32" spans="3:71" s="14" customFormat="1" outlineLevel="2" x14ac:dyDescent="0.25">
      <c r="D32" s="4" t="s">
        <v>53</v>
      </c>
      <c r="G32" s="21"/>
      <c r="N32" s="19"/>
      <c r="S32" s="20"/>
      <c r="U32" s="22"/>
      <c r="W32" s="22"/>
      <c r="X32" s="34"/>
      <c r="Y32" s="18"/>
      <c r="Z32" s="34">
        <v>0</v>
      </c>
      <c r="AA32" s="18" t="s">
        <v>54</v>
      </c>
      <c r="AB32" s="34">
        <v>29040</v>
      </c>
      <c r="AC32" s="22"/>
      <c r="AD32" s="34">
        <v>0</v>
      </c>
      <c r="AE32" s="61" t="s">
        <v>55</v>
      </c>
      <c r="AF32" s="34">
        <v>2737</v>
      </c>
      <c r="AG32" s="61" t="s">
        <v>45</v>
      </c>
      <c r="AH32" s="34">
        <v>5000</v>
      </c>
      <c r="AI32" s="18" t="s">
        <v>56</v>
      </c>
      <c r="AJ32" s="34">
        <v>4000</v>
      </c>
      <c r="AK32" s="22"/>
      <c r="AL32" s="34">
        <v>0</v>
      </c>
      <c r="AM32" s="22"/>
      <c r="AN32" s="34">
        <v>0</v>
      </c>
      <c r="AO32" s="22" t="s">
        <v>57</v>
      </c>
      <c r="AP32" s="34">
        <v>-2850</v>
      </c>
      <c r="AQ32" s="22"/>
      <c r="AR32" s="34">
        <v>0</v>
      </c>
      <c r="AS32" s="22"/>
      <c r="AT32" s="126">
        <v>0</v>
      </c>
      <c r="AU32" s="22"/>
      <c r="AV32" s="34">
        <v>0</v>
      </c>
      <c r="AW32" s="22"/>
      <c r="AX32" s="34">
        <v>0</v>
      </c>
      <c r="AY32" s="22"/>
      <c r="AZ32" s="34">
        <v>0</v>
      </c>
      <c r="BA32" s="22"/>
      <c r="BB32" s="34">
        <v>0</v>
      </c>
      <c r="BC32" s="22"/>
      <c r="BD32" s="34">
        <v>0</v>
      </c>
      <c r="BE32" s="22"/>
      <c r="BF32" s="34">
        <v>0</v>
      </c>
      <c r="BG32" s="22"/>
      <c r="BH32" s="34">
        <v>0</v>
      </c>
      <c r="BI32" s="22"/>
      <c r="BJ32" s="34">
        <v>0</v>
      </c>
      <c r="BK32" s="22"/>
      <c r="BL32" s="34">
        <v>0</v>
      </c>
      <c r="BM32" s="22"/>
      <c r="BN32" s="34">
        <v>0</v>
      </c>
      <c r="BO32" s="22"/>
      <c r="BP32" s="34">
        <v>0</v>
      </c>
      <c r="BQ32" s="22"/>
      <c r="BR32" s="34">
        <v>0</v>
      </c>
      <c r="BS32" s="22"/>
    </row>
    <row r="33" spans="3:71" s="14" customFormat="1" outlineLevel="2" x14ac:dyDescent="0.25">
      <c r="D33" s="4" t="s">
        <v>58</v>
      </c>
      <c r="G33" s="21"/>
      <c r="N33" s="19"/>
      <c r="S33" s="20"/>
      <c r="U33" s="22"/>
      <c r="W33" s="22"/>
      <c r="X33" s="34"/>
      <c r="Y33" s="18"/>
      <c r="Z33" s="34">
        <v>0</v>
      </c>
      <c r="AA33" s="22"/>
      <c r="AB33" s="34">
        <v>0</v>
      </c>
      <c r="AC33" s="22"/>
      <c r="AD33" s="34">
        <v>0</v>
      </c>
      <c r="AE33" s="61" t="s">
        <v>56</v>
      </c>
      <c r="AF33" s="34">
        <v>750</v>
      </c>
      <c r="AG33" s="61" t="s">
        <v>59</v>
      </c>
      <c r="AH33" s="34">
        <v>8191</v>
      </c>
      <c r="AI33" s="18" t="s">
        <v>34</v>
      </c>
      <c r="AJ33" s="34">
        <v>1800</v>
      </c>
      <c r="AK33" s="22"/>
      <c r="AL33" s="34">
        <v>0</v>
      </c>
      <c r="AM33" s="22"/>
      <c r="AN33" s="34">
        <v>0</v>
      </c>
      <c r="AO33" s="22"/>
      <c r="AP33" s="34">
        <v>0</v>
      </c>
      <c r="AQ33" s="22"/>
      <c r="AR33" s="34">
        <v>0</v>
      </c>
      <c r="AS33" s="22"/>
      <c r="AT33" s="126">
        <v>0</v>
      </c>
      <c r="AU33" s="22"/>
      <c r="AV33" s="34">
        <v>0</v>
      </c>
      <c r="AW33" s="22"/>
      <c r="AX33" s="34">
        <v>0</v>
      </c>
      <c r="AY33" s="22"/>
      <c r="AZ33" s="34">
        <v>0</v>
      </c>
      <c r="BA33" s="22"/>
      <c r="BB33" s="34">
        <v>0</v>
      </c>
      <c r="BC33" s="22"/>
      <c r="BD33" s="34">
        <v>0</v>
      </c>
      <c r="BE33" s="22"/>
      <c r="BF33" s="34">
        <v>0</v>
      </c>
      <c r="BG33" s="22"/>
      <c r="BH33" s="34">
        <v>0</v>
      </c>
      <c r="BI33" s="22"/>
      <c r="BJ33" s="34">
        <v>0</v>
      </c>
      <c r="BK33" s="22"/>
      <c r="BL33" s="34">
        <v>0</v>
      </c>
      <c r="BM33" s="22"/>
      <c r="BN33" s="34">
        <v>0</v>
      </c>
      <c r="BO33" s="22"/>
      <c r="BP33" s="34">
        <v>0</v>
      </c>
      <c r="BQ33" s="22"/>
      <c r="BR33" s="34">
        <v>0</v>
      </c>
      <c r="BS33" s="22"/>
    </row>
    <row r="34" spans="3:71" s="14" customFormat="1" outlineLevel="2" x14ac:dyDescent="0.25">
      <c r="D34" s="4" t="s">
        <v>60</v>
      </c>
      <c r="G34" s="21"/>
      <c r="N34" s="19"/>
      <c r="S34" s="20"/>
      <c r="U34" s="22"/>
      <c r="W34" s="22"/>
      <c r="X34" s="34"/>
      <c r="Y34" s="18"/>
      <c r="Z34" s="34">
        <v>0</v>
      </c>
      <c r="AA34" s="22"/>
      <c r="AB34" s="34">
        <v>0</v>
      </c>
      <c r="AC34" s="22"/>
      <c r="AD34" s="34">
        <v>0</v>
      </c>
      <c r="AE34" s="18" t="s">
        <v>45</v>
      </c>
      <c r="AF34" s="34">
        <v>5000</v>
      </c>
      <c r="AG34" s="61" t="s">
        <v>61</v>
      </c>
      <c r="AH34" s="34">
        <f>3503+2052</f>
        <v>5555</v>
      </c>
      <c r="AI34" s="18" t="s">
        <v>62</v>
      </c>
      <c r="AJ34" s="34">
        <v>940.8</v>
      </c>
      <c r="AK34" s="22"/>
      <c r="AL34" s="34">
        <v>0</v>
      </c>
      <c r="AM34" s="22"/>
      <c r="AN34" s="34">
        <v>0</v>
      </c>
      <c r="AO34" s="22"/>
      <c r="AP34" s="34">
        <v>0</v>
      </c>
      <c r="AQ34" s="22"/>
      <c r="AR34" s="34">
        <v>0</v>
      </c>
      <c r="AS34" s="22"/>
      <c r="AT34" s="126">
        <v>0</v>
      </c>
      <c r="AU34" s="22"/>
      <c r="AV34" s="34">
        <v>0</v>
      </c>
      <c r="AW34" s="22"/>
      <c r="AX34" s="34">
        <v>0</v>
      </c>
      <c r="AY34" s="22"/>
      <c r="AZ34" s="34">
        <v>0</v>
      </c>
      <c r="BA34" s="22"/>
      <c r="BB34" s="34">
        <v>0</v>
      </c>
      <c r="BC34" s="22"/>
      <c r="BD34" s="34">
        <v>0</v>
      </c>
      <c r="BE34" s="22"/>
      <c r="BF34" s="34">
        <v>0</v>
      </c>
      <c r="BG34" s="22"/>
      <c r="BH34" s="34">
        <v>0</v>
      </c>
      <c r="BI34" s="22"/>
      <c r="BJ34" s="34">
        <v>0</v>
      </c>
      <c r="BK34" s="22"/>
      <c r="BL34" s="34">
        <v>0</v>
      </c>
      <c r="BM34" s="22"/>
      <c r="BN34" s="34">
        <v>0</v>
      </c>
      <c r="BO34" s="22"/>
      <c r="BP34" s="34">
        <v>0</v>
      </c>
      <c r="BQ34" s="22"/>
      <c r="BR34" s="34">
        <v>0</v>
      </c>
      <c r="BS34" s="22"/>
    </row>
    <row r="35" spans="3:71" s="14" customFormat="1" outlineLevel="2" x14ac:dyDescent="0.25">
      <c r="D35" s="4" t="s">
        <v>63</v>
      </c>
      <c r="G35" s="21"/>
      <c r="N35" s="19"/>
      <c r="S35" s="20"/>
      <c r="U35" s="22"/>
      <c r="W35" s="22"/>
      <c r="X35" s="34"/>
      <c r="Y35" s="18"/>
      <c r="Z35" s="34">
        <v>0</v>
      </c>
      <c r="AA35" s="22"/>
      <c r="AB35" s="34">
        <v>0</v>
      </c>
      <c r="AC35" s="22"/>
      <c r="AD35" s="34">
        <v>0</v>
      </c>
      <c r="AE35" s="18" t="s">
        <v>64</v>
      </c>
      <c r="AF35" s="34">
        <v>32000</v>
      </c>
      <c r="AG35" s="61" t="s">
        <v>65</v>
      </c>
      <c r="AH35" s="34">
        <v>2323</v>
      </c>
      <c r="AI35" s="61" t="s">
        <v>66</v>
      </c>
      <c r="AJ35" s="34">
        <v>3740</v>
      </c>
      <c r="AK35" s="22"/>
      <c r="AL35" s="34">
        <v>0</v>
      </c>
      <c r="AM35" s="22"/>
      <c r="AN35" s="34">
        <v>0</v>
      </c>
      <c r="AO35" s="22"/>
      <c r="AP35" s="34">
        <v>0</v>
      </c>
      <c r="AQ35" s="22"/>
      <c r="AR35" s="34">
        <v>0</v>
      </c>
      <c r="AS35" s="22"/>
      <c r="AT35" s="126">
        <v>0</v>
      </c>
      <c r="AU35" s="22"/>
      <c r="AV35" s="34">
        <v>0</v>
      </c>
      <c r="AW35" s="22"/>
      <c r="AX35" s="34">
        <v>0</v>
      </c>
      <c r="AY35" s="22"/>
      <c r="AZ35" s="34">
        <v>0</v>
      </c>
      <c r="BA35" s="22"/>
      <c r="BB35" s="34">
        <v>0</v>
      </c>
      <c r="BC35" s="22"/>
      <c r="BD35" s="34">
        <v>0</v>
      </c>
      <c r="BE35" s="22"/>
      <c r="BF35" s="34">
        <v>0</v>
      </c>
      <c r="BG35" s="22"/>
      <c r="BH35" s="34">
        <v>0</v>
      </c>
      <c r="BI35" s="22"/>
      <c r="BJ35" s="34">
        <v>0</v>
      </c>
      <c r="BK35" s="22"/>
      <c r="BL35" s="34">
        <v>0</v>
      </c>
      <c r="BM35" s="22"/>
      <c r="BN35" s="34">
        <v>0</v>
      </c>
      <c r="BO35" s="22"/>
      <c r="BP35" s="34">
        <v>0</v>
      </c>
      <c r="BQ35" s="22"/>
      <c r="BR35" s="34">
        <v>0</v>
      </c>
      <c r="BS35" s="22"/>
    </row>
    <row r="36" spans="3:71" s="14" customFormat="1" outlineLevel="2" x14ac:dyDescent="0.25">
      <c r="D36" s="4" t="s">
        <v>67</v>
      </c>
      <c r="G36" s="21"/>
      <c r="N36" s="19"/>
      <c r="S36" s="20"/>
      <c r="U36" s="22"/>
      <c r="W36" s="22"/>
      <c r="X36" s="34"/>
      <c r="Y36" s="18"/>
      <c r="Z36" s="34"/>
      <c r="AA36" s="22"/>
      <c r="AB36" s="34"/>
      <c r="AC36" s="22"/>
      <c r="AD36" s="34"/>
      <c r="AE36" s="18"/>
      <c r="AF36" s="34"/>
      <c r="AG36" s="18" t="s">
        <v>64</v>
      </c>
      <c r="AH36" s="34">
        <v>44260</v>
      </c>
      <c r="AI36" s="18" t="s">
        <v>68</v>
      </c>
      <c r="AJ36" s="34">
        <f>1250*5</f>
        <v>6250</v>
      </c>
      <c r="AK36" s="22"/>
      <c r="AL36" s="34">
        <v>0</v>
      </c>
      <c r="AM36" s="22"/>
      <c r="AN36" s="34">
        <v>0</v>
      </c>
      <c r="AO36" s="22"/>
      <c r="AP36" s="34">
        <v>0</v>
      </c>
      <c r="AQ36" s="22"/>
      <c r="AR36" s="34">
        <v>0</v>
      </c>
      <c r="AS36" s="22"/>
      <c r="AT36" s="126">
        <v>0</v>
      </c>
      <c r="AU36" s="22"/>
      <c r="AV36" s="34">
        <v>0</v>
      </c>
      <c r="AW36" s="22"/>
      <c r="AX36" s="34">
        <v>0</v>
      </c>
      <c r="AY36" s="22"/>
      <c r="AZ36" s="34">
        <v>0</v>
      </c>
      <c r="BA36" s="22"/>
      <c r="BB36" s="34">
        <v>0</v>
      </c>
      <c r="BC36" s="22"/>
      <c r="BD36" s="34">
        <v>0</v>
      </c>
      <c r="BE36" s="22"/>
      <c r="BF36" s="34">
        <v>0</v>
      </c>
      <c r="BG36" s="22"/>
      <c r="BH36" s="34">
        <v>0</v>
      </c>
      <c r="BI36" s="22"/>
      <c r="BJ36" s="34">
        <v>0</v>
      </c>
      <c r="BK36" s="22"/>
      <c r="BL36" s="34">
        <v>0</v>
      </c>
      <c r="BM36" s="22"/>
      <c r="BN36" s="34">
        <v>0</v>
      </c>
      <c r="BO36" s="22"/>
      <c r="BP36" s="34">
        <v>0</v>
      </c>
      <c r="BQ36" s="22"/>
      <c r="BR36" s="34">
        <v>0</v>
      </c>
      <c r="BS36" s="22"/>
    </row>
    <row r="37" spans="3:71" s="14" customFormat="1" outlineLevel="2" x14ac:dyDescent="0.25">
      <c r="D37" s="4" t="s">
        <v>69</v>
      </c>
      <c r="G37" s="21"/>
      <c r="N37" s="19"/>
      <c r="S37" s="20"/>
      <c r="U37" s="22"/>
      <c r="W37" s="22"/>
      <c r="X37" s="34"/>
      <c r="Y37" s="18"/>
      <c r="Z37" s="34"/>
      <c r="AA37" s="22"/>
      <c r="AB37" s="34"/>
      <c r="AC37" s="22"/>
      <c r="AD37" s="34"/>
      <c r="AE37" s="18"/>
      <c r="AF37" s="34"/>
      <c r="AG37" s="18"/>
      <c r="AH37" s="34"/>
      <c r="AI37" s="18" t="s">
        <v>70</v>
      </c>
      <c r="AJ37" s="34">
        <f>1250*11.5</f>
        <v>14375</v>
      </c>
      <c r="AK37" s="22"/>
      <c r="AL37" s="34">
        <v>0</v>
      </c>
      <c r="AM37" s="22"/>
      <c r="AN37" s="34">
        <v>0</v>
      </c>
      <c r="AO37" s="22"/>
      <c r="AP37" s="34">
        <v>0</v>
      </c>
      <c r="AQ37" s="22"/>
      <c r="AR37" s="34">
        <v>0</v>
      </c>
      <c r="AS37" s="22"/>
      <c r="AT37" s="126">
        <v>0</v>
      </c>
      <c r="AU37" s="22"/>
      <c r="AV37" s="34">
        <v>0</v>
      </c>
      <c r="AW37" s="22"/>
      <c r="AX37" s="34">
        <v>0</v>
      </c>
      <c r="AY37" s="22"/>
      <c r="AZ37" s="34">
        <v>0</v>
      </c>
      <c r="BA37" s="22"/>
      <c r="BB37" s="34">
        <v>0</v>
      </c>
      <c r="BC37" s="22"/>
      <c r="BD37" s="34">
        <v>0</v>
      </c>
      <c r="BE37" s="22"/>
      <c r="BF37" s="34">
        <v>0</v>
      </c>
      <c r="BG37" s="22"/>
      <c r="BH37" s="34">
        <v>0</v>
      </c>
      <c r="BI37" s="22"/>
      <c r="BJ37" s="34">
        <v>0</v>
      </c>
      <c r="BK37" s="22"/>
      <c r="BL37" s="34">
        <v>0</v>
      </c>
      <c r="BM37" s="22"/>
      <c r="BN37" s="34">
        <v>0</v>
      </c>
      <c r="BO37" s="22"/>
      <c r="BP37" s="34">
        <v>0</v>
      </c>
      <c r="BQ37" s="22"/>
      <c r="BR37" s="34">
        <v>0</v>
      </c>
      <c r="BS37" s="22"/>
    </row>
    <row r="38" spans="3:71" s="14" customFormat="1" outlineLevel="2" x14ac:dyDescent="0.25">
      <c r="D38" s="4" t="s">
        <v>71</v>
      </c>
      <c r="G38" s="21"/>
      <c r="N38" s="19"/>
      <c r="S38" s="20"/>
      <c r="U38" s="22"/>
      <c r="W38" s="22"/>
      <c r="X38" s="34"/>
      <c r="Y38" s="18"/>
      <c r="Z38" s="34"/>
      <c r="AA38" s="22"/>
      <c r="AB38" s="34"/>
      <c r="AC38" s="22"/>
      <c r="AD38" s="34"/>
      <c r="AE38" s="18"/>
      <c r="AF38" s="34"/>
      <c r="AG38" s="18"/>
      <c r="AH38" s="34"/>
      <c r="AI38" s="18" t="s">
        <v>72</v>
      </c>
      <c r="AJ38" s="34">
        <v>10120</v>
      </c>
      <c r="AK38" s="22"/>
      <c r="AL38" s="34"/>
      <c r="AM38" s="22"/>
      <c r="AN38" s="34"/>
      <c r="AO38" s="22"/>
      <c r="AP38" s="34"/>
      <c r="AQ38" s="22"/>
      <c r="AR38" s="34"/>
      <c r="AS38" s="22"/>
      <c r="AT38" s="126"/>
      <c r="AU38" s="22"/>
      <c r="AV38" s="34"/>
      <c r="AW38" s="22"/>
      <c r="AX38" s="34"/>
      <c r="AY38" s="22"/>
      <c r="AZ38" s="34"/>
      <c r="BA38" s="22"/>
      <c r="BB38" s="34"/>
      <c r="BC38" s="22"/>
      <c r="BD38" s="34"/>
      <c r="BE38" s="22"/>
      <c r="BF38" s="34"/>
      <c r="BG38" s="22"/>
      <c r="BH38" s="34"/>
      <c r="BI38" s="22"/>
      <c r="BJ38" s="34"/>
      <c r="BK38" s="22"/>
      <c r="BL38" s="34"/>
      <c r="BM38" s="22"/>
      <c r="BN38" s="34"/>
      <c r="BO38" s="22"/>
      <c r="BP38" s="34"/>
      <c r="BQ38" s="22"/>
      <c r="BR38" s="34"/>
      <c r="BS38" s="22"/>
    </row>
    <row r="39" spans="3:71" s="14" customFormat="1" outlineLevel="2" x14ac:dyDescent="0.25">
      <c r="D39" s="4" t="s">
        <v>73</v>
      </c>
      <c r="G39" s="21"/>
      <c r="N39" s="19"/>
      <c r="S39" s="20"/>
      <c r="U39" s="22"/>
      <c r="W39" s="22"/>
      <c r="X39" s="34"/>
      <c r="Y39" s="18"/>
      <c r="Z39" s="34"/>
      <c r="AA39" s="22"/>
      <c r="AB39" s="34"/>
      <c r="AC39" s="22"/>
      <c r="AD39" s="34"/>
      <c r="AE39" s="18"/>
      <c r="AF39" s="34"/>
      <c r="AG39" s="18"/>
      <c r="AH39" s="34"/>
      <c r="AI39" s="18"/>
      <c r="AJ39" s="34"/>
      <c r="AK39" s="22"/>
      <c r="AL39" s="34"/>
      <c r="AM39" s="22"/>
      <c r="AN39" s="34"/>
      <c r="AO39" s="22"/>
      <c r="AP39" s="34"/>
      <c r="AQ39" s="22"/>
      <c r="AR39" s="34"/>
      <c r="AS39" s="22"/>
      <c r="AT39" s="126"/>
      <c r="AU39" s="22"/>
      <c r="AV39" s="34"/>
      <c r="AW39" s="22"/>
      <c r="AX39" s="34"/>
      <c r="AY39" s="22"/>
      <c r="AZ39" s="34"/>
      <c r="BA39" s="22"/>
      <c r="BB39" s="34"/>
      <c r="BC39" s="22"/>
      <c r="BD39" s="34"/>
      <c r="BE39" s="22"/>
      <c r="BF39" s="34"/>
      <c r="BG39" s="22"/>
      <c r="BH39" s="34"/>
      <c r="BI39" s="22"/>
      <c r="BJ39" s="34"/>
      <c r="BK39" s="22"/>
      <c r="BL39" s="34"/>
      <c r="BM39" s="22"/>
      <c r="BN39" s="34"/>
      <c r="BO39" s="22"/>
      <c r="BP39" s="34"/>
      <c r="BQ39" s="22"/>
      <c r="BR39" s="34"/>
      <c r="BS39" s="22"/>
    </row>
    <row r="40" spans="3:71" s="14" customFormat="1" outlineLevel="2" x14ac:dyDescent="0.25">
      <c r="D40" s="4" t="s">
        <v>74</v>
      </c>
      <c r="G40" s="21"/>
      <c r="N40" s="19"/>
      <c r="S40" s="20"/>
      <c r="U40" s="22"/>
      <c r="W40" s="22"/>
      <c r="X40" s="34"/>
      <c r="Y40" s="18"/>
      <c r="Z40" s="34"/>
      <c r="AA40" s="22"/>
      <c r="AB40" s="34"/>
      <c r="AC40" s="22"/>
      <c r="AD40" s="34"/>
      <c r="AE40" s="18"/>
      <c r="AF40" s="34"/>
      <c r="AG40" s="18" t="s">
        <v>75</v>
      </c>
      <c r="AH40" s="34">
        <v>10992</v>
      </c>
      <c r="AI40" s="18"/>
      <c r="AJ40" s="34"/>
      <c r="AK40" s="22"/>
      <c r="AL40" s="34"/>
      <c r="AM40" s="22"/>
      <c r="AN40" s="34"/>
      <c r="AO40" s="22"/>
      <c r="AP40" s="34"/>
      <c r="AQ40" s="22"/>
      <c r="AR40" s="34"/>
      <c r="AS40" s="22"/>
      <c r="AT40" s="126"/>
      <c r="AU40" s="22"/>
      <c r="AV40" s="34"/>
      <c r="AW40" s="22"/>
      <c r="AX40" s="34"/>
      <c r="AY40" s="22"/>
      <c r="AZ40" s="34"/>
      <c r="BA40" s="22"/>
      <c r="BB40" s="34"/>
      <c r="BC40" s="22"/>
      <c r="BD40" s="34"/>
      <c r="BE40" s="22"/>
      <c r="BF40" s="34"/>
      <c r="BG40" s="22"/>
      <c r="BH40" s="34"/>
      <c r="BI40" s="22"/>
      <c r="BJ40" s="34"/>
      <c r="BK40" s="22"/>
      <c r="BL40" s="34"/>
      <c r="BM40" s="22"/>
      <c r="BN40" s="34"/>
      <c r="BO40" s="22"/>
      <c r="BP40" s="34"/>
      <c r="BQ40" s="22"/>
      <c r="BR40" s="34"/>
      <c r="BS40" s="22"/>
    </row>
    <row r="41" spans="3:71" s="14" customFormat="1" outlineLevel="1" x14ac:dyDescent="0.25">
      <c r="C41" s="14" t="s">
        <v>76</v>
      </c>
      <c r="G41" s="21"/>
      <c r="N41" s="19"/>
      <c r="S41" s="20"/>
      <c r="U41" s="22"/>
      <c r="W41" s="22"/>
      <c r="Y41" s="22"/>
      <c r="Z41" s="14">
        <f>SUM(Z42:Z53)</f>
        <v>41500</v>
      </c>
      <c r="AA41" s="22"/>
      <c r="AB41" s="14">
        <f>SUM(AB42:AB53)</f>
        <v>64606</v>
      </c>
      <c r="AC41" s="22"/>
      <c r="AD41" s="14">
        <f>SUM(AD42:AD53)</f>
        <v>0</v>
      </c>
      <c r="AE41" s="18"/>
      <c r="AF41" s="14">
        <f>SUM(AF42:AF53)</f>
        <v>290419</v>
      </c>
      <c r="AG41" s="22"/>
      <c r="AH41" s="14">
        <f>SUM(AH42:AH53)</f>
        <v>135031</v>
      </c>
      <c r="AI41" s="18"/>
      <c r="AJ41" s="14">
        <f>SUM(AJ42:AJ53)</f>
        <v>272050</v>
      </c>
      <c r="AK41" s="22"/>
      <c r="AL41" s="14">
        <f>SUM(AL42:AL53)</f>
        <v>0</v>
      </c>
      <c r="AM41" s="22"/>
      <c r="AN41" s="14">
        <f>SUM(AN42:AN53)</f>
        <v>0</v>
      </c>
      <c r="AO41" s="22"/>
      <c r="AP41" s="14">
        <f>SUM(AP42:AP53)</f>
        <v>149043</v>
      </c>
      <c r="AQ41" s="22"/>
      <c r="AR41" s="14">
        <f>SUM(AR42:AR53)</f>
        <v>0</v>
      </c>
      <c r="AS41" s="22"/>
      <c r="AT41" s="125">
        <f>SUM(AT42:AT44)</f>
        <v>3208</v>
      </c>
      <c r="AU41" s="22"/>
      <c r="AV41" s="14">
        <f>SUM(AV42:AV53)</f>
        <v>0</v>
      </c>
      <c r="AW41" s="22"/>
      <c r="AX41" s="14">
        <f>SUM(AX42:AX53)</f>
        <v>0</v>
      </c>
      <c r="AY41" s="22"/>
      <c r="AZ41" s="14">
        <f>SUM(AZ42:AZ44)</f>
        <v>0</v>
      </c>
      <c r="BA41" s="22"/>
      <c r="BB41" s="14">
        <f>SUM(BB42:BB44)</f>
        <v>0</v>
      </c>
      <c r="BC41" s="22"/>
      <c r="BD41" s="14">
        <f>SUM(BD42:BD44)</f>
        <v>0</v>
      </c>
      <c r="BE41" s="22"/>
      <c r="BF41" s="14">
        <f>SUM(BF42:BF44)</f>
        <v>0</v>
      </c>
      <c r="BG41" s="22"/>
      <c r="BH41" s="14">
        <f>SUM(BH42:BH44)</f>
        <v>0</v>
      </c>
      <c r="BI41" s="22"/>
      <c r="BJ41" s="14">
        <f>SUM(BJ42:BJ44)</f>
        <v>0</v>
      </c>
      <c r="BK41" s="22"/>
      <c r="BL41" s="14">
        <f>SUM(BL42:BL44)</f>
        <v>0</v>
      </c>
      <c r="BM41" s="22"/>
      <c r="BN41" s="14">
        <f>SUM(BN42:BN44)</f>
        <v>0</v>
      </c>
      <c r="BO41" s="22"/>
      <c r="BP41" s="14">
        <f>SUM(BP42:BP44)</f>
        <v>0</v>
      </c>
      <c r="BQ41" s="22"/>
      <c r="BR41" s="14">
        <f>SUM(BR42:BR44)</f>
        <v>0</v>
      </c>
      <c r="BS41" s="22"/>
    </row>
    <row r="42" spans="3:71" s="14" customFormat="1" outlineLevel="2" x14ac:dyDescent="0.25">
      <c r="D42" s="4" t="s">
        <v>77</v>
      </c>
      <c r="G42" s="21"/>
      <c r="N42" s="19"/>
      <c r="S42" s="20"/>
      <c r="U42" s="22"/>
      <c r="W42" s="18" t="s">
        <v>78</v>
      </c>
      <c r="X42" s="34"/>
      <c r="Y42" s="18" t="s">
        <v>79</v>
      </c>
      <c r="Z42" s="34">
        <v>5000</v>
      </c>
      <c r="AA42" s="18" t="s">
        <v>80</v>
      </c>
      <c r="AB42" s="34">
        <v>1850</v>
      </c>
      <c r="AC42" s="22"/>
      <c r="AD42" s="34">
        <v>0</v>
      </c>
      <c r="AE42" s="18" t="s">
        <v>81</v>
      </c>
      <c r="AF42" s="34">
        <v>3630</v>
      </c>
      <c r="AG42" s="18" t="s">
        <v>82</v>
      </c>
      <c r="AH42" s="34">
        <v>2904</v>
      </c>
      <c r="AI42" s="18" t="s">
        <v>83</v>
      </c>
      <c r="AJ42" s="34">
        <v>3630</v>
      </c>
      <c r="AK42" s="22"/>
      <c r="AL42" s="34">
        <v>0</v>
      </c>
      <c r="AM42" s="22"/>
      <c r="AN42" s="34">
        <v>0</v>
      </c>
      <c r="AO42" s="18" t="s">
        <v>84</v>
      </c>
      <c r="AP42" s="34">
        <v>328</v>
      </c>
      <c r="AQ42" s="22"/>
      <c r="AR42" s="34">
        <v>0</v>
      </c>
      <c r="AS42" s="18" t="s">
        <v>85</v>
      </c>
      <c r="AT42" s="126">
        <v>3630</v>
      </c>
      <c r="AU42" s="22"/>
      <c r="AV42" s="34">
        <v>0</v>
      </c>
      <c r="AW42" s="22"/>
      <c r="AX42" s="34">
        <v>0</v>
      </c>
      <c r="AY42" s="22"/>
      <c r="AZ42" s="34">
        <v>0</v>
      </c>
      <c r="BA42" s="22"/>
      <c r="BB42" s="34">
        <v>0</v>
      </c>
      <c r="BC42" s="22"/>
      <c r="BD42" s="34">
        <v>0</v>
      </c>
      <c r="BE42" s="22"/>
      <c r="BF42" s="34">
        <v>0</v>
      </c>
      <c r="BG42" s="22"/>
      <c r="BH42" s="34">
        <v>0</v>
      </c>
      <c r="BI42" s="22"/>
      <c r="BJ42" s="34">
        <v>0</v>
      </c>
      <c r="BK42" s="22"/>
      <c r="BL42" s="34">
        <v>0</v>
      </c>
      <c r="BM42" s="22"/>
      <c r="BN42" s="34">
        <v>0</v>
      </c>
      <c r="BO42" s="22"/>
      <c r="BP42" s="34">
        <v>0</v>
      </c>
      <c r="BQ42" s="22"/>
      <c r="BR42" s="34">
        <v>0</v>
      </c>
      <c r="BS42" s="22"/>
    </row>
    <row r="43" spans="3:71" s="14" customFormat="1" outlineLevel="2" x14ac:dyDescent="0.25">
      <c r="D43" s="4" t="s">
        <v>86</v>
      </c>
      <c r="G43" s="21"/>
      <c r="N43" s="19"/>
      <c r="S43" s="20"/>
      <c r="U43" s="22"/>
      <c r="W43" s="18" t="s">
        <v>79</v>
      </c>
      <c r="X43" s="34"/>
      <c r="Y43" s="18" t="s">
        <v>87</v>
      </c>
      <c r="Z43" s="34">
        <v>4000</v>
      </c>
      <c r="AA43" s="18" t="s">
        <v>88</v>
      </c>
      <c r="AB43" s="34">
        <v>3630</v>
      </c>
      <c r="AC43" s="22"/>
      <c r="AD43" s="34">
        <v>0</v>
      </c>
      <c r="AE43" s="61" t="s">
        <v>89</v>
      </c>
      <c r="AF43" s="34">
        <v>24200</v>
      </c>
      <c r="AG43" s="18" t="s">
        <v>90</v>
      </c>
      <c r="AH43" s="34">
        <v>20165</v>
      </c>
      <c r="AI43" s="18" t="s">
        <v>91</v>
      </c>
      <c r="AJ43" s="34">
        <v>20165</v>
      </c>
      <c r="AK43" s="22"/>
      <c r="AL43" s="34">
        <v>0</v>
      </c>
      <c r="AM43" s="22"/>
      <c r="AN43" s="34">
        <v>0</v>
      </c>
      <c r="AO43" s="18" t="s">
        <v>84</v>
      </c>
      <c r="AP43" s="34">
        <v>9325</v>
      </c>
      <c r="AQ43" s="22"/>
      <c r="AR43" s="34">
        <v>0</v>
      </c>
      <c r="AS43" s="18" t="s">
        <v>92</v>
      </c>
      <c r="AT43" s="126">
        <v>-2288</v>
      </c>
      <c r="AU43" s="22"/>
      <c r="AV43" s="34">
        <v>0</v>
      </c>
      <c r="AW43" s="22"/>
      <c r="AX43" s="34">
        <v>0</v>
      </c>
      <c r="AY43" s="22"/>
      <c r="AZ43" s="34">
        <v>0</v>
      </c>
      <c r="BA43" s="22"/>
      <c r="BB43" s="34">
        <v>0</v>
      </c>
      <c r="BC43" s="22"/>
      <c r="BD43" s="34">
        <v>0</v>
      </c>
      <c r="BE43" s="22"/>
      <c r="BF43" s="34">
        <v>0</v>
      </c>
      <c r="BG43" s="22"/>
      <c r="BH43" s="34">
        <v>0</v>
      </c>
      <c r="BI43" s="22"/>
      <c r="BJ43" s="34">
        <v>0</v>
      </c>
      <c r="BK43" s="22"/>
      <c r="BL43" s="34">
        <v>0</v>
      </c>
      <c r="BM43" s="22"/>
      <c r="BN43" s="34">
        <v>0</v>
      </c>
      <c r="BO43" s="22"/>
      <c r="BP43" s="34">
        <v>0</v>
      </c>
      <c r="BQ43" s="22"/>
      <c r="BR43" s="34">
        <v>0</v>
      </c>
      <c r="BS43" s="22"/>
    </row>
    <row r="44" spans="3:71" s="14" customFormat="1" outlineLevel="2" x14ac:dyDescent="0.25">
      <c r="D44" s="4" t="s">
        <v>93</v>
      </c>
      <c r="G44" s="21"/>
      <c r="N44" s="19"/>
      <c r="S44" s="20"/>
      <c r="U44" s="22"/>
      <c r="W44" s="22"/>
      <c r="X44" s="34"/>
      <c r="Y44" s="18" t="s">
        <v>80</v>
      </c>
      <c r="Z44" s="34">
        <v>1500</v>
      </c>
      <c r="AA44" s="18" t="s">
        <v>94</v>
      </c>
      <c r="AB44" s="34">
        <v>2722</v>
      </c>
      <c r="AC44" s="22"/>
      <c r="AD44" s="34">
        <v>0</v>
      </c>
      <c r="AE44" s="18" t="s">
        <v>75</v>
      </c>
      <c r="AF44" s="34">
        <v>16813</v>
      </c>
      <c r="AG44" s="18" t="s">
        <v>95</v>
      </c>
      <c r="AH44" s="34">
        <v>7260</v>
      </c>
      <c r="AI44" s="18" t="s">
        <v>96</v>
      </c>
      <c r="AJ44" s="34">
        <v>46781</v>
      </c>
      <c r="AK44" s="22"/>
      <c r="AL44" s="34">
        <v>0</v>
      </c>
      <c r="AM44" s="22"/>
      <c r="AN44" s="34">
        <v>0</v>
      </c>
      <c r="AO44" s="18" t="s">
        <v>97</v>
      </c>
      <c r="AP44" s="34">
        <v>24200</v>
      </c>
      <c r="AQ44" s="22"/>
      <c r="AR44" s="34">
        <v>0</v>
      </c>
      <c r="AS44" s="18" t="s">
        <v>98</v>
      </c>
      <c r="AT44" s="126">
        <v>1866</v>
      </c>
      <c r="AU44" s="22"/>
      <c r="AV44" s="34">
        <v>0</v>
      </c>
      <c r="AW44" s="22"/>
      <c r="AX44" s="34">
        <v>0</v>
      </c>
      <c r="AY44" s="22"/>
      <c r="AZ44" s="34">
        <v>0</v>
      </c>
      <c r="BA44" s="22"/>
      <c r="BB44" s="34">
        <v>0</v>
      </c>
      <c r="BC44" s="22"/>
      <c r="BD44" s="34">
        <v>0</v>
      </c>
      <c r="BE44" s="22"/>
      <c r="BF44" s="34">
        <v>0</v>
      </c>
      <c r="BG44" s="22"/>
      <c r="BH44" s="34">
        <v>0</v>
      </c>
      <c r="BI44" s="22"/>
      <c r="BJ44" s="34">
        <v>0</v>
      </c>
      <c r="BK44" s="22"/>
      <c r="BL44" s="34">
        <v>0</v>
      </c>
      <c r="BM44" s="22"/>
      <c r="BN44" s="34">
        <v>0</v>
      </c>
      <c r="BO44" s="22"/>
      <c r="BP44" s="34">
        <v>0</v>
      </c>
      <c r="BQ44" s="22"/>
      <c r="BR44" s="34">
        <v>0</v>
      </c>
      <c r="BS44" s="22"/>
    </row>
    <row r="45" spans="3:71" s="14" customFormat="1" outlineLevel="1" x14ac:dyDescent="0.25">
      <c r="C45" s="14" t="s">
        <v>99</v>
      </c>
      <c r="G45" s="21"/>
      <c r="N45" s="19"/>
      <c r="S45" s="20"/>
      <c r="U45" s="22"/>
      <c r="W45" s="22"/>
      <c r="Y45" s="22"/>
      <c r="Z45" s="14">
        <f>SUM(Z46:Z57)</f>
        <v>15500</v>
      </c>
      <c r="AA45" s="22"/>
      <c r="AB45" s="14">
        <f>SUM(AB46:AB57)</f>
        <v>28202</v>
      </c>
      <c r="AC45" s="22"/>
      <c r="AD45" s="14">
        <f>SUM(AD46:AD57)</f>
        <v>0</v>
      </c>
      <c r="AE45" s="18"/>
      <c r="AF45" s="14">
        <f>SUM(AF46:AF57)</f>
        <v>122888</v>
      </c>
      <c r="AG45" s="22"/>
      <c r="AH45" s="14">
        <f>SUM(AH46:AH57)</f>
        <v>52351</v>
      </c>
      <c r="AI45" s="18"/>
      <c r="AJ45" s="14">
        <f>SUM(AJ46:AJ57)</f>
        <v>100737</v>
      </c>
      <c r="AK45" s="22"/>
      <c r="AL45" s="14">
        <f>SUM(AL46:AL57)</f>
        <v>0</v>
      </c>
      <c r="AM45" s="22"/>
      <c r="AN45" s="14">
        <f>SUM(AN46:AN57)</f>
        <v>0</v>
      </c>
      <c r="AO45" s="22"/>
      <c r="AP45" s="14">
        <f>SUM(AP46:AP57)</f>
        <v>57595</v>
      </c>
      <c r="AQ45" s="22"/>
      <c r="AR45" s="14">
        <f>SUM(AR46:AR57)</f>
        <v>0</v>
      </c>
      <c r="AS45" s="22"/>
      <c r="AT45" s="125">
        <f>SUM(AT46:AT57)</f>
        <v>117120</v>
      </c>
      <c r="AU45" s="22"/>
      <c r="AV45" s="14">
        <f>SUM(AV46:AV57)</f>
        <v>0</v>
      </c>
      <c r="AW45" s="22"/>
      <c r="AX45" s="14">
        <f>SUM(AX46:AX57)</f>
        <v>0</v>
      </c>
      <c r="AY45" s="22"/>
      <c r="AZ45" s="14">
        <f>SUM(AZ46:AZ57)</f>
        <v>0</v>
      </c>
      <c r="BA45" s="22"/>
      <c r="BB45" s="14">
        <f>SUM(BB46:BB57)</f>
        <v>0</v>
      </c>
      <c r="BC45" s="22"/>
      <c r="BD45" s="14">
        <f>SUM(BD46:BD57)</f>
        <v>0</v>
      </c>
      <c r="BE45" s="22"/>
      <c r="BF45" s="14">
        <f>SUM(BF46:BF57)</f>
        <v>0</v>
      </c>
      <c r="BG45" s="22"/>
      <c r="BH45" s="14">
        <f>SUM(BH46:BH57)</f>
        <v>0</v>
      </c>
      <c r="BI45" s="22"/>
      <c r="BJ45" s="14">
        <f>SUM(BJ46:BJ48)</f>
        <v>0</v>
      </c>
      <c r="BK45" s="22"/>
      <c r="BL45" s="14">
        <f>SUM(BL46:BL48)</f>
        <v>0</v>
      </c>
      <c r="BM45" s="22"/>
      <c r="BN45" s="14">
        <f>SUM(BN46:BN48)</f>
        <v>0</v>
      </c>
      <c r="BO45" s="22"/>
      <c r="BP45" s="14">
        <f>SUM(BP46:BP48)</f>
        <v>0</v>
      </c>
      <c r="BQ45" s="22"/>
      <c r="BR45" s="14">
        <f>SUM(BR46:BR48)</f>
        <v>0</v>
      </c>
      <c r="BS45" s="22"/>
    </row>
    <row r="46" spans="3:71" s="14" customFormat="1" outlineLevel="2" x14ac:dyDescent="0.25">
      <c r="D46" s="4" t="s">
        <v>77</v>
      </c>
      <c r="G46" s="21"/>
      <c r="N46" s="19"/>
      <c r="S46" s="20"/>
      <c r="U46" s="22"/>
      <c r="W46" s="18" t="s">
        <v>78</v>
      </c>
      <c r="X46" s="34"/>
      <c r="Y46" s="18" t="s">
        <v>79</v>
      </c>
      <c r="Z46" s="34">
        <v>5000</v>
      </c>
      <c r="AA46" s="18" t="s">
        <v>80</v>
      </c>
      <c r="AB46" s="34">
        <v>1850</v>
      </c>
      <c r="AC46" s="22"/>
      <c r="AD46" s="34">
        <v>0</v>
      </c>
      <c r="AE46" s="18" t="s">
        <v>81</v>
      </c>
      <c r="AF46" s="34">
        <v>3630</v>
      </c>
      <c r="AG46" s="18" t="s">
        <v>82</v>
      </c>
      <c r="AH46" s="34">
        <v>2904</v>
      </c>
      <c r="AI46" s="18" t="s">
        <v>83</v>
      </c>
      <c r="AJ46" s="34">
        <v>3630</v>
      </c>
      <c r="AK46" s="22"/>
      <c r="AL46" s="34">
        <v>0</v>
      </c>
      <c r="AM46" s="22"/>
      <c r="AN46" s="34">
        <v>0</v>
      </c>
      <c r="AO46" s="18" t="s">
        <v>84</v>
      </c>
      <c r="AP46" s="34">
        <v>328</v>
      </c>
      <c r="AQ46" s="22"/>
      <c r="AR46" s="34">
        <v>0</v>
      </c>
      <c r="AS46" s="18" t="s">
        <v>100</v>
      </c>
      <c r="AT46" s="126">
        <v>7260</v>
      </c>
      <c r="AU46" s="22"/>
      <c r="AV46" s="34">
        <v>0</v>
      </c>
      <c r="AW46" s="22"/>
      <c r="AX46" s="34">
        <v>0</v>
      </c>
      <c r="AY46" s="22"/>
      <c r="AZ46" s="34">
        <v>0</v>
      </c>
      <c r="BA46" s="22"/>
      <c r="BB46" s="34">
        <v>0</v>
      </c>
      <c r="BC46" s="22"/>
      <c r="BD46" s="34">
        <v>0</v>
      </c>
      <c r="BE46" s="22"/>
      <c r="BF46" s="34">
        <v>0</v>
      </c>
      <c r="BG46" s="22"/>
      <c r="BH46" s="34">
        <v>0</v>
      </c>
      <c r="BI46" s="22"/>
      <c r="BJ46" s="34">
        <v>0</v>
      </c>
      <c r="BK46" s="22"/>
      <c r="BL46" s="34">
        <v>0</v>
      </c>
      <c r="BM46" s="22"/>
      <c r="BN46" s="34">
        <v>0</v>
      </c>
      <c r="BO46" s="22"/>
      <c r="BP46" s="34">
        <v>0</v>
      </c>
      <c r="BQ46" s="22"/>
      <c r="BR46" s="34">
        <v>0</v>
      </c>
      <c r="BS46" s="22"/>
    </row>
    <row r="47" spans="3:71" s="14" customFormat="1" outlineLevel="2" x14ac:dyDescent="0.25">
      <c r="D47" s="4" t="s">
        <v>86</v>
      </c>
      <c r="G47" s="21"/>
      <c r="N47" s="19"/>
      <c r="S47" s="20"/>
      <c r="U47" s="22"/>
      <c r="W47" s="18" t="s">
        <v>79</v>
      </c>
      <c r="X47" s="34"/>
      <c r="Y47" s="18" t="s">
        <v>87</v>
      </c>
      <c r="Z47" s="34">
        <v>4000</v>
      </c>
      <c r="AA47" s="18" t="s">
        <v>88</v>
      </c>
      <c r="AB47" s="34">
        <v>3630</v>
      </c>
      <c r="AC47" s="22"/>
      <c r="AD47" s="34">
        <v>0</v>
      </c>
      <c r="AE47" s="61" t="s">
        <v>89</v>
      </c>
      <c r="AF47" s="34">
        <v>24200</v>
      </c>
      <c r="AG47" s="18" t="s">
        <v>90</v>
      </c>
      <c r="AH47" s="34">
        <v>20165</v>
      </c>
      <c r="AI47" s="18" t="s">
        <v>91</v>
      </c>
      <c r="AJ47" s="34">
        <v>20165</v>
      </c>
      <c r="AK47" s="22"/>
      <c r="AL47" s="34">
        <v>0</v>
      </c>
      <c r="AM47" s="22"/>
      <c r="AN47" s="34">
        <v>0</v>
      </c>
      <c r="AO47" s="18" t="s">
        <v>84</v>
      </c>
      <c r="AP47" s="34">
        <v>9325</v>
      </c>
      <c r="AQ47" s="22"/>
      <c r="AR47" s="34">
        <v>0</v>
      </c>
      <c r="AS47" s="18" t="s">
        <v>101</v>
      </c>
      <c r="AT47" s="126">
        <v>1815</v>
      </c>
      <c r="AU47" s="22"/>
      <c r="AV47" s="34">
        <v>0</v>
      </c>
      <c r="AW47" s="22"/>
      <c r="AX47" s="34">
        <v>0</v>
      </c>
      <c r="AY47" s="22"/>
      <c r="AZ47" s="34">
        <v>0</v>
      </c>
      <c r="BA47" s="22"/>
      <c r="BB47" s="34">
        <v>0</v>
      </c>
      <c r="BC47" s="22"/>
      <c r="BD47" s="34">
        <v>0</v>
      </c>
      <c r="BE47" s="22"/>
      <c r="BF47" s="34">
        <v>0</v>
      </c>
      <c r="BG47" s="22"/>
      <c r="BH47" s="34">
        <v>0</v>
      </c>
      <c r="BI47" s="22"/>
      <c r="BJ47" s="34">
        <v>0</v>
      </c>
      <c r="BK47" s="22"/>
      <c r="BL47" s="34">
        <v>0</v>
      </c>
      <c r="BM47" s="22"/>
      <c r="BN47" s="34">
        <v>0</v>
      </c>
      <c r="BO47" s="22"/>
      <c r="BP47" s="34">
        <v>0</v>
      </c>
      <c r="BQ47" s="22"/>
      <c r="BR47" s="34">
        <v>0</v>
      </c>
      <c r="BS47" s="22"/>
    </row>
    <row r="48" spans="3:71" s="14" customFormat="1" outlineLevel="2" x14ac:dyDescent="0.25">
      <c r="D48" s="4" t="s">
        <v>93</v>
      </c>
      <c r="G48" s="21"/>
      <c r="N48" s="19"/>
      <c r="S48" s="20"/>
      <c r="U48" s="22"/>
      <c r="W48" s="22"/>
      <c r="X48" s="34"/>
      <c r="Y48" s="18" t="s">
        <v>80</v>
      </c>
      <c r="Z48" s="34">
        <v>1500</v>
      </c>
      <c r="AA48" s="18" t="s">
        <v>94</v>
      </c>
      <c r="AB48" s="34">
        <v>2722</v>
      </c>
      <c r="AC48" s="22"/>
      <c r="AD48" s="34">
        <v>0</v>
      </c>
      <c r="AE48" s="18" t="s">
        <v>75</v>
      </c>
      <c r="AF48" s="34">
        <v>16813</v>
      </c>
      <c r="AG48" s="18" t="s">
        <v>95</v>
      </c>
      <c r="AH48" s="34">
        <v>7260</v>
      </c>
      <c r="AI48" s="18" t="s">
        <v>96</v>
      </c>
      <c r="AJ48" s="34">
        <v>46781</v>
      </c>
      <c r="AK48" s="22"/>
      <c r="AL48" s="34">
        <v>0</v>
      </c>
      <c r="AM48" s="22"/>
      <c r="AN48" s="34">
        <v>0</v>
      </c>
      <c r="AO48" s="18" t="s">
        <v>97</v>
      </c>
      <c r="AP48" s="34">
        <v>24200</v>
      </c>
      <c r="AQ48" s="22"/>
      <c r="AR48" s="34">
        <v>0</v>
      </c>
      <c r="AS48" s="18" t="s">
        <v>102</v>
      </c>
      <c r="AT48" s="126">
        <v>9680</v>
      </c>
      <c r="AU48" s="22"/>
      <c r="AV48" s="34">
        <v>0</v>
      </c>
      <c r="AW48" s="22"/>
      <c r="AX48" s="34">
        <v>0</v>
      </c>
      <c r="AY48" s="22"/>
      <c r="AZ48" s="34">
        <v>0</v>
      </c>
      <c r="BA48" s="22"/>
      <c r="BB48" s="34">
        <v>0</v>
      </c>
      <c r="BC48" s="22"/>
      <c r="BD48" s="34">
        <v>0</v>
      </c>
      <c r="BE48" s="22"/>
      <c r="BF48" s="34">
        <v>0</v>
      </c>
      <c r="BG48" s="22"/>
      <c r="BH48" s="34">
        <v>0</v>
      </c>
      <c r="BI48" s="22"/>
      <c r="BJ48" s="34">
        <v>0</v>
      </c>
      <c r="BK48" s="22"/>
      <c r="BL48" s="34">
        <v>0</v>
      </c>
      <c r="BM48" s="22"/>
      <c r="BN48" s="34">
        <v>0</v>
      </c>
      <c r="BO48" s="22"/>
      <c r="BP48" s="34">
        <v>0</v>
      </c>
      <c r="BQ48" s="22"/>
      <c r="BR48" s="34">
        <v>0</v>
      </c>
      <c r="BS48" s="22"/>
    </row>
    <row r="49" spans="3:71" s="14" customFormat="1" outlineLevel="2" x14ac:dyDescent="0.25">
      <c r="D49" s="4" t="s">
        <v>103</v>
      </c>
      <c r="G49" s="21"/>
      <c r="N49" s="19"/>
      <c r="S49" s="20"/>
      <c r="U49" s="22"/>
      <c r="W49" s="22"/>
      <c r="X49" s="34"/>
      <c r="Y49" s="18" t="s">
        <v>104</v>
      </c>
      <c r="Z49" s="34">
        <v>5000</v>
      </c>
      <c r="AA49" s="18" t="s">
        <v>89</v>
      </c>
      <c r="AB49" s="34">
        <v>20000</v>
      </c>
      <c r="AC49" s="22"/>
      <c r="AD49" s="34">
        <v>0</v>
      </c>
      <c r="AE49" s="18" t="s">
        <v>105</v>
      </c>
      <c r="AF49" s="34">
        <v>20165</v>
      </c>
      <c r="AG49" s="18" t="s">
        <v>106</v>
      </c>
      <c r="AH49" s="34">
        <v>242</v>
      </c>
      <c r="AI49" s="18" t="s">
        <v>107</v>
      </c>
      <c r="AJ49" s="34">
        <v>4211</v>
      </c>
      <c r="AK49" s="22"/>
      <c r="AL49" s="34">
        <v>0</v>
      </c>
      <c r="AM49" s="22"/>
      <c r="AN49" s="34">
        <v>0</v>
      </c>
      <c r="AO49" s="18" t="s">
        <v>108</v>
      </c>
      <c r="AP49" s="34">
        <v>4297</v>
      </c>
      <c r="AQ49" s="22"/>
      <c r="AR49" s="34">
        <v>0</v>
      </c>
      <c r="AS49" s="18" t="s">
        <v>109</v>
      </c>
      <c r="AT49" s="126">
        <v>4840</v>
      </c>
      <c r="AU49" s="22"/>
      <c r="AV49" s="34">
        <v>0</v>
      </c>
      <c r="AW49" s="22"/>
      <c r="AX49" s="34">
        <v>0</v>
      </c>
      <c r="AY49" s="22"/>
      <c r="AZ49" s="34">
        <v>0</v>
      </c>
      <c r="BA49" s="22"/>
      <c r="BB49" s="34">
        <v>0</v>
      </c>
      <c r="BC49" s="22"/>
      <c r="BD49" s="34">
        <v>0</v>
      </c>
      <c r="BE49" s="22"/>
      <c r="BF49" s="34">
        <v>0</v>
      </c>
      <c r="BG49" s="22"/>
      <c r="BH49" s="34">
        <v>0</v>
      </c>
      <c r="BI49" s="22"/>
      <c r="BJ49" s="34">
        <v>0</v>
      </c>
      <c r="BK49" s="22"/>
      <c r="BL49" s="34">
        <v>0</v>
      </c>
      <c r="BM49" s="22"/>
      <c r="BN49" s="34">
        <v>0</v>
      </c>
      <c r="BO49" s="22"/>
      <c r="BP49" s="34">
        <v>0</v>
      </c>
      <c r="BQ49" s="22"/>
      <c r="BR49" s="34">
        <v>0</v>
      </c>
      <c r="BS49" s="22"/>
    </row>
    <row r="50" spans="3:71" s="14" customFormat="1" outlineLevel="2" x14ac:dyDescent="0.25">
      <c r="D50" s="4" t="s">
        <v>110</v>
      </c>
      <c r="G50" s="21"/>
      <c r="N50" s="19"/>
      <c r="S50" s="20"/>
      <c r="U50" s="22"/>
      <c r="W50" s="22"/>
      <c r="X50" s="34"/>
      <c r="Y50" s="22"/>
      <c r="Z50" s="34">
        <v>0</v>
      </c>
      <c r="AA50" s="22"/>
      <c r="AB50" s="34">
        <v>0</v>
      </c>
      <c r="AC50" s="22"/>
      <c r="AD50" s="34">
        <v>0</v>
      </c>
      <c r="AE50" s="61" t="s">
        <v>111</v>
      </c>
      <c r="AF50" s="34">
        <v>48400</v>
      </c>
      <c r="AG50" s="18" t="s">
        <v>112</v>
      </c>
      <c r="AH50" s="34">
        <v>7260</v>
      </c>
      <c r="AI50" s="18" t="s">
        <v>113</v>
      </c>
      <c r="AJ50" s="34">
        <v>6000</v>
      </c>
      <c r="AK50" s="22"/>
      <c r="AL50" s="34">
        <v>0</v>
      </c>
      <c r="AM50" s="22"/>
      <c r="AN50" s="34">
        <v>0</v>
      </c>
      <c r="AO50" s="18" t="s">
        <v>114</v>
      </c>
      <c r="AP50" s="34">
        <v>8000</v>
      </c>
      <c r="AQ50" s="22"/>
      <c r="AR50" s="34">
        <v>0</v>
      </c>
      <c r="AS50" s="18" t="s">
        <v>75</v>
      </c>
      <c r="AT50" s="126">
        <v>33750</v>
      </c>
      <c r="AU50" s="22"/>
      <c r="AV50" s="34">
        <v>0</v>
      </c>
      <c r="AW50" s="22"/>
      <c r="AX50" s="34">
        <v>0</v>
      </c>
      <c r="AY50" s="22"/>
      <c r="AZ50" s="34">
        <v>0</v>
      </c>
      <c r="BA50" s="22"/>
      <c r="BB50" s="34">
        <v>0</v>
      </c>
      <c r="BC50" s="22"/>
      <c r="BD50" s="34">
        <v>0</v>
      </c>
      <c r="BE50" s="22"/>
      <c r="BF50" s="34">
        <v>0</v>
      </c>
      <c r="BG50" s="22"/>
      <c r="BH50" s="34">
        <v>0</v>
      </c>
      <c r="BI50" s="22"/>
      <c r="BJ50" s="34">
        <v>0</v>
      </c>
      <c r="BK50" s="22"/>
      <c r="BL50" s="34">
        <v>0</v>
      </c>
      <c r="BM50" s="22"/>
      <c r="BN50" s="34">
        <v>0</v>
      </c>
      <c r="BO50" s="22"/>
      <c r="BP50" s="34">
        <v>0</v>
      </c>
      <c r="BQ50" s="22"/>
      <c r="BR50" s="34">
        <v>0</v>
      </c>
      <c r="BS50" s="22"/>
    </row>
    <row r="51" spans="3:71" s="14" customFormat="1" outlineLevel="2" x14ac:dyDescent="0.25">
      <c r="D51" s="4" t="s">
        <v>115</v>
      </c>
      <c r="G51" s="21"/>
      <c r="N51" s="19"/>
      <c r="S51" s="20"/>
      <c r="U51" s="22"/>
      <c r="W51" s="22"/>
      <c r="X51" s="34"/>
      <c r="Y51" s="22"/>
      <c r="Z51" s="34">
        <v>0</v>
      </c>
      <c r="AA51" s="22"/>
      <c r="AB51" s="34">
        <v>0</v>
      </c>
      <c r="AC51" s="22"/>
      <c r="AD51" s="34">
        <v>0</v>
      </c>
      <c r="AE51" s="18" t="s">
        <v>116</v>
      </c>
      <c r="AF51" s="34">
        <v>9680</v>
      </c>
      <c r="AG51" s="18" t="s">
        <v>117</v>
      </c>
      <c r="AH51" s="34">
        <v>10890</v>
      </c>
      <c r="AI51" s="18" t="s">
        <v>114</v>
      </c>
      <c r="AJ51" s="34">
        <v>7260</v>
      </c>
      <c r="AK51" s="22"/>
      <c r="AL51" s="34">
        <v>0</v>
      </c>
      <c r="AM51" s="22"/>
      <c r="AN51" s="34">
        <v>0</v>
      </c>
      <c r="AO51" s="18" t="s">
        <v>118</v>
      </c>
      <c r="AP51" s="34">
        <v>1815</v>
      </c>
      <c r="AQ51" s="22"/>
      <c r="AR51" s="34">
        <v>0</v>
      </c>
      <c r="AS51" s="18" t="s">
        <v>75</v>
      </c>
      <c r="AT51" s="126">
        <v>42187</v>
      </c>
      <c r="AU51" s="22"/>
      <c r="AV51" s="34">
        <v>0</v>
      </c>
      <c r="AW51" s="22"/>
      <c r="AX51" s="34">
        <v>0</v>
      </c>
      <c r="AY51" s="22"/>
      <c r="AZ51" s="34">
        <v>0</v>
      </c>
      <c r="BA51" s="22"/>
      <c r="BB51" s="34">
        <v>0</v>
      </c>
      <c r="BC51" s="22"/>
      <c r="BD51" s="34">
        <v>0</v>
      </c>
      <c r="BE51" s="22"/>
      <c r="BF51" s="34">
        <v>0</v>
      </c>
      <c r="BG51" s="22"/>
      <c r="BH51" s="34">
        <v>0</v>
      </c>
      <c r="BI51" s="22"/>
      <c r="BJ51" s="34">
        <v>0</v>
      </c>
      <c r="BK51" s="22"/>
      <c r="BL51" s="34">
        <v>0</v>
      </c>
      <c r="BM51" s="22"/>
      <c r="BN51" s="34">
        <v>0</v>
      </c>
      <c r="BO51" s="22"/>
      <c r="BP51" s="34">
        <v>0</v>
      </c>
      <c r="BQ51" s="22"/>
      <c r="BR51" s="34">
        <v>0</v>
      </c>
      <c r="BS51" s="22"/>
    </row>
    <row r="52" spans="3:71" s="14" customFormat="1" outlineLevel="2" x14ac:dyDescent="0.25">
      <c r="D52" s="4" t="s">
        <v>119</v>
      </c>
      <c r="G52" s="21"/>
      <c r="N52" s="19"/>
      <c r="S52" s="20"/>
      <c r="U52" s="22"/>
      <c r="W52" s="22"/>
      <c r="X52" s="34"/>
      <c r="Y52" s="22"/>
      <c r="Z52" s="34"/>
      <c r="AA52" s="22"/>
      <c r="AB52" s="34">
        <v>0</v>
      </c>
      <c r="AC52" s="22"/>
      <c r="AD52" s="34">
        <v>0</v>
      </c>
      <c r="AE52" s="18"/>
      <c r="AF52" s="34">
        <v>0</v>
      </c>
      <c r="AG52" s="18" t="s">
        <v>120</v>
      </c>
      <c r="AH52" s="34">
        <v>3630</v>
      </c>
      <c r="AI52" s="18" t="s">
        <v>121</v>
      </c>
      <c r="AJ52" s="34">
        <v>7865</v>
      </c>
      <c r="AK52" s="22"/>
      <c r="AL52" s="34">
        <v>0</v>
      </c>
      <c r="AM52" s="22"/>
      <c r="AN52" s="34">
        <v>0</v>
      </c>
      <c r="AO52" s="18" t="s">
        <v>122</v>
      </c>
      <c r="AP52" s="34">
        <v>3630</v>
      </c>
      <c r="AQ52" s="22"/>
      <c r="AR52" s="34">
        <v>0</v>
      </c>
      <c r="AS52" s="18" t="s">
        <v>123</v>
      </c>
      <c r="AT52" s="126">
        <v>328</v>
      </c>
      <c r="AU52" s="22"/>
      <c r="AV52" s="34">
        <v>0</v>
      </c>
      <c r="AW52" s="22"/>
      <c r="AX52" s="34">
        <v>0</v>
      </c>
      <c r="AY52" s="22"/>
      <c r="AZ52" s="34">
        <v>0</v>
      </c>
      <c r="BA52" s="22"/>
      <c r="BB52" s="34">
        <v>0</v>
      </c>
      <c r="BC52" s="22"/>
      <c r="BD52" s="34">
        <v>0</v>
      </c>
      <c r="BE52" s="22"/>
      <c r="BF52" s="34">
        <v>0</v>
      </c>
      <c r="BG52" s="22"/>
      <c r="BH52" s="34">
        <v>0</v>
      </c>
      <c r="BI52" s="22"/>
      <c r="BJ52" s="34">
        <v>0</v>
      </c>
      <c r="BK52" s="22"/>
      <c r="BL52" s="34">
        <v>0</v>
      </c>
      <c r="BM52" s="22"/>
      <c r="BN52" s="34">
        <v>0</v>
      </c>
      <c r="BO52" s="22"/>
      <c r="BP52" s="34">
        <v>0</v>
      </c>
      <c r="BQ52" s="22"/>
      <c r="BR52" s="34">
        <v>0</v>
      </c>
      <c r="BS52" s="22"/>
    </row>
    <row r="53" spans="3:71" s="14" customFormat="1" outlineLevel="2" x14ac:dyDescent="0.25">
      <c r="D53" s="4" t="s">
        <v>124</v>
      </c>
      <c r="G53" s="21"/>
      <c r="N53" s="19"/>
      <c r="S53" s="20"/>
      <c r="U53" s="22"/>
      <c r="W53" s="22"/>
      <c r="X53" s="34"/>
      <c r="Y53" s="22"/>
      <c r="Z53" s="34"/>
      <c r="AA53" s="22"/>
      <c r="AB53" s="34">
        <v>0</v>
      </c>
      <c r="AC53" s="22"/>
      <c r="AD53" s="34">
        <v>0</v>
      </c>
      <c r="AE53" s="18"/>
      <c r="AF53" s="34">
        <v>0</v>
      </c>
      <c r="AG53" s="22"/>
      <c r="AH53" s="34">
        <v>0</v>
      </c>
      <c r="AI53" s="18" t="s">
        <v>125</v>
      </c>
      <c r="AJ53" s="34">
        <v>4825</v>
      </c>
      <c r="AK53" s="22"/>
      <c r="AL53" s="34">
        <v>0</v>
      </c>
      <c r="AM53" s="22"/>
      <c r="AN53" s="34">
        <v>0</v>
      </c>
      <c r="AO53" s="22" t="s">
        <v>126</v>
      </c>
      <c r="AP53" s="34">
        <v>6000</v>
      </c>
      <c r="AQ53" s="22"/>
      <c r="AR53" s="34">
        <v>0</v>
      </c>
      <c r="AS53" s="18" t="s">
        <v>127</v>
      </c>
      <c r="AT53" s="126">
        <v>10000</v>
      </c>
      <c r="AU53" s="22"/>
      <c r="AV53" s="34">
        <v>0</v>
      </c>
      <c r="AW53" s="22"/>
      <c r="AX53" s="34">
        <v>0</v>
      </c>
      <c r="AY53" s="22"/>
      <c r="AZ53" s="34">
        <v>0</v>
      </c>
      <c r="BA53" s="22"/>
      <c r="BB53" s="34">
        <v>0</v>
      </c>
      <c r="BC53" s="22"/>
      <c r="BD53" s="34">
        <v>0</v>
      </c>
      <c r="BE53" s="22"/>
      <c r="BF53" s="34">
        <v>0</v>
      </c>
      <c r="BG53" s="22"/>
      <c r="BH53" s="34">
        <v>0</v>
      </c>
      <c r="BI53" s="22"/>
      <c r="BJ53" s="34">
        <v>0</v>
      </c>
      <c r="BK53" s="22"/>
      <c r="BL53" s="34">
        <v>0</v>
      </c>
      <c r="BM53" s="22"/>
      <c r="BN53" s="34">
        <v>0</v>
      </c>
      <c r="BO53" s="22"/>
      <c r="BP53" s="34">
        <v>0</v>
      </c>
      <c r="BQ53" s="22"/>
      <c r="BR53" s="34">
        <v>0</v>
      </c>
      <c r="BS53" s="22"/>
    </row>
    <row r="54" spans="3:71" s="14" customFormat="1" outlineLevel="2" x14ac:dyDescent="0.25">
      <c r="D54" s="4" t="s">
        <v>128</v>
      </c>
      <c r="G54" s="21"/>
      <c r="N54" s="19"/>
      <c r="S54" s="20"/>
      <c r="U54" s="22"/>
      <c r="W54" s="22"/>
      <c r="X54" s="34"/>
      <c r="Y54" s="22"/>
      <c r="Z54" s="34"/>
      <c r="AA54" s="22"/>
      <c r="AB54" s="34">
        <v>0</v>
      </c>
      <c r="AC54" s="22"/>
      <c r="AD54" s="34">
        <v>0</v>
      </c>
      <c r="AE54" s="18"/>
      <c r="AF54" s="34">
        <v>0</v>
      </c>
      <c r="AG54" s="22"/>
      <c r="AH54" s="34">
        <v>0</v>
      </c>
      <c r="AI54" s="22"/>
      <c r="AJ54" s="34">
        <v>0</v>
      </c>
      <c r="AK54" s="22"/>
      <c r="AL54" s="34">
        <v>0</v>
      </c>
      <c r="AM54" s="22"/>
      <c r="AN54" s="34">
        <v>0</v>
      </c>
      <c r="AO54" s="22"/>
      <c r="AP54" s="34">
        <v>0</v>
      </c>
      <c r="AQ54" s="22"/>
      <c r="AR54" s="34">
        <v>0</v>
      </c>
      <c r="AS54" s="18" t="s">
        <v>129</v>
      </c>
      <c r="AT54" s="126">
        <v>7260</v>
      </c>
      <c r="AU54" s="22"/>
      <c r="AV54" s="34">
        <v>0</v>
      </c>
      <c r="AW54" s="22"/>
      <c r="AX54" s="34">
        <v>0</v>
      </c>
      <c r="AY54" s="22"/>
      <c r="AZ54" s="34">
        <v>0</v>
      </c>
      <c r="BA54" s="22"/>
      <c r="BB54" s="34">
        <v>0</v>
      </c>
      <c r="BC54" s="22"/>
      <c r="BD54" s="34">
        <v>0</v>
      </c>
      <c r="BE54" s="22"/>
      <c r="BF54" s="34">
        <v>0</v>
      </c>
      <c r="BG54" s="22"/>
      <c r="BH54" s="34">
        <v>0</v>
      </c>
      <c r="BI54" s="22"/>
      <c r="BJ54" s="34">
        <v>0</v>
      </c>
      <c r="BK54" s="22"/>
      <c r="BL54" s="34">
        <v>0</v>
      </c>
      <c r="BM54" s="22"/>
      <c r="BN54" s="34">
        <v>0</v>
      </c>
      <c r="BO54" s="22"/>
      <c r="BP54" s="34">
        <v>0</v>
      </c>
      <c r="BQ54" s="22"/>
      <c r="BR54" s="34">
        <v>0</v>
      </c>
      <c r="BS54" s="22"/>
    </row>
    <row r="55" spans="3:71" s="14" customFormat="1" outlineLevel="2" x14ac:dyDescent="0.25">
      <c r="D55" s="4"/>
      <c r="G55" s="21"/>
      <c r="N55" s="19"/>
      <c r="S55" s="20"/>
      <c r="U55" s="22"/>
      <c r="W55" s="22"/>
      <c r="X55" s="34"/>
      <c r="Y55" s="22"/>
      <c r="Z55" s="34"/>
      <c r="AA55" s="22"/>
      <c r="AB55" s="34"/>
      <c r="AC55" s="22"/>
      <c r="AD55" s="34"/>
      <c r="AE55" s="18"/>
      <c r="AF55" s="34"/>
      <c r="AG55" s="22"/>
      <c r="AH55" s="34"/>
      <c r="AI55" s="22"/>
      <c r="AJ55" s="34"/>
      <c r="AK55" s="22"/>
      <c r="AL55" s="34"/>
      <c r="AM55" s="22"/>
      <c r="AN55" s="34"/>
      <c r="AO55" s="22"/>
      <c r="AP55" s="34"/>
      <c r="AQ55" s="22"/>
      <c r="AR55" s="34"/>
      <c r="AS55" s="22"/>
      <c r="AT55" s="126">
        <v>0</v>
      </c>
      <c r="AU55" s="22"/>
      <c r="AV55" s="34">
        <v>0</v>
      </c>
      <c r="AW55" s="22"/>
      <c r="AX55" s="34"/>
      <c r="AY55" s="22"/>
      <c r="AZ55" s="34"/>
      <c r="BA55" s="22"/>
      <c r="BB55" s="34"/>
      <c r="BC55" s="22"/>
      <c r="BD55" s="34"/>
      <c r="BE55" s="22"/>
      <c r="BF55" s="34"/>
      <c r="BG55" s="22"/>
      <c r="BH55" s="34"/>
      <c r="BI55" s="22"/>
      <c r="BJ55" s="34"/>
      <c r="BK55" s="22"/>
      <c r="BL55" s="34"/>
      <c r="BM55" s="22"/>
      <c r="BN55" s="34"/>
      <c r="BO55" s="22"/>
      <c r="BP55" s="34"/>
      <c r="BQ55" s="22"/>
      <c r="BR55" s="34"/>
      <c r="BS55" s="22"/>
    </row>
    <row r="56" spans="3:71" s="14" customFormat="1" outlineLevel="2" x14ac:dyDescent="0.25">
      <c r="D56" s="4"/>
      <c r="G56" s="21"/>
      <c r="N56" s="19"/>
      <c r="S56" s="20"/>
      <c r="U56" s="22"/>
      <c r="W56" s="22"/>
      <c r="X56" s="34"/>
      <c r="Y56" s="22"/>
      <c r="Z56" s="34"/>
      <c r="AA56" s="22"/>
      <c r="AB56" s="34"/>
      <c r="AC56" s="22"/>
      <c r="AD56" s="34"/>
      <c r="AE56" s="18"/>
      <c r="AF56" s="34"/>
      <c r="AG56" s="22"/>
      <c r="AH56" s="34"/>
      <c r="AI56" s="22"/>
      <c r="AJ56" s="34"/>
      <c r="AK56" s="22"/>
      <c r="AL56" s="34"/>
      <c r="AM56" s="22"/>
      <c r="AN56" s="34"/>
      <c r="AO56" s="22"/>
      <c r="AP56" s="34"/>
      <c r="AQ56" s="22"/>
      <c r="AR56" s="34"/>
      <c r="AS56" s="22"/>
      <c r="AT56" s="126">
        <v>0</v>
      </c>
      <c r="AU56" s="22"/>
      <c r="AV56" s="34">
        <v>0</v>
      </c>
      <c r="AW56" s="22"/>
      <c r="AX56" s="34"/>
      <c r="AY56" s="22"/>
      <c r="AZ56" s="34"/>
      <c r="BA56" s="22"/>
      <c r="BB56" s="34"/>
      <c r="BC56" s="22"/>
      <c r="BD56" s="34"/>
      <c r="BE56" s="22"/>
      <c r="BF56" s="34"/>
      <c r="BG56" s="22"/>
      <c r="BH56" s="34"/>
      <c r="BI56" s="22"/>
      <c r="BJ56" s="34"/>
      <c r="BK56" s="22"/>
      <c r="BL56" s="34"/>
      <c r="BM56" s="22"/>
      <c r="BN56" s="34"/>
      <c r="BO56" s="22"/>
      <c r="BP56" s="34"/>
      <c r="BQ56" s="22"/>
      <c r="BR56" s="34"/>
      <c r="BS56" s="22"/>
    </row>
    <row r="57" spans="3:71" s="14" customFormat="1" outlineLevel="2" x14ac:dyDescent="0.25">
      <c r="D57" s="4" t="s">
        <v>130</v>
      </c>
      <c r="G57" s="21"/>
      <c r="N57" s="19"/>
      <c r="S57" s="20"/>
      <c r="U57" s="22"/>
      <c r="W57" s="22"/>
      <c r="X57" s="34"/>
      <c r="Y57" s="22"/>
      <c r="Z57" s="34">
        <v>0</v>
      </c>
      <c r="AA57" s="22"/>
      <c r="AB57" s="34">
        <v>0</v>
      </c>
      <c r="AC57" s="22"/>
      <c r="AD57" s="34">
        <v>0</v>
      </c>
      <c r="AE57" s="18"/>
      <c r="AF57" s="34">
        <v>0</v>
      </c>
      <c r="AG57" s="22"/>
      <c r="AH57" s="34">
        <v>0</v>
      </c>
      <c r="AI57" s="22"/>
      <c r="AJ57" s="34">
        <v>0</v>
      </c>
      <c r="AK57" s="22"/>
      <c r="AL57" s="34">
        <v>0</v>
      </c>
      <c r="AM57" s="22"/>
      <c r="AN57" s="34">
        <v>0</v>
      </c>
      <c r="AO57" s="22"/>
      <c r="AP57" s="34">
        <v>0</v>
      </c>
      <c r="AQ57" s="22"/>
      <c r="AR57" s="34">
        <v>0</v>
      </c>
      <c r="AS57" s="22"/>
      <c r="AT57" s="126">
        <v>0</v>
      </c>
      <c r="AU57" s="22"/>
      <c r="AV57" s="34">
        <v>0</v>
      </c>
      <c r="AW57" s="22"/>
      <c r="AX57" s="34">
        <v>0</v>
      </c>
      <c r="AY57" s="22"/>
      <c r="AZ57" s="34">
        <v>0</v>
      </c>
      <c r="BA57" s="22"/>
      <c r="BB57" s="34">
        <v>0</v>
      </c>
      <c r="BC57" s="22"/>
      <c r="BD57" s="34">
        <v>0</v>
      </c>
      <c r="BE57" s="22"/>
      <c r="BF57" s="34">
        <v>0</v>
      </c>
      <c r="BG57" s="22"/>
      <c r="BH57" s="34">
        <v>0</v>
      </c>
      <c r="BI57" s="22"/>
      <c r="BJ57" s="34">
        <v>0</v>
      </c>
      <c r="BK57" s="22"/>
      <c r="BL57" s="34">
        <v>0</v>
      </c>
      <c r="BM57" s="22"/>
      <c r="BN57" s="34">
        <v>0</v>
      </c>
      <c r="BO57" s="22"/>
      <c r="BP57" s="34">
        <v>0</v>
      </c>
      <c r="BQ57" s="22"/>
      <c r="BR57" s="34">
        <v>0</v>
      </c>
      <c r="BS57" s="22"/>
    </row>
    <row r="58" spans="3:71" s="14" customFormat="1" outlineLevel="1" x14ac:dyDescent="0.25">
      <c r="C58" s="14" t="s">
        <v>131</v>
      </c>
      <c r="G58" s="21"/>
      <c r="N58" s="19"/>
      <c r="S58" s="20"/>
      <c r="U58" s="22"/>
      <c r="W58" s="22"/>
      <c r="Y58" s="22"/>
      <c r="Z58" s="14">
        <f>SUM(Z60:Z62)</f>
        <v>123071</v>
      </c>
      <c r="AA58" s="22"/>
      <c r="AB58" s="14">
        <f>SUM(AB59:AB62)</f>
        <v>166017</v>
      </c>
      <c r="AC58" s="22"/>
      <c r="AD58" s="14">
        <f>SUM(AD59:AD62)</f>
        <v>0</v>
      </c>
      <c r="AE58" s="18"/>
      <c r="AF58" s="14">
        <f>SUM(AF59:AF62)</f>
        <v>110112.29000000001</v>
      </c>
      <c r="AG58" s="22"/>
      <c r="AH58" s="14">
        <f>SUM(AH59:AH62)</f>
        <v>187446</v>
      </c>
      <c r="AI58" s="22"/>
      <c r="AJ58" s="14">
        <f>SUM(AJ59:AJ62)</f>
        <v>179014</v>
      </c>
      <c r="AK58" s="22"/>
      <c r="AL58" s="14">
        <f>SUM(AL59:AL62)</f>
        <v>0</v>
      </c>
      <c r="AM58" s="22"/>
      <c r="AN58" s="14">
        <f>SUM(AN59:AN62)</f>
        <v>0</v>
      </c>
      <c r="AO58" s="22"/>
      <c r="AP58" s="14">
        <f>SUM(AP59:AP62)</f>
        <v>374248</v>
      </c>
      <c r="AQ58" s="22"/>
      <c r="AR58" s="14">
        <f>SUM(AR60:AR62)</f>
        <v>0</v>
      </c>
      <c r="AS58" s="22" t="s">
        <v>132</v>
      </c>
      <c r="AT58" s="125">
        <f>SUM(AT59:AT63)</f>
        <v>671512</v>
      </c>
      <c r="AU58" s="22"/>
      <c r="AV58" s="14">
        <f>SUM(AV60:AV62)</f>
        <v>0</v>
      </c>
      <c r="AW58" s="22"/>
      <c r="AX58" s="14">
        <f>SUM(AX60:AX62)</f>
        <v>0</v>
      </c>
      <c r="AY58" s="22"/>
      <c r="AZ58" s="14">
        <f>SUM(AZ60:AZ62)</f>
        <v>0</v>
      </c>
      <c r="BA58" s="22"/>
      <c r="BB58" s="14">
        <f>SUM(BB60:BB62)</f>
        <v>0</v>
      </c>
      <c r="BC58" s="22"/>
      <c r="BD58" s="14">
        <f>SUM(BD60:BD62)</f>
        <v>0</v>
      </c>
      <c r="BE58" s="22"/>
      <c r="BF58" s="14">
        <f>SUM(BF60:BF62)</f>
        <v>0</v>
      </c>
      <c r="BG58" s="22"/>
      <c r="BH58" s="14">
        <f>SUM(BH60:BH62)</f>
        <v>0</v>
      </c>
      <c r="BI58" s="22"/>
      <c r="BJ58" s="14">
        <f>SUM(BJ60:BJ62)</f>
        <v>0</v>
      </c>
      <c r="BK58" s="22"/>
      <c r="BL58" s="14">
        <f>SUM(BL60:BL62)</f>
        <v>0</v>
      </c>
      <c r="BM58" s="22"/>
      <c r="BN58" s="14">
        <f>SUM(BN60:BN62)</f>
        <v>0</v>
      </c>
      <c r="BO58" s="22"/>
      <c r="BP58" s="14">
        <f>SUM(BP60:BP62)</f>
        <v>0</v>
      </c>
      <c r="BQ58" s="22"/>
      <c r="BR58" s="14">
        <f>SUM(BR60:BR62)</f>
        <v>0</v>
      </c>
      <c r="BS58" s="22"/>
    </row>
    <row r="59" spans="3:71" s="14" customFormat="1" outlineLevel="2" x14ac:dyDescent="0.25">
      <c r="D59" s="4" t="s">
        <v>7</v>
      </c>
      <c r="G59" s="21"/>
      <c r="N59" s="19"/>
      <c r="S59" s="20"/>
      <c r="U59" s="22"/>
      <c r="W59" s="22"/>
      <c r="X59" s="34"/>
      <c r="Y59" s="22"/>
      <c r="Z59" s="34">
        <v>11875</v>
      </c>
      <c r="AA59" s="22"/>
      <c r="AB59" s="34">
        <v>1718</v>
      </c>
      <c r="AC59" s="22"/>
      <c r="AD59" s="34">
        <v>0</v>
      </c>
      <c r="AE59" s="18"/>
      <c r="AF59" s="34">
        <v>1760</v>
      </c>
      <c r="AG59" s="22"/>
      <c r="AH59" s="34">
        <v>1628</v>
      </c>
      <c r="AI59" s="22"/>
      <c r="AJ59" s="34">
        <v>17997</v>
      </c>
      <c r="AK59" s="22"/>
      <c r="AL59" s="34">
        <v>0</v>
      </c>
      <c r="AM59" s="22"/>
      <c r="AN59" s="34">
        <v>0</v>
      </c>
      <c r="AO59" s="22"/>
      <c r="AP59" s="34">
        <v>42650</v>
      </c>
      <c r="AQ59" s="22"/>
      <c r="AR59" s="34">
        <v>0</v>
      </c>
      <c r="AS59" s="22"/>
      <c r="AT59" s="126">
        <v>26916</v>
      </c>
      <c r="AU59" s="22"/>
      <c r="AV59" s="34">
        <v>0</v>
      </c>
      <c r="AW59" s="22"/>
      <c r="AX59" s="34">
        <v>0</v>
      </c>
      <c r="AY59" s="22"/>
      <c r="AZ59" s="34">
        <v>0</v>
      </c>
      <c r="BA59" s="22"/>
      <c r="BB59" s="34">
        <v>0</v>
      </c>
      <c r="BC59" s="22"/>
      <c r="BD59" s="34">
        <v>0</v>
      </c>
      <c r="BE59" s="22"/>
      <c r="BF59" s="34">
        <v>0</v>
      </c>
      <c r="BG59" s="22"/>
      <c r="BH59" s="34">
        <v>0</v>
      </c>
      <c r="BI59" s="22"/>
      <c r="BJ59" s="34">
        <v>0</v>
      </c>
      <c r="BK59" s="22"/>
      <c r="BL59" s="34">
        <v>0</v>
      </c>
      <c r="BM59" s="22"/>
      <c r="BN59" s="34">
        <v>0</v>
      </c>
      <c r="BO59" s="22"/>
      <c r="BP59" s="34">
        <v>0</v>
      </c>
      <c r="BQ59" s="22"/>
      <c r="BR59" s="34">
        <v>0</v>
      </c>
      <c r="BS59" s="22"/>
    </row>
    <row r="60" spans="3:71" s="14" customFormat="1" outlineLevel="2" x14ac:dyDescent="0.25">
      <c r="D60" s="4" t="s">
        <v>8</v>
      </c>
      <c r="G60" s="21"/>
      <c r="N60" s="19"/>
      <c r="S60" s="20"/>
      <c r="U60" s="22"/>
      <c r="W60" s="22"/>
      <c r="X60" s="34"/>
      <c r="Y60" s="22"/>
      <c r="Z60" s="34">
        <v>11875</v>
      </c>
      <c r="AA60" s="22"/>
      <c r="AB60" s="34">
        <v>4664</v>
      </c>
      <c r="AC60" s="22"/>
      <c r="AD60" s="34">
        <v>0</v>
      </c>
      <c r="AE60" s="18"/>
      <c r="AF60" s="34">
        <v>4556.29</v>
      </c>
      <c r="AG60" s="22"/>
      <c r="AH60" s="34">
        <v>3944</v>
      </c>
      <c r="AI60" s="22"/>
      <c r="AJ60" s="34">
        <v>5270</v>
      </c>
      <c r="AK60" s="22"/>
      <c r="AL60" s="34">
        <v>0</v>
      </c>
      <c r="AM60" s="22"/>
      <c r="AN60" s="34">
        <v>0</v>
      </c>
      <c r="AO60" s="22"/>
      <c r="AP60" s="34">
        <v>6497</v>
      </c>
      <c r="AQ60" s="22"/>
      <c r="AR60" s="34">
        <v>0</v>
      </c>
      <c r="AS60" s="22"/>
      <c r="AT60" s="126">
        <v>9833</v>
      </c>
      <c r="AU60" s="22"/>
      <c r="AV60" s="34">
        <v>0</v>
      </c>
      <c r="AW60" s="22"/>
      <c r="AX60" s="34">
        <v>0</v>
      </c>
      <c r="AY60" s="22"/>
      <c r="AZ60" s="34">
        <v>0</v>
      </c>
      <c r="BA60" s="22"/>
      <c r="BB60" s="34">
        <v>0</v>
      </c>
      <c r="BC60" s="22"/>
      <c r="BD60" s="34">
        <v>0</v>
      </c>
      <c r="BE60" s="22"/>
      <c r="BF60" s="34">
        <v>0</v>
      </c>
      <c r="BG60" s="22"/>
      <c r="BH60" s="34">
        <v>0</v>
      </c>
      <c r="BI60" s="22"/>
      <c r="BJ60" s="34">
        <v>0</v>
      </c>
      <c r="BK60" s="22"/>
      <c r="BL60" s="34">
        <v>0</v>
      </c>
      <c r="BM60" s="22"/>
      <c r="BN60" s="34">
        <v>0</v>
      </c>
      <c r="BO60" s="22"/>
      <c r="BP60" s="34">
        <v>0</v>
      </c>
      <c r="BQ60" s="22"/>
      <c r="BR60" s="34">
        <v>0</v>
      </c>
      <c r="BS60" s="22"/>
    </row>
    <row r="61" spans="3:71" outlineLevel="2" x14ac:dyDescent="0.25">
      <c r="D61" s="4" t="s">
        <v>9</v>
      </c>
      <c r="X61" s="34"/>
      <c r="Z61" s="34">
        <v>42868</v>
      </c>
      <c r="AB61" s="34">
        <v>74178</v>
      </c>
      <c r="AD61" s="34">
        <v>0</v>
      </c>
      <c r="AF61" s="34">
        <v>35309</v>
      </c>
      <c r="AH61" s="34">
        <v>15937</v>
      </c>
      <c r="AJ61" s="34">
        <v>34554</v>
      </c>
      <c r="AL61" s="34">
        <v>0</v>
      </c>
      <c r="AN61" s="34">
        <v>0</v>
      </c>
      <c r="AP61" s="34">
        <v>46389</v>
      </c>
      <c r="AR61" s="34">
        <v>0</v>
      </c>
      <c r="AT61" s="126">
        <v>71704</v>
      </c>
      <c r="AV61" s="34">
        <v>0</v>
      </c>
      <c r="AX61" s="34">
        <v>0</v>
      </c>
      <c r="AZ61" s="34">
        <v>0</v>
      </c>
      <c r="BB61" s="34">
        <v>0</v>
      </c>
      <c r="BC61" s="18"/>
      <c r="BD61" s="34">
        <v>0</v>
      </c>
      <c r="BF61" s="34">
        <v>0</v>
      </c>
      <c r="BH61" s="34">
        <v>0</v>
      </c>
      <c r="BJ61" s="34">
        <v>0</v>
      </c>
      <c r="BL61" s="34">
        <v>0</v>
      </c>
      <c r="BN61" s="34">
        <v>0</v>
      </c>
      <c r="BP61" s="34">
        <v>0</v>
      </c>
      <c r="BR61" s="34">
        <v>0</v>
      </c>
    </row>
    <row r="62" spans="3:71" outlineLevel="2" x14ac:dyDescent="0.25">
      <c r="D62" s="4" t="s">
        <v>133</v>
      </c>
      <c r="X62" s="34"/>
      <c r="Z62" s="34">
        <v>68328</v>
      </c>
      <c r="AB62" s="34">
        <v>85457</v>
      </c>
      <c r="AD62" s="34">
        <v>0</v>
      </c>
      <c r="AF62" s="34">
        <v>68487</v>
      </c>
      <c r="AH62" s="34">
        <v>165937</v>
      </c>
      <c r="AJ62" s="34">
        <v>121193</v>
      </c>
      <c r="AL62" s="34">
        <v>0</v>
      </c>
      <c r="AN62" s="34">
        <v>0</v>
      </c>
      <c r="AP62" s="34">
        <f>39419+180500+58793</f>
        <v>278712</v>
      </c>
      <c r="AR62" s="34">
        <v>0</v>
      </c>
      <c r="AT62" s="126">
        <f>341158+180500</f>
        <v>521658</v>
      </c>
      <c r="AV62" s="34">
        <v>0</v>
      </c>
      <c r="AX62" s="34">
        <v>0</v>
      </c>
      <c r="AZ62" s="34">
        <v>0</v>
      </c>
      <c r="BB62" s="34">
        <v>0</v>
      </c>
      <c r="BC62" s="18"/>
      <c r="BD62" s="34">
        <v>0</v>
      </c>
      <c r="BF62" s="34">
        <v>0</v>
      </c>
      <c r="BH62" s="34">
        <v>0</v>
      </c>
      <c r="BJ62" s="34">
        <v>0</v>
      </c>
      <c r="BL62" s="34">
        <v>0</v>
      </c>
      <c r="BN62" s="34">
        <v>0</v>
      </c>
      <c r="BP62" s="34">
        <v>0</v>
      </c>
      <c r="BR62" s="34">
        <v>0</v>
      </c>
    </row>
    <row r="63" spans="3:71" outlineLevel="2" x14ac:dyDescent="0.25">
      <c r="D63" s="4" t="s">
        <v>134</v>
      </c>
      <c r="X63" s="34"/>
      <c r="Z63" s="34">
        <v>68328</v>
      </c>
      <c r="AB63" s="34">
        <v>85457</v>
      </c>
      <c r="AD63" s="34">
        <v>0</v>
      </c>
      <c r="AF63" s="34">
        <v>68487</v>
      </c>
      <c r="AH63" s="34">
        <v>165937</v>
      </c>
      <c r="AJ63" s="34">
        <v>121193</v>
      </c>
      <c r="AL63" s="34">
        <v>0</v>
      </c>
      <c r="AN63" s="34">
        <v>0</v>
      </c>
      <c r="AP63" s="34">
        <f>39419+180500+58793</f>
        <v>278712</v>
      </c>
      <c r="AR63" s="34">
        <v>0</v>
      </c>
      <c r="AT63" s="126">
        <v>41401</v>
      </c>
      <c r="AV63" s="34">
        <v>0</v>
      </c>
      <c r="AX63" s="34">
        <v>0</v>
      </c>
      <c r="AZ63" s="34">
        <v>0</v>
      </c>
      <c r="BB63" s="34">
        <v>0</v>
      </c>
      <c r="BC63" s="18"/>
      <c r="BD63" s="34">
        <v>0</v>
      </c>
      <c r="BF63" s="34">
        <v>0</v>
      </c>
      <c r="BH63" s="34">
        <v>0</v>
      </c>
      <c r="BJ63" s="34">
        <v>0</v>
      </c>
      <c r="BL63" s="34">
        <v>0</v>
      </c>
      <c r="BN63" s="34">
        <v>0</v>
      </c>
      <c r="BP63" s="34">
        <v>0</v>
      </c>
      <c r="BR63" s="34">
        <v>0</v>
      </c>
    </row>
    <row r="64" spans="3:71" outlineLevel="1" x14ac:dyDescent="0.25">
      <c r="BC64" s="18"/>
    </row>
    <row r="65" spans="3:71" s="69" customFormat="1" outlineLevel="1" x14ac:dyDescent="0.25">
      <c r="C65" s="69" t="s">
        <v>135</v>
      </c>
      <c r="E65" s="59"/>
      <c r="F65" s="59"/>
      <c r="N65" s="70"/>
      <c r="S65" s="71"/>
      <c r="U65" s="71"/>
      <c r="W65" s="71"/>
      <c r="Y65" s="71"/>
      <c r="AA65" s="71"/>
      <c r="AC65" s="71"/>
      <c r="AD65" s="69">
        <f>AD70/(AD299+SUM(AD239:AD285))</f>
        <v>0.71686903530561019</v>
      </c>
      <c r="AE65" s="71"/>
      <c r="AF65" s="69">
        <f>AF70/(AF299+SUM(AF239:AF285))</f>
        <v>1.337329116560307</v>
      </c>
      <c r="AG65" s="71"/>
      <c r="AH65" s="69">
        <f>AH70/(AH299+SUM(AH281:AH284))</f>
        <v>1.8999537382514002</v>
      </c>
      <c r="AI65" s="71"/>
      <c r="AJ65" s="69">
        <f>AJ70/(AJ299+SUM(AJ239:AJ285))</f>
        <v>1.6389377768211442</v>
      </c>
      <c r="AK65" s="71"/>
      <c r="AL65" s="69">
        <f>AL70/(AL299+SUM(AL239:AL285))</f>
        <v>4.8463207089613487</v>
      </c>
      <c r="AM65" s="71"/>
      <c r="AN65" s="69">
        <f>AN70/(AN299+SUM(AN239:AN285))</f>
        <v>3.3586893733075285</v>
      </c>
      <c r="AO65" s="71"/>
      <c r="AP65" s="69">
        <f>AP70/(AP299+SUM(AP239:AP285))</f>
        <v>4.3133857614500872</v>
      </c>
      <c r="AR65" s="69">
        <f>AR70/(AR299+SUM(AR239:AR285))</f>
        <v>5.0441866237002406</v>
      </c>
      <c r="AT65" s="127">
        <f>AT70/(AT299+SUM(AT239:AT285))</f>
        <v>4.3807993138498995</v>
      </c>
      <c r="AV65" s="69">
        <f>AV70/(AV299+SUM(AV239:AV285))</f>
        <v>5.7139416043530353</v>
      </c>
      <c r="AX65" s="69">
        <f>AX70/(AX299+SUM(AX239:AX285))</f>
        <v>5.9936011817209423</v>
      </c>
      <c r="AZ65" s="69">
        <f>AZ70/(AZ299+SUM(AZ240:AZ243))</f>
        <v>10.704371114098304</v>
      </c>
      <c r="BB65" s="69">
        <f>BB70/(BB299+SUM(BB240:BB241))</f>
        <v>16.946601458846125</v>
      </c>
      <c r="BD65" s="69">
        <f>BD70/(BD299+SUM(BD239:BD285))</f>
        <v>6.1611132144947982</v>
      </c>
      <c r="BF65" s="69">
        <f>BF70/(BF299+SUM(BF239:BF285))</f>
        <v>6.9428405621308888</v>
      </c>
      <c r="BH65" s="69">
        <f>BH70/(BH299+SUM(BH239:BH285))</f>
        <v>7.0711165788815462</v>
      </c>
      <c r="BJ65" s="69">
        <f>BJ70/(BJ299+SUM(BJ239:BJ285))</f>
        <v>8.8564433977296275</v>
      </c>
      <c r="BL65" s="69">
        <f>BL70/(BL299+SUM(BL239:BL285))</f>
        <v>7.7391729524637238</v>
      </c>
      <c r="BN65" s="69">
        <f>BN70/(BN299+SUM(BN239:BN285))</f>
        <v>10.122314838224556</v>
      </c>
      <c r="BP65" s="69">
        <f>BP70/(BP299+SUM(BP239:BP285))</f>
        <v>11.840278486086177</v>
      </c>
      <c r="BR65" s="69">
        <f>BR70/(BR299+SUM(BR239:BR285))</f>
        <v>9.8424138141344084</v>
      </c>
    </row>
    <row r="66" spans="3:71" s="69" customFormat="1" outlineLevel="1" x14ac:dyDescent="0.25">
      <c r="C66" s="69" t="s">
        <v>136</v>
      </c>
      <c r="E66" s="59"/>
      <c r="F66" s="59"/>
      <c r="N66" s="70"/>
      <c r="S66" s="71"/>
      <c r="U66" s="71"/>
      <c r="W66" s="71"/>
      <c r="Y66" s="71"/>
      <c r="AA66" s="71"/>
      <c r="AC66" s="71"/>
      <c r="AD66" s="69">
        <f>AD70/AD299</f>
        <v>2.6908437012852309</v>
      </c>
      <c r="AE66" s="71"/>
      <c r="AF66" s="69">
        <f>AF70/AF299</f>
        <v>2.8858393566238756</v>
      </c>
      <c r="AG66" s="71"/>
      <c r="AH66" s="69">
        <f>AH70/AH299</f>
        <v>2.2997084931491183</v>
      </c>
      <c r="AI66" s="71"/>
      <c r="AJ66" s="69">
        <f>AJ70/AJ299</f>
        <v>6.0803507862464556</v>
      </c>
      <c r="AK66" s="71"/>
      <c r="AL66" s="69">
        <f>AL70/AL299</f>
        <v>12.289074925096765</v>
      </c>
      <c r="AM66" s="71"/>
      <c r="AN66" s="69">
        <f>AN70/AN299</f>
        <v>11.131074180378429</v>
      </c>
      <c r="AO66" s="71"/>
      <c r="AP66" s="69">
        <f>AP70/AP299</f>
        <v>11.87994777204209</v>
      </c>
      <c r="AR66" s="69">
        <f>AR70/AR299</f>
        <v>14.1381864234408</v>
      </c>
      <c r="AT66" s="127">
        <f>AT70/AT299</f>
        <v>11.71979259078307</v>
      </c>
      <c r="AV66" s="69">
        <f>AV70/AV299</f>
        <v>16.662213960864481</v>
      </c>
      <c r="AX66" s="69">
        <f>AX70/AX299</f>
        <v>18.381409870125616</v>
      </c>
      <c r="AZ66" s="69">
        <f>AZ70/AZ299</f>
        <v>18.710579685491041</v>
      </c>
      <c r="BB66" s="69">
        <f>BB70/BB299</f>
        <v>21.015469003552528</v>
      </c>
      <c r="BD66" s="69">
        <f>BD70/BD299</f>
        <v>19.308904241067275</v>
      </c>
      <c r="BF66" s="69">
        <f>BF70/BF299</f>
        <v>20.510739921821159</v>
      </c>
      <c r="BH66" s="69">
        <f>BH70/BH299</f>
        <v>18.399585967039581</v>
      </c>
      <c r="BJ66" s="69">
        <f>BJ70/BJ299</f>
        <v>16.210895871956843</v>
      </c>
      <c r="BL66" s="69">
        <f>BL70/BL299</f>
        <v>12.445641943717622</v>
      </c>
      <c r="BN66" s="69">
        <f>BN70/BN299</f>
        <v>14.600841714162238</v>
      </c>
      <c r="BP66" s="69">
        <f>BP70/BP299</f>
        <v>15.10140695515264</v>
      </c>
      <c r="BR66" s="69">
        <f>BR70/BR299</f>
        <v>12.026628582335738</v>
      </c>
    </row>
    <row r="67" spans="3:71" ht="15.75" outlineLevel="1" thickBot="1" x14ac:dyDescent="0.3">
      <c r="C67" s="5" t="s">
        <v>137</v>
      </c>
      <c r="D67" s="3"/>
      <c r="E67" s="3"/>
      <c r="F67" s="3"/>
      <c r="G67" s="54"/>
      <c r="H67" s="3"/>
      <c r="I67" s="3"/>
      <c r="J67" s="3"/>
      <c r="K67" s="3"/>
      <c r="L67" s="3"/>
      <c r="M67" s="3"/>
      <c r="N67" s="2"/>
      <c r="O67" s="3"/>
      <c r="P67" s="3"/>
      <c r="Q67" s="3"/>
      <c r="S67" s="7"/>
      <c r="T67" s="33">
        <v>45231</v>
      </c>
      <c r="U67" s="9"/>
      <c r="V67" s="33">
        <v>45261</v>
      </c>
      <c r="W67" s="9"/>
      <c r="X67" s="33">
        <v>45292</v>
      </c>
      <c r="Y67" s="9"/>
      <c r="Z67" s="33">
        <v>45323</v>
      </c>
      <c r="AA67" s="9"/>
      <c r="AB67" s="33">
        <v>45352</v>
      </c>
      <c r="AC67" s="9"/>
      <c r="AD67" s="33">
        <v>45383</v>
      </c>
      <c r="AE67" s="9"/>
      <c r="AF67" s="33">
        <v>45413</v>
      </c>
      <c r="AG67" s="9"/>
      <c r="AH67" s="33">
        <v>45444</v>
      </c>
      <c r="AI67" s="9"/>
      <c r="AJ67" s="33">
        <v>45474</v>
      </c>
      <c r="AK67" s="9"/>
      <c r="AL67" s="33">
        <v>45528</v>
      </c>
      <c r="AM67" s="9"/>
      <c r="AN67" s="51">
        <f>AN$2</f>
        <v>45559</v>
      </c>
      <c r="AO67" s="9"/>
      <c r="AP67" s="51" t="str">
        <f>AP$2</f>
        <v>Okt-24</v>
      </c>
      <c r="AQ67" s="9"/>
      <c r="AR67" s="51">
        <f>AR$2</f>
        <v>45620</v>
      </c>
      <c r="AS67" s="9"/>
      <c r="AT67" s="122">
        <f>AT$2</f>
        <v>45650</v>
      </c>
      <c r="AU67" s="9"/>
      <c r="AV67" s="51">
        <f>AV$2</f>
        <v>45658</v>
      </c>
      <c r="AW67" s="9"/>
      <c r="AX67" s="51">
        <f>AX$2</f>
        <v>45689</v>
      </c>
      <c r="AY67" s="9"/>
      <c r="AZ67" s="51">
        <f>AZ$2</f>
        <v>45719</v>
      </c>
      <c r="BA67" s="9"/>
      <c r="BB67" s="51">
        <f>BB$2</f>
        <v>45749</v>
      </c>
      <c r="BC67" s="9"/>
      <c r="BD67" s="51">
        <f>BD$2</f>
        <v>45779</v>
      </c>
      <c r="BE67" s="9"/>
      <c r="BF67" s="51">
        <f>BF$2</f>
        <v>45809</v>
      </c>
      <c r="BG67" s="9"/>
      <c r="BH67" s="51">
        <f>BH$2</f>
        <v>45839</v>
      </c>
      <c r="BI67" s="9"/>
      <c r="BJ67" s="51">
        <f>BJ$2</f>
        <v>45870</v>
      </c>
      <c r="BK67" s="9"/>
      <c r="BL67" s="51">
        <f>BL$2</f>
        <v>45901</v>
      </c>
      <c r="BM67" s="9"/>
      <c r="BN67" s="51">
        <f>BN$2</f>
        <v>45932</v>
      </c>
      <c r="BO67" s="9"/>
      <c r="BP67" s="51">
        <f>BP$2</f>
        <v>45963</v>
      </c>
      <c r="BQ67" s="9"/>
      <c r="BR67" s="51">
        <f>BR$2</f>
        <v>45994</v>
      </c>
      <c r="BS67" s="9"/>
    </row>
    <row r="68" spans="3:71" s="1" customFormat="1" outlineLevel="1" x14ac:dyDescent="0.25">
      <c r="C68" s="67" t="s">
        <v>138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8"/>
      <c r="O68" s="67"/>
      <c r="P68" s="67"/>
      <c r="Q68" s="67"/>
      <c r="R68" s="67"/>
      <c r="S68" s="50"/>
      <c r="T68" s="67">
        <f>T70-T69</f>
        <v>-75383.891774999996</v>
      </c>
      <c r="U68" s="50"/>
      <c r="V68" s="67">
        <f>V70-V69</f>
        <v>55354.40595</v>
      </c>
      <c r="W68" s="50"/>
      <c r="X68" s="67">
        <f>X70-X69</f>
        <v>4691.6703416666714</v>
      </c>
      <c r="Y68" s="50"/>
      <c r="Z68" s="67">
        <f>Z70-Z69</f>
        <v>56713.849733333343</v>
      </c>
      <c r="AA68" s="50"/>
      <c r="AB68" s="67">
        <f>AB70-AB69</f>
        <v>17589.463575000002</v>
      </c>
      <c r="AC68" s="50"/>
      <c r="AD68" s="67">
        <f>AD70-AD69</f>
        <v>43133.020449999989</v>
      </c>
      <c r="AE68" s="50"/>
      <c r="AF68" s="67">
        <f>AF70-AF69</f>
        <v>78747.429691666664</v>
      </c>
      <c r="AG68" s="50"/>
      <c r="AH68" s="67">
        <f>AH70-AH69</f>
        <v>40931.996233333324</v>
      </c>
      <c r="AI68" s="50"/>
      <c r="AJ68" s="72">
        <v>108928.20000000001</v>
      </c>
      <c r="AK68" s="50"/>
      <c r="AL68" s="67">
        <f>AL70-AL69</f>
        <v>269370.81174166669</v>
      </c>
      <c r="AM68" s="50"/>
      <c r="AN68" s="67">
        <f>AN70-AN69</f>
        <v>237706.79398333337</v>
      </c>
      <c r="AO68" s="50"/>
      <c r="AP68" s="67">
        <f>AP70-AP69</f>
        <v>272463.85699166666</v>
      </c>
      <c r="AQ68" s="50"/>
      <c r="AR68" s="67">
        <f>AR70-AR69</f>
        <v>347841.26703333331</v>
      </c>
      <c r="AS68" s="50"/>
      <c r="AT68" s="128">
        <f>AT70-AT69</f>
        <v>397503.59399929724</v>
      </c>
      <c r="AU68" s="50"/>
      <c r="AV68" s="67">
        <f>AV70-AV69</f>
        <v>451861.13408042176</v>
      </c>
      <c r="AW68" s="50"/>
      <c r="AX68" s="67">
        <f>AX70-AX69</f>
        <v>555039.83013699518</v>
      </c>
      <c r="AY68" s="50"/>
      <c r="AZ68" s="67">
        <f>AZ70-AZ69</f>
        <v>531559.60835021408</v>
      </c>
      <c r="BA68" s="50"/>
      <c r="BB68" s="67">
        <f>BB70-BB69</f>
        <v>650619.72364816291</v>
      </c>
      <c r="BC68" s="50"/>
      <c r="BD68" s="67">
        <f>BD70-BD69</f>
        <v>792455.8165025746</v>
      </c>
      <c r="BE68" s="50"/>
      <c r="BF68" s="67">
        <f>BF70-BF69</f>
        <v>956700.95587855484</v>
      </c>
      <c r="BG68" s="50"/>
      <c r="BH68" s="67">
        <f>BH70-BH69</f>
        <v>1113968.2799648293</v>
      </c>
      <c r="BI68" s="50"/>
      <c r="BJ68" s="67">
        <f>BJ70-BJ69</f>
        <v>1269535.5376981627</v>
      </c>
      <c r="BK68" s="50"/>
      <c r="BL68" s="67">
        <f>BL70-BL69</f>
        <v>1202768.2340314961</v>
      </c>
      <c r="BM68" s="50"/>
      <c r="BN68" s="67">
        <f>BN70-BN69</f>
        <v>1476960.6003648294</v>
      </c>
      <c r="BO68" s="50"/>
      <c r="BP68" s="67">
        <f>BP70-BP69</f>
        <v>1566631.3466981626</v>
      </c>
      <c r="BQ68" s="50"/>
      <c r="BR68" s="67">
        <f>BR70-BR69</f>
        <v>1473552.7611314962</v>
      </c>
      <c r="BS68" s="50"/>
    </row>
    <row r="69" spans="3:71" s="1" customFormat="1" outlineLevel="1" x14ac:dyDescent="0.25">
      <c r="C69" s="67" t="s">
        <v>139</v>
      </c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8"/>
      <c r="O69" s="67"/>
      <c r="P69" s="67"/>
      <c r="Q69" s="67"/>
      <c r="R69" s="67"/>
      <c r="S69" s="50"/>
      <c r="T69" s="67">
        <f>R69+T71</f>
        <v>22702.914274999999</v>
      </c>
      <c r="U69" s="50"/>
      <c r="V69" s="67">
        <f>T69+V71</f>
        <v>28226.589049999999</v>
      </c>
      <c r="W69" s="50"/>
      <c r="X69" s="67">
        <f>V69+X71</f>
        <v>36878.297158333327</v>
      </c>
      <c r="Y69" s="50"/>
      <c r="Z69" s="67">
        <f>X69+Z71</f>
        <v>32509.590266666659</v>
      </c>
      <c r="AA69" s="50"/>
      <c r="AB69" s="67">
        <f>Z69+AB71</f>
        <v>41683.293924999991</v>
      </c>
      <c r="AC69" s="50"/>
      <c r="AD69" s="67">
        <f>AB69+AD71</f>
        <v>38751.09121666666</v>
      </c>
      <c r="AE69" s="50"/>
      <c r="AF69" s="67">
        <f>AD69+AF71</f>
        <v>32881.672808333329</v>
      </c>
      <c r="AG69" s="50"/>
      <c r="AH69" s="67">
        <f>AF69+AH71</f>
        <v>39513.177100000001</v>
      </c>
      <c r="AI69" s="50"/>
      <c r="AJ69" s="73">
        <v>106400</v>
      </c>
      <c r="AK69" s="50"/>
      <c r="AL69" s="67">
        <f>AJ69+AL71</f>
        <v>103513.62909166666</v>
      </c>
      <c r="AM69" s="50"/>
      <c r="AN69" s="67">
        <f>AL69+AN71</f>
        <v>115160.93768333332</v>
      </c>
      <c r="AO69" s="50"/>
      <c r="AP69" s="67">
        <f>AN69+AP71</f>
        <v>129714.14300833333</v>
      </c>
      <c r="AQ69" s="50"/>
      <c r="AR69" s="67">
        <f>AP69+AR71</f>
        <v>140522.73713333331</v>
      </c>
      <c r="AS69" s="50"/>
      <c r="AT69" s="128">
        <f>AR69+AT71</f>
        <v>151148.27061917668</v>
      </c>
      <c r="AU69" s="50"/>
      <c r="AV69" s="67">
        <f>AT69+AV71</f>
        <v>160812.74989548189</v>
      </c>
      <c r="AW69" s="50"/>
      <c r="AX69" s="67">
        <f>AV69+AX71</f>
        <v>165865.58526876013</v>
      </c>
      <c r="AY69" s="50"/>
      <c r="AZ69" s="67">
        <f>AX69+AZ71</f>
        <v>193034.89182461746</v>
      </c>
      <c r="BA69" s="50"/>
      <c r="BB69" s="67">
        <f>AZ69+BB71</f>
        <v>213371.44288491158</v>
      </c>
      <c r="BC69" s="50"/>
      <c r="BD69" s="67">
        <f>BB69+BD71</f>
        <v>227744.89429520571</v>
      </c>
      <c r="BE69" s="50"/>
      <c r="BF69" s="67">
        <f>BD69+BF71</f>
        <v>240011.99251726453</v>
      </c>
      <c r="BG69" s="50"/>
      <c r="BH69" s="67">
        <f>BF69+BH71</f>
        <v>254036.52078393119</v>
      </c>
      <c r="BI69" s="50"/>
      <c r="BJ69" s="67">
        <f>BH69+BJ71</f>
        <v>247216.83305059787</v>
      </c>
      <c r="BK69" s="50"/>
      <c r="BL69" s="67">
        <f>BJ69+BL71</f>
        <v>288369.43338393117</v>
      </c>
      <c r="BM69" s="50"/>
      <c r="BN69" s="67">
        <f>BL69+BN71</f>
        <v>286792.3637172645</v>
      </c>
      <c r="BO69" s="50"/>
      <c r="BP69" s="67">
        <f>BN69+BP71</f>
        <v>257588.91405059781</v>
      </c>
      <c r="BQ69" s="50"/>
      <c r="BR69" s="67">
        <f>BP69+BR71</f>
        <v>221143.80628393113</v>
      </c>
      <c r="BS69" s="50"/>
    </row>
    <row r="70" spans="3:71" s="14" customFormat="1" ht="15.75" outlineLevel="1" thickBot="1" x14ac:dyDescent="0.3">
      <c r="C70" s="10" t="s">
        <v>140</v>
      </c>
      <c r="D70" s="10"/>
      <c r="E70" s="10"/>
      <c r="F70" s="10"/>
      <c r="G70" s="56"/>
      <c r="H70" s="10"/>
      <c r="I70" s="10"/>
      <c r="J70" s="10"/>
      <c r="K70" s="10"/>
      <c r="L70" s="10"/>
      <c r="M70" s="10"/>
      <c r="N70" s="11"/>
      <c r="O70" s="10"/>
      <c r="P70" s="10"/>
      <c r="Q70" s="10"/>
      <c r="R70" s="4"/>
      <c r="S70" s="12"/>
      <c r="T70" s="10">
        <f>T72</f>
        <v>-52680.977500000001</v>
      </c>
      <c r="U70" s="13"/>
      <c r="V70" s="10">
        <f>T70+V72</f>
        <v>83580.994999999995</v>
      </c>
      <c r="W70" s="13"/>
      <c r="X70" s="10">
        <f>V70+X72</f>
        <v>41569.967499999999</v>
      </c>
      <c r="Y70" s="13"/>
      <c r="Z70" s="10">
        <f>X70+Z72</f>
        <v>89223.44</v>
      </c>
      <c r="AA70" s="13"/>
      <c r="AB70" s="10">
        <f>Z70+AB72</f>
        <v>59272.757499999992</v>
      </c>
      <c r="AC70" s="13"/>
      <c r="AD70" s="10">
        <f>AB70+AD72</f>
        <v>81884.111666666649</v>
      </c>
      <c r="AE70" s="49"/>
      <c r="AF70" s="10">
        <f>AD70+AF72</f>
        <v>111629.10249999999</v>
      </c>
      <c r="AG70" s="13"/>
      <c r="AH70" s="10">
        <f>AF70+AH72</f>
        <v>80445.173333333325</v>
      </c>
      <c r="AI70" s="13"/>
      <c r="AJ70" s="74">
        <v>215328.2</v>
      </c>
      <c r="AK70" s="13"/>
      <c r="AL70" s="10">
        <f>AJ70+AL72</f>
        <v>372884.44083333336</v>
      </c>
      <c r="AM70" s="13"/>
      <c r="AN70" s="10">
        <f>AL70+AN72</f>
        <v>352867.73166666669</v>
      </c>
      <c r="AO70" s="13"/>
      <c r="AP70" s="74">
        <v>402178</v>
      </c>
      <c r="AQ70" s="13"/>
      <c r="AR70" s="10">
        <f>AP70+AR72</f>
        <v>488364.00416666665</v>
      </c>
      <c r="AS70" s="13"/>
      <c r="AT70" s="124">
        <f>AR70+AT72</f>
        <v>548651.86461847392</v>
      </c>
      <c r="AU70" s="13"/>
      <c r="AV70" s="10">
        <f>AT70+AV72</f>
        <v>612673.88397590362</v>
      </c>
      <c r="AW70" s="13"/>
      <c r="AX70" s="10">
        <f>AV70+AX72</f>
        <v>720905.41540575528</v>
      </c>
      <c r="AY70" s="13"/>
      <c r="AZ70" s="10">
        <f>AX70+AZ72</f>
        <v>724594.5001748316</v>
      </c>
      <c r="BA70" s="13"/>
      <c r="BB70" s="10">
        <f>AZ70+BB72</f>
        <v>863991.16653307446</v>
      </c>
      <c r="BC70" s="13"/>
      <c r="BD70" s="10">
        <f>BB70+BD72</f>
        <v>1020200.7107977803</v>
      </c>
      <c r="BE70" s="13"/>
      <c r="BF70" s="10">
        <f>BD70+BF72</f>
        <v>1196712.9483958194</v>
      </c>
      <c r="BG70" s="13"/>
      <c r="BH70" s="10">
        <f>BF70+BH72</f>
        <v>1368004.8007487606</v>
      </c>
      <c r="BI70" s="13"/>
      <c r="BJ70" s="10">
        <f>BH70+BJ72</f>
        <v>1516752.3707487606</v>
      </c>
      <c r="BK70" s="13"/>
      <c r="BL70" s="10">
        <f>BJ70+BL72</f>
        <v>1491137.6674154273</v>
      </c>
      <c r="BM70" s="13"/>
      <c r="BN70" s="10">
        <f>BL70+BN72</f>
        <v>1763752.9640820939</v>
      </c>
      <c r="BO70" s="13"/>
      <c r="BP70" s="10">
        <f>BN70+BP72</f>
        <v>1824220.2607487605</v>
      </c>
      <c r="BQ70" s="13"/>
      <c r="BR70" s="10">
        <f>BP70+BR72</f>
        <v>1694696.5674154272</v>
      </c>
      <c r="BS70" s="13"/>
    </row>
    <row r="71" spans="3:71" s="1" customFormat="1" outlineLevel="1" x14ac:dyDescent="0.25">
      <c r="D71" s="1" t="s">
        <v>141</v>
      </c>
      <c r="N71" s="23"/>
      <c r="S71" s="18"/>
      <c r="T71" s="1">
        <f>T143*0.19</f>
        <v>22702.914274999999</v>
      </c>
      <c r="U71" s="18"/>
      <c r="V71" s="1">
        <f>V143*0.19</f>
        <v>5523.6747750000004</v>
      </c>
      <c r="W71" s="18"/>
      <c r="X71" s="1">
        <f>X143*0.19</f>
        <v>8651.7081083333323</v>
      </c>
      <c r="Y71" s="18"/>
      <c r="Z71" s="1">
        <f>Z143*0.19</f>
        <v>-4368.7068916666667</v>
      </c>
      <c r="AA71" s="18"/>
      <c r="AB71" s="1">
        <f>AB143*0.19</f>
        <v>9173.7036583333302</v>
      </c>
      <c r="AC71" s="18"/>
      <c r="AD71" s="1">
        <f>AD143*0.19</f>
        <v>-2932.2027083333323</v>
      </c>
      <c r="AE71" s="18"/>
      <c r="AF71" s="1">
        <f>AF143*0.19</f>
        <v>-5869.4184083333321</v>
      </c>
      <c r="AH71" s="1">
        <f>AH143*0.19</f>
        <v>6631.504291666668</v>
      </c>
      <c r="AI71" s="18"/>
      <c r="AJ71" s="1">
        <f>AJ143*0.19</f>
        <v>15711.813291666664</v>
      </c>
      <c r="AK71" s="18"/>
      <c r="AL71" s="1">
        <f>AL143*0.19</f>
        <v>-2886.3709083333324</v>
      </c>
      <c r="AM71" s="18"/>
      <c r="AN71" s="1">
        <f>AN143*0.19</f>
        <v>11647.308591666668</v>
      </c>
      <c r="AO71" s="18"/>
      <c r="AP71" s="1">
        <f>AP143*0.19</f>
        <v>14553.205325000001</v>
      </c>
      <c r="AQ71" s="18"/>
      <c r="AR71" s="1">
        <f>AR143*0.19</f>
        <v>10808.594125</v>
      </c>
      <c r="AS71" s="18"/>
      <c r="AT71" s="129">
        <f>AT143*0.19</f>
        <v>10625.533485843378</v>
      </c>
      <c r="AU71" s="18"/>
      <c r="AV71" s="1">
        <f>AV143*0.19</f>
        <v>9664.479276305221</v>
      </c>
      <c r="AW71" s="18"/>
      <c r="AX71" s="1">
        <f>AX143*0.19</f>
        <v>5052.835373278238</v>
      </c>
      <c r="AY71" s="18"/>
      <c r="AZ71" s="1">
        <f>AZ143*0.19</f>
        <v>27169.306555857314</v>
      </c>
      <c r="BA71" s="18"/>
      <c r="BB71" s="1">
        <f>BB143*0.19</f>
        <v>20336.55106029411</v>
      </c>
      <c r="BC71" s="18"/>
      <c r="BD71" s="1">
        <f>BD143*0.19</f>
        <v>14373.451410294119</v>
      </c>
      <c r="BE71" s="18"/>
      <c r="BF71" s="1">
        <f>BF143*0.19</f>
        <v>12267.098222058825</v>
      </c>
      <c r="BG71" s="18"/>
      <c r="BH71" s="1">
        <f>BH143*0.19</f>
        <v>14024.528266666668</v>
      </c>
      <c r="BI71" s="18"/>
      <c r="BJ71" s="1">
        <f>BJ143*0.19</f>
        <v>-6819.6877333333368</v>
      </c>
      <c r="BK71" s="18"/>
      <c r="BL71" s="1">
        <f>BL143*0.19</f>
        <v>41152.600333333336</v>
      </c>
      <c r="BM71" s="18"/>
      <c r="BN71" s="1">
        <f>BN143*0.19</f>
        <v>-1577.069666666667</v>
      </c>
      <c r="BO71" s="18"/>
      <c r="BP71" s="1">
        <f>BP143*0.19</f>
        <v>-29203.449666666675</v>
      </c>
      <c r="BQ71" s="18"/>
      <c r="BR71" s="1">
        <f>BR143*0.19</f>
        <v>-36445.107766666668</v>
      </c>
      <c r="BS71" s="18"/>
    </row>
    <row r="72" spans="3:71" s="14" customFormat="1" outlineLevel="1" x14ac:dyDescent="0.25">
      <c r="C72" s="14" t="s">
        <v>142</v>
      </c>
      <c r="G72" s="21"/>
      <c r="N72" s="19"/>
      <c r="S72" s="20"/>
      <c r="T72" s="14">
        <f>T73-T83</f>
        <v>-52680.977500000001</v>
      </c>
      <c r="U72" s="22"/>
      <c r="V72" s="14">
        <f>V73-V83</f>
        <v>136261.9725</v>
      </c>
      <c r="W72" s="22"/>
      <c r="X72" s="14">
        <f>X73-X83</f>
        <v>-42011.027499999997</v>
      </c>
      <c r="Y72" s="22"/>
      <c r="Z72" s="14">
        <f>Z73-Z83</f>
        <v>47653.472500000003</v>
      </c>
      <c r="AA72" s="22"/>
      <c r="AB72" s="14">
        <f>AB73-AB83</f>
        <v>-29950.68250000001</v>
      </c>
      <c r="AC72" s="22"/>
      <c r="AD72" s="14">
        <f>AD73-AD83</f>
        <v>22611.354166666657</v>
      </c>
      <c r="AE72" s="18"/>
      <c r="AF72" s="14">
        <f>AF73-AF83</f>
        <v>29744.990833333344</v>
      </c>
      <c r="AG72" s="22"/>
      <c r="AH72" s="14">
        <f>AH73-AH83</f>
        <v>-31183.929166666669</v>
      </c>
      <c r="AI72" s="22"/>
      <c r="AJ72" s="14">
        <f>AJ73-AJ83</f>
        <v>30569.337499999994</v>
      </c>
      <c r="AK72" s="22"/>
      <c r="AL72" s="14">
        <f>AL73-AL83</f>
        <v>157556.24083333334</v>
      </c>
      <c r="AM72" s="22"/>
      <c r="AN72" s="14">
        <f>AN73-AN83</f>
        <v>-20016.709166666653</v>
      </c>
      <c r="AO72" s="22"/>
      <c r="AP72" s="14">
        <f>AP73-AP83</f>
        <v>75758.484166666662</v>
      </c>
      <c r="AQ72" s="22"/>
      <c r="AR72" s="14">
        <f>AR73-AR83</f>
        <v>86186.004166666651</v>
      </c>
      <c r="AS72" s="22"/>
      <c r="AT72" s="125">
        <f>AT73-AT83</f>
        <v>60287.860451807224</v>
      </c>
      <c r="AU72" s="22"/>
      <c r="AV72" s="14">
        <f>AV73-AV83</f>
        <v>64022.01935742973</v>
      </c>
      <c r="AW72" s="22"/>
      <c r="AX72" s="14">
        <f>AX73-AX83</f>
        <v>108231.53142985166</v>
      </c>
      <c r="AY72" s="22"/>
      <c r="AZ72" s="14">
        <f>AZ73-AZ83</f>
        <v>3689.0847690763185</v>
      </c>
      <c r="BA72" s="22"/>
      <c r="BB72" s="14">
        <f>BB73-BB83</f>
        <v>139396.66635824286</v>
      </c>
      <c r="BC72" s="22"/>
      <c r="BD72" s="14">
        <f>BD73-BD83</f>
        <v>156209.54426470582</v>
      </c>
      <c r="BE72" s="22"/>
      <c r="BF72" s="14">
        <f>BF73-BF83</f>
        <v>176512.23759803921</v>
      </c>
      <c r="BG72" s="22"/>
      <c r="BH72" s="14">
        <f>BH73-BH83</f>
        <v>171291.85235294121</v>
      </c>
      <c r="BI72" s="22"/>
      <c r="BJ72" s="14">
        <f>BJ73-BJ83</f>
        <v>148747.56999999998</v>
      </c>
      <c r="BK72" s="22"/>
      <c r="BL72" s="14">
        <f>BL73-BL83</f>
        <v>-25614.703333333338</v>
      </c>
      <c r="BM72" s="22"/>
      <c r="BN72" s="14">
        <f>BN73-BN83</f>
        <v>272615.29666666663</v>
      </c>
      <c r="BO72" s="22"/>
      <c r="BP72" s="14">
        <f>BP73-BP83</f>
        <v>60467.296666666633</v>
      </c>
      <c r="BQ72" s="22"/>
      <c r="BR72" s="14">
        <f>BR73-BR83</f>
        <v>-129523.69333333333</v>
      </c>
      <c r="BS72" s="22"/>
    </row>
    <row r="73" spans="3:71" s="14" customFormat="1" outlineLevel="1" x14ac:dyDescent="0.25">
      <c r="D73" s="14" t="s">
        <v>143</v>
      </c>
      <c r="G73" s="21"/>
      <c r="N73" s="19"/>
      <c r="S73" s="20"/>
      <c r="T73" s="14">
        <f>SUM(T74:T82)</f>
        <v>0</v>
      </c>
      <c r="U73" s="22"/>
      <c r="V73" s="14">
        <f>SUM(V74:V82)</f>
        <v>172170</v>
      </c>
      <c r="W73" s="22"/>
      <c r="X73" s="14">
        <f>SUM(X74:X82)</f>
        <v>82184.666666666672</v>
      </c>
      <c r="Y73" s="22"/>
      <c r="Z73" s="14">
        <f>SUM(Z74:Z82)</f>
        <v>130704.66666666667</v>
      </c>
      <c r="AA73" s="22"/>
      <c r="AB73" s="14">
        <f>SUM(AB74:AB82)</f>
        <v>49435.666666666672</v>
      </c>
      <c r="AC73" s="22"/>
      <c r="AD73" s="14">
        <f>SUM(AD74:AD82)</f>
        <v>142767.66666666666</v>
      </c>
      <c r="AE73" s="18"/>
      <c r="AF73" s="14">
        <f>SUM(AF74:AF82)</f>
        <v>114102.33333333334</v>
      </c>
      <c r="AG73" s="22"/>
      <c r="AH73" s="14">
        <f>SUM(AH74:AH82)</f>
        <v>70836.333333333343</v>
      </c>
      <c r="AI73" s="22"/>
      <c r="AJ73" s="14">
        <f>SUM(AJ74:AJ82)</f>
        <v>156594.58333333334</v>
      </c>
      <c r="AK73" s="22"/>
      <c r="AL73" s="14">
        <f>SUM(AL74:AL82)</f>
        <v>228203.66666666666</v>
      </c>
      <c r="AM73" s="22"/>
      <c r="AN73" s="14">
        <f>SUM(AN74:AN82)</f>
        <v>71815.666666666672</v>
      </c>
      <c r="AO73" s="22"/>
      <c r="AP73" s="14">
        <f>SUM(AP74:AP82)</f>
        <v>169493.66666666666</v>
      </c>
      <c r="AQ73" s="22"/>
      <c r="AR73" s="14">
        <f>SUM(AR74:AR82)</f>
        <v>186690.66666666666</v>
      </c>
      <c r="AS73" s="22"/>
      <c r="AT73" s="14">
        <f>SUM(AT74:AT82)</f>
        <v>173751.66666666666</v>
      </c>
      <c r="AU73" s="22"/>
      <c r="AV73" s="14">
        <f>SUM(AV74:AV82)</f>
        <v>201871.00000000003</v>
      </c>
      <c r="AW73" s="22"/>
      <c r="AX73" s="14">
        <f>SUM(AX74:AX82)</f>
        <v>224778.99437751007</v>
      </c>
      <c r="AY73" s="22"/>
      <c r="AZ73" s="14">
        <f>SUM(AZ74:AZ82)</f>
        <v>179205.66666666669</v>
      </c>
      <c r="BA73" s="22"/>
      <c r="BB73" s="14">
        <f>SUM(BB74:BB82)</f>
        <v>353165.26552490954</v>
      </c>
      <c r="BC73" s="22"/>
      <c r="BD73" s="14">
        <f>SUM(BD74:BD82)</f>
        <v>356867.41176470584</v>
      </c>
      <c r="BE73" s="22"/>
      <c r="BF73" s="14">
        <f>SUM(BF74:BF82)</f>
        <v>380482.44509803923</v>
      </c>
      <c r="BG73" s="22"/>
      <c r="BH73" s="14">
        <f>SUM(BH74:BH82)</f>
        <v>385826.54568627453</v>
      </c>
      <c r="BI73" s="22"/>
      <c r="BJ73" s="14">
        <f>SUM(BJ74:BJ82)</f>
        <v>330640.66333333333</v>
      </c>
      <c r="BK73" s="22"/>
      <c r="BL73" s="14">
        <f>SUM(BL74:BL82)</f>
        <v>188292.66333333333</v>
      </c>
      <c r="BM73" s="22"/>
      <c r="BN73" s="14">
        <f>SUM(BN74:BN82)</f>
        <v>472792.66333333333</v>
      </c>
      <c r="BO73" s="22"/>
      <c r="BP73" s="14">
        <f>SUM(BP74:BP82)</f>
        <v>234169.66333333333</v>
      </c>
      <c r="BQ73" s="22"/>
      <c r="BR73" s="14">
        <f>SUM(BR74:BR82)</f>
        <v>62292.663333333338</v>
      </c>
      <c r="BS73" s="22"/>
    </row>
    <row r="74" spans="3:71" s="14" customFormat="1" outlineLevel="2" x14ac:dyDescent="0.25">
      <c r="C74" s="4"/>
      <c r="D74" s="4"/>
      <c r="E74" s="4" t="s">
        <v>144</v>
      </c>
      <c r="G74" s="21"/>
      <c r="N74" s="19"/>
      <c r="S74" s="20"/>
      <c r="T74" s="4">
        <f>Q148</f>
        <v>0</v>
      </c>
      <c r="U74" s="18"/>
      <c r="V74" s="4">
        <f>T148</f>
        <v>172170</v>
      </c>
      <c r="W74" s="18"/>
      <c r="X74" s="4">
        <f>V148</f>
        <v>64980</v>
      </c>
      <c r="Y74" s="18"/>
      <c r="Z74" s="4">
        <f>X148</f>
        <v>113500</v>
      </c>
      <c r="AA74" s="18"/>
      <c r="AB74" s="4">
        <f>Z148</f>
        <v>32500</v>
      </c>
      <c r="AC74" s="18"/>
      <c r="AD74" s="4">
        <f>AB148</f>
        <v>125832</v>
      </c>
      <c r="AE74" s="18"/>
      <c r="AF74" s="4">
        <f>AD148</f>
        <v>97166.666666666672</v>
      </c>
      <c r="AG74" s="18"/>
      <c r="AH74" s="4">
        <f>AF148</f>
        <v>47816.666666666672</v>
      </c>
      <c r="AI74" s="18"/>
      <c r="AJ74" s="4">
        <f>AH148</f>
        <v>136922.91666666669</v>
      </c>
      <c r="AK74" s="18"/>
      <c r="AL74" s="4">
        <f>AJ148</f>
        <v>205138</v>
      </c>
      <c r="AM74" s="18"/>
      <c r="AN74" s="4">
        <f>AL148</f>
        <v>51875</v>
      </c>
      <c r="AO74" s="18"/>
      <c r="AP74" s="4">
        <f>AN148</f>
        <v>149553</v>
      </c>
      <c r="AQ74" s="18"/>
      <c r="AR74" s="4">
        <f>AP148</f>
        <v>166750</v>
      </c>
      <c r="AS74" s="18"/>
      <c r="AT74" s="121">
        <f>AR148</f>
        <v>153811</v>
      </c>
      <c r="AU74" s="18"/>
      <c r="AV74" s="4">
        <f>AT148</f>
        <v>165806.66666666669</v>
      </c>
      <c r="AW74" s="18"/>
      <c r="AX74" s="4">
        <f>AV148</f>
        <v>188714.66104417673</v>
      </c>
      <c r="AY74" s="18"/>
      <c r="AZ74" s="4">
        <f>AX148</f>
        <v>143141.33333333334</v>
      </c>
      <c r="BA74" s="18"/>
      <c r="BB74" s="4">
        <f>AZ148</f>
        <v>317100.93219157623</v>
      </c>
      <c r="BC74" s="18"/>
      <c r="BD74" s="4">
        <f>BB148</f>
        <v>320803.07843137253</v>
      </c>
      <c r="BE74" s="18"/>
      <c r="BF74" s="4">
        <f>BD148</f>
        <v>276307.61176470591</v>
      </c>
      <c r="BG74" s="18"/>
      <c r="BH74" s="4">
        <f>BF148</f>
        <v>268533.8823529412</v>
      </c>
      <c r="BI74" s="18"/>
      <c r="BJ74" s="4">
        <f>BH148</f>
        <v>288348</v>
      </c>
      <c r="BK74" s="18"/>
      <c r="BL74" s="4">
        <f>BJ148</f>
        <v>146000</v>
      </c>
      <c r="BM74" s="18"/>
      <c r="BN74" s="4">
        <f>BL148</f>
        <v>430500</v>
      </c>
      <c r="BO74" s="18"/>
      <c r="BP74" s="4">
        <f>BN148</f>
        <v>191877</v>
      </c>
      <c r="BQ74" s="18"/>
      <c r="BR74" s="4">
        <f>BP148</f>
        <v>20000</v>
      </c>
      <c r="BS74" s="18"/>
    </row>
    <row r="75" spans="3:71" s="14" customFormat="1" outlineLevel="2" x14ac:dyDescent="0.25">
      <c r="C75" s="4"/>
      <c r="D75" s="4"/>
      <c r="E75" s="4" t="s">
        <v>145</v>
      </c>
      <c r="G75" s="21"/>
      <c r="N75" s="19"/>
      <c r="S75" s="20"/>
      <c r="T75" s="34">
        <v>0</v>
      </c>
      <c r="U75" s="22"/>
      <c r="V75" s="34">
        <v>0</v>
      </c>
      <c r="W75" s="22"/>
      <c r="X75" s="34">
        <v>0</v>
      </c>
      <c r="Y75" s="22"/>
      <c r="Z75" s="34">
        <v>0</v>
      </c>
      <c r="AA75" s="22"/>
      <c r="AB75" s="34">
        <v>0</v>
      </c>
      <c r="AC75" s="18"/>
      <c r="AD75" s="34">
        <v>0</v>
      </c>
      <c r="AE75" s="22"/>
      <c r="AF75" s="34">
        <v>0</v>
      </c>
      <c r="AG75" s="18"/>
      <c r="AH75" s="34">
        <v>0</v>
      </c>
      <c r="AI75" s="18"/>
      <c r="AJ75" s="34">
        <v>0</v>
      </c>
      <c r="AK75" s="18" t="s">
        <v>146</v>
      </c>
      <c r="AL75" s="34">
        <v>3125</v>
      </c>
      <c r="AM75" s="22"/>
      <c r="AN75" s="34">
        <v>0</v>
      </c>
      <c r="AO75" s="22"/>
      <c r="AP75" s="34">
        <v>0</v>
      </c>
      <c r="AQ75" s="22"/>
      <c r="AR75" s="34">
        <v>0</v>
      </c>
      <c r="AS75" s="22"/>
      <c r="AT75" s="126">
        <v>0</v>
      </c>
      <c r="AU75" s="22"/>
      <c r="AV75" s="34">
        <v>0</v>
      </c>
      <c r="AW75" s="22"/>
      <c r="AX75" s="34">
        <v>0</v>
      </c>
      <c r="AY75" s="22"/>
      <c r="AZ75" s="34">
        <v>0</v>
      </c>
      <c r="BA75" s="22"/>
      <c r="BB75" s="34">
        <v>0</v>
      </c>
      <c r="BC75" s="22"/>
      <c r="BD75" s="34">
        <v>0</v>
      </c>
      <c r="BE75" s="22"/>
      <c r="BF75" s="34">
        <v>0</v>
      </c>
      <c r="BG75" s="22"/>
      <c r="BH75" s="34">
        <v>0</v>
      </c>
      <c r="BI75" s="22"/>
      <c r="BJ75" s="34">
        <v>0</v>
      </c>
      <c r="BK75" s="22"/>
      <c r="BL75" s="34">
        <v>0</v>
      </c>
      <c r="BM75" s="22"/>
      <c r="BN75" s="34">
        <v>0</v>
      </c>
      <c r="BO75" s="22"/>
      <c r="BP75" s="34">
        <v>0</v>
      </c>
      <c r="BQ75" s="22"/>
      <c r="BR75" s="34">
        <v>0</v>
      </c>
      <c r="BS75" s="22"/>
    </row>
    <row r="76" spans="3:71" s="14" customFormat="1" outlineLevel="2" x14ac:dyDescent="0.25">
      <c r="C76" s="4"/>
      <c r="D76" s="4"/>
      <c r="E76" s="4" t="s">
        <v>772</v>
      </c>
      <c r="G76" s="21"/>
      <c r="N76" s="19"/>
      <c r="S76" s="20"/>
      <c r="T76" s="34">
        <v>0</v>
      </c>
      <c r="U76" s="22"/>
      <c r="V76" s="34">
        <v>0</v>
      </c>
      <c r="W76" s="22"/>
      <c r="X76" s="34">
        <v>0</v>
      </c>
      <c r="Y76" s="22"/>
      <c r="Z76" s="34">
        <v>0</v>
      </c>
      <c r="AA76" s="22"/>
      <c r="AB76" s="34">
        <v>0</v>
      </c>
      <c r="AC76" s="22"/>
      <c r="AD76" s="34">
        <v>0</v>
      </c>
      <c r="AE76" s="4"/>
      <c r="AF76" s="34">
        <v>0</v>
      </c>
      <c r="AG76" s="22"/>
      <c r="AH76" s="34">
        <v>6084</v>
      </c>
      <c r="AI76" s="22"/>
      <c r="AJ76" s="34">
        <v>1521</v>
      </c>
      <c r="AK76" s="22"/>
      <c r="AL76" s="34">
        <v>1521</v>
      </c>
      <c r="AM76" s="22"/>
      <c r="AN76" s="34">
        <v>1521</v>
      </c>
      <c r="AO76" s="22"/>
      <c r="AP76" s="34">
        <v>1521</v>
      </c>
      <c r="AQ76" s="22"/>
      <c r="AR76" s="34">
        <v>1521</v>
      </c>
      <c r="AS76" s="22"/>
      <c r="AT76" s="126">
        <v>1521</v>
      </c>
      <c r="AU76" s="22"/>
      <c r="AV76" s="34">
        <v>2193</v>
      </c>
      <c r="AW76" s="22"/>
      <c r="AX76" s="34">
        <v>2193</v>
      </c>
      <c r="AY76" s="22"/>
      <c r="AZ76" s="34">
        <v>2193</v>
      </c>
      <c r="BA76" s="22"/>
      <c r="BB76" s="34">
        <v>2193</v>
      </c>
      <c r="BC76" s="22"/>
      <c r="BD76" s="34">
        <v>2193</v>
      </c>
      <c r="BE76" s="22"/>
      <c r="BF76" s="34">
        <v>2193</v>
      </c>
      <c r="BG76" s="22"/>
      <c r="BH76" s="34">
        <v>2193</v>
      </c>
      <c r="BI76" s="22"/>
      <c r="BJ76" s="34">
        <v>2193</v>
      </c>
      <c r="BK76" s="22"/>
      <c r="BL76" s="34">
        <v>2193</v>
      </c>
      <c r="BM76" s="22"/>
      <c r="BN76" s="34">
        <v>2193</v>
      </c>
      <c r="BO76" s="22"/>
      <c r="BP76" s="34">
        <v>2193</v>
      </c>
      <c r="BQ76" s="22"/>
      <c r="BR76" s="34">
        <v>2193</v>
      </c>
      <c r="BS76" s="22"/>
    </row>
    <row r="77" spans="3:71" s="14" customFormat="1" outlineLevel="2" x14ac:dyDescent="0.25">
      <c r="C77" s="4"/>
      <c r="D77" s="4"/>
      <c r="E77" s="4" t="s">
        <v>147</v>
      </c>
      <c r="G77" s="21"/>
      <c r="N77" s="19"/>
      <c r="S77" s="20"/>
      <c r="T77" s="34">
        <v>0</v>
      </c>
      <c r="U77" s="22"/>
      <c r="V77" s="34">
        <v>0</v>
      </c>
      <c r="W77" s="22"/>
      <c r="X77" s="34">
        <v>0</v>
      </c>
      <c r="Y77" s="22"/>
      <c r="Z77" s="34">
        <v>0</v>
      </c>
      <c r="AA77" s="22"/>
      <c r="AB77" s="34">
        <v>0</v>
      </c>
      <c r="AC77" s="22"/>
      <c r="AD77" s="34">
        <v>0</v>
      </c>
      <c r="AE77" s="4"/>
      <c r="AF77" s="34">
        <v>0</v>
      </c>
      <c r="AG77" s="22"/>
      <c r="AH77" s="34">
        <v>0</v>
      </c>
      <c r="AI77" s="22"/>
      <c r="AJ77" s="34">
        <v>1215</v>
      </c>
      <c r="AK77" s="22"/>
      <c r="AL77" s="34">
        <v>1215</v>
      </c>
      <c r="AM77" s="22"/>
      <c r="AN77" s="34">
        <v>1215</v>
      </c>
      <c r="AO77" s="22"/>
      <c r="AP77" s="34">
        <v>1215</v>
      </c>
      <c r="AQ77" s="22"/>
      <c r="AR77" s="34">
        <v>1215</v>
      </c>
      <c r="AS77" s="22"/>
      <c r="AT77" s="126">
        <v>1215</v>
      </c>
      <c r="AU77" s="22"/>
      <c r="AV77" s="34">
        <v>0</v>
      </c>
      <c r="AW77" s="22"/>
      <c r="AX77" s="34">
        <v>0</v>
      </c>
      <c r="AY77" s="22"/>
      <c r="AZ77" s="34">
        <v>0</v>
      </c>
      <c r="BA77" s="22"/>
      <c r="BB77" s="34">
        <v>0</v>
      </c>
      <c r="BC77" s="22"/>
      <c r="BD77" s="34">
        <v>0</v>
      </c>
      <c r="BE77" s="22"/>
      <c r="BF77" s="34">
        <v>0</v>
      </c>
      <c r="BG77" s="22"/>
      <c r="BH77" s="75">
        <v>6228.33</v>
      </c>
      <c r="BI77" s="79"/>
      <c r="BJ77" s="75">
        <v>6228.33</v>
      </c>
      <c r="BK77" s="79"/>
      <c r="BL77" s="75">
        <v>6228.33</v>
      </c>
      <c r="BM77" s="79"/>
      <c r="BN77" s="75">
        <v>6228.33</v>
      </c>
      <c r="BO77" s="79"/>
      <c r="BP77" s="75">
        <v>6228.33</v>
      </c>
      <c r="BQ77" s="79"/>
      <c r="BR77" s="75">
        <v>6228.33</v>
      </c>
      <c r="BS77" s="22"/>
    </row>
    <row r="78" spans="3:71" s="14" customFormat="1" outlineLevel="2" x14ac:dyDescent="0.25">
      <c r="C78" s="4"/>
      <c r="D78" s="4"/>
      <c r="E78" s="4" t="s">
        <v>148</v>
      </c>
      <c r="G78" s="21"/>
      <c r="N78" s="19"/>
      <c r="S78" s="20"/>
      <c r="T78" s="34">
        <v>0</v>
      </c>
      <c r="U78" s="22"/>
      <c r="V78" s="34">
        <v>0</v>
      </c>
      <c r="W78" s="22"/>
      <c r="X78" s="34">
        <v>269</v>
      </c>
      <c r="Y78" s="22"/>
      <c r="Z78" s="34">
        <v>269</v>
      </c>
      <c r="AA78" s="22"/>
      <c r="AB78" s="34">
        <v>269</v>
      </c>
      <c r="AC78" s="22"/>
      <c r="AD78" s="34">
        <v>269</v>
      </c>
      <c r="AE78" s="18"/>
      <c r="AF78" s="34">
        <v>269</v>
      </c>
      <c r="AG78" s="22"/>
      <c r="AH78" s="34">
        <v>269</v>
      </c>
      <c r="AI78" s="22"/>
      <c r="AJ78" s="34">
        <v>269</v>
      </c>
      <c r="AK78" s="22"/>
      <c r="AL78" s="34">
        <v>269</v>
      </c>
      <c r="AM78" s="22"/>
      <c r="AN78" s="34">
        <v>269</v>
      </c>
      <c r="AO78" s="22"/>
      <c r="AP78" s="34">
        <v>269</v>
      </c>
      <c r="AQ78" s="22"/>
      <c r="AR78" s="34">
        <v>269</v>
      </c>
      <c r="AS78" s="22"/>
      <c r="AT78" s="130">
        <v>269</v>
      </c>
      <c r="AU78" s="79"/>
      <c r="AV78" s="75">
        <v>269</v>
      </c>
      <c r="AW78" s="79"/>
      <c r="AX78" s="75">
        <v>269</v>
      </c>
      <c r="AY78" s="79"/>
      <c r="AZ78" s="75">
        <v>269</v>
      </c>
      <c r="BA78" s="79"/>
      <c r="BB78" s="75">
        <v>269</v>
      </c>
      <c r="BC78" s="79"/>
      <c r="BD78" s="75">
        <v>269</v>
      </c>
      <c r="BE78" s="79"/>
      <c r="BF78" s="75">
        <v>269</v>
      </c>
      <c r="BG78" s="79"/>
      <c r="BH78" s="75">
        <v>269</v>
      </c>
      <c r="BI78" s="79"/>
      <c r="BJ78" s="75">
        <v>269</v>
      </c>
      <c r="BK78" s="79"/>
      <c r="BL78" s="75">
        <v>269</v>
      </c>
      <c r="BM78" s="79"/>
      <c r="BN78" s="75">
        <v>269</v>
      </c>
      <c r="BO78" s="79"/>
      <c r="BP78" s="75">
        <v>269</v>
      </c>
      <c r="BQ78" s="79"/>
      <c r="BR78" s="75">
        <v>269</v>
      </c>
      <c r="BS78" s="79"/>
    </row>
    <row r="79" spans="3:71" s="14" customFormat="1" outlineLevel="2" x14ac:dyDescent="0.25">
      <c r="C79" s="4"/>
      <c r="D79" s="4"/>
      <c r="E79" s="4" t="s">
        <v>149</v>
      </c>
      <c r="G79" s="21"/>
      <c r="N79" s="19"/>
      <c r="S79" s="20"/>
      <c r="T79" s="34">
        <v>0</v>
      </c>
      <c r="U79" s="22"/>
      <c r="V79" s="34">
        <v>0</v>
      </c>
      <c r="W79" s="22"/>
      <c r="X79" s="34">
        <v>269</v>
      </c>
      <c r="Y79" s="22"/>
      <c r="Z79" s="34">
        <v>269</v>
      </c>
      <c r="AA79" s="22"/>
      <c r="AB79" s="34">
        <v>0</v>
      </c>
      <c r="AC79" s="22"/>
      <c r="AD79" s="34">
        <v>0</v>
      </c>
      <c r="AE79" s="18"/>
      <c r="AF79" s="34">
        <v>0</v>
      </c>
      <c r="AG79" s="22"/>
      <c r="AH79" s="34">
        <v>0</v>
      </c>
      <c r="AI79" s="22"/>
      <c r="AJ79" s="34">
        <v>0</v>
      </c>
      <c r="AK79" s="22"/>
      <c r="AL79" s="34">
        <v>269</v>
      </c>
      <c r="AM79" s="22"/>
      <c r="AN79" s="34">
        <v>269</v>
      </c>
      <c r="AO79" s="22"/>
      <c r="AP79" s="34">
        <v>269</v>
      </c>
      <c r="AQ79" s="22"/>
      <c r="AR79" s="34">
        <v>269</v>
      </c>
      <c r="AS79" s="22"/>
      <c r="AT79" s="126">
        <v>269</v>
      </c>
      <c r="AU79" s="22"/>
      <c r="AV79" s="34">
        <v>269</v>
      </c>
      <c r="AW79" s="22"/>
      <c r="AX79" s="34">
        <v>269</v>
      </c>
      <c r="AY79" s="22"/>
      <c r="AZ79" s="34">
        <v>269</v>
      </c>
      <c r="BA79" s="22"/>
      <c r="BB79" s="34">
        <v>269</v>
      </c>
      <c r="BC79" s="22"/>
      <c r="BD79" s="34">
        <v>269</v>
      </c>
      <c r="BE79" s="22"/>
      <c r="BF79" s="34">
        <v>269</v>
      </c>
      <c r="BG79" s="22"/>
      <c r="BH79" s="34">
        <v>269</v>
      </c>
      <c r="BI79" s="22"/>
      <c r="BJ79" s="34">
        <v>269</v>
      </c>
      <c r="BK79" s="22"/>
      <c r="BL79" s="34">
        <v>269</v>
      </c>
      <c r="BM79" s="22"/>
      <c r="BN79" s="34">
        <v>269</v>
      </c>
      <c r="BO79" s="22"/>
      <c r="BP79" s="34">
        <v>269</v>
      </c>
      <c r="BQ79" s="22"/>
      <c r="BR79" s="34">
        <v>269</v>
      </c>
      <c r="BS79" s="22"/>
    </row>
    <row r="80" spans="3:71" s="14" customFormat="1" outlineLevel="2" x14ac:dyDescent="0.25">
      <c r="C80" s="4"/>
      <c r="D80" s="4"/>
      <c r="E80" s="4" t="s">
        <v>150</v>
      </c>
      <c r="G80" s="21"/>
      <c r="N80" s="19"/>
      <c r="S80" s="20"/>
      <c r="T80" s="34"/>
      <c r="U80" s="22"/>
      <c r="V80" s="34"/>
      <c r="W80" s="22"/>
      <c r="X80" s="34"/>
      <c r="Y80" s="22"/>
      <c r="Z80" s="34"/>
      <c r="AA80" s="22"/>
      <c r="AB80" s="34"/>
      <c r="AC80" s="22"/>
      <c r="AD80" s="34"/>
      <c r="AE80" s="18"/>
      <c r="AF80" s="34"/>
      <c r="AG80" s="22"/>
      <c r="AH80" s="34"/>
      <c r="AI80" s="22"/>
      <c r="AJ80" s="34"/>
      <c r="AK80" s="22"/>
      <c r="AL80" s="34"/>
      <c r="AM80" s="22"/>
      <c r="AN80" s="34"/>
      <c r="AO80" s="22"/>
      <c r="AP80" s="34"/>
      <c r="AQ80" s="22"/>
      <c r="AR80" s="34"/>
      <c r="AS80" s="22"/>
      <c r="AT80" s="126"/>
      <c r="AU80" s="22"/>
      <c r="AV80" s="34"/>
      <c r="AW80" s="22"/>
      <c r="AX80" s="34"/>
      <c r="AY80" s="22"/>
      <c r="AZ80" s="34"/>
      <c r="BA80" s="22"/>
      <c r="BB80" s="34"/>
      <c r="BC80" s="22"/>
      <c r="BD80" s="34"/>
      <c r="BE80" s="22" t="s">
        <v>151</v>
      </c>
      <c r="BF80" s="46">
        <f>2889/2</f>
        <v>1444.5</v>
      </c>
      <c r="BG80" s="22" t="s">
        <v>760</v>
      </c>
      <c r="BH80" s="75">
        <v>75000</v>
      </c>
      <c r="BI80" s="22"/>
      <c r="BJ80" s="34"/>
      <c r="BK80" s="22"/>
      <c r="BL80" s="34"/>
      <c r="BM80" s="22"/>
      <c r="BN80" s="34"/>
      <c r="BO80" s="22"/>
      <c r="BP80" s="34"/>
      <c r="BQ80" s="22"/>
      <c r="BR80" s="34"/>
      <c r="BS80" s="22"/>
    </row>
    <row r="81" spans="1:71" s="14" customFormat="1" outlineLevel="2" x14ac:dyDescent="0.25">
      <c r="C81" s="4"/>
      <c r="D81" s="4"/>
      <c r="E81" s="4" t="s">
        <v>150</v>
      </c>
      <c r="G81" s="21"/>
      <c r="N81" s="19"/>
      <c r="S81" s="20"/>
      <c r="T81" s="34"/>
      <c r="U81" s="22"/>
      <c r="V81" s="34"/>
      <c r="W81" s="22"/>
      <c r="X81" s="34"/>
      <c r="Y81" s="22"/>
      <c r="Z81" s="34"/>
      <c r="AA81" s="22"/>
      <c r="AB81" s="34"/>
      <c r="AC81" s="22"/>
      <c r="AD81" s="34"/>
      <c r="AE81" s="18"/>
      <c r="AF81" s="34"/>
      <c r="AG81" s="22"/>
      <c r="AH81" s="34"/>
      <c r="AI81" s="22"/>
      <c r="AJ81" s="34"/>
      <c r="AK81" s="22"/>
      <c r="AL81" s="34"/>
      <c r="AM81" s="22"/>
      <c r="AN81" s="34"/>
      <c r="AO81" s="22"/>
      <c r="AP81" s="34"/>
      <c r="AQ81" s="22"/>
      <c r="AR81" s="34"/>
      <c r="AS81" s="22"/>
      <c r="AT81" s="126"/>
      <c r="AU81" s="22"/>
      <c r="AV81" s="34"/>
      <c r="AW81" s="22"/>
      <c r="AX81" s="34"/>
      <c r="AY81" s="22"/>
      <c r="AZ81" s="34"/>
      <c r="BA81" s="22"/>
      <c r="BB81" s="34"/>
      <c r="BC81" s="22"/>
      <c r="BD81" s="34"/>
      <c r="BE81" s="22" t="s">
        <v>761</v>
      </c>
      <c r="BF81" s="75">
        <v>66666</v>
      </c>
      <c r="BG81" s="22"/>
      <c r="BH81" s="75"/>
      <c r="BI81" s="22"/>
      <c r="BJ81" s="34"/>
      <c r="BK81" s="22"/>
      <c r="BL81" s="34"/>
      <c r="BM81" s="22"/>
      <c r="BN81" s="34"/>
      <c r="BO81" s="22"/>
      <c r="BP81" s="34"/>
      <c r="BQ81" s="22"/>
      <c r="BR81" s="34"/>
      <c r="BS81" s="22"/>
    </row>
    <row r="82" spans="1:71" x14ac:dyDescent="0.25">
      <c r="E82" s="4" t="s">
        <v>776</v>
      </c>
      <c r="G82" s="4"/>
      <c r="H82" s="1"/>
      <c r="X82" s="34">
        <f>200000/12</f>
        <v>16666.666666666668</v>
      </c>
      <c r="Z82" s="34">
        <f>200000/12</f>
        <v>16666.666666666668</v>
      </c>
      <c r="AB82" s="34">
        <f>200000/12</f>
        <v>16666.666666666668</v>
      </c>
      <c r="AD82" s="34">
        <f>200000/12</f>
        <v>16666.666666666668</v>
      </c>
      <c r="AF82" s="34">
        <f>200000/12</f>
        <v>16666.666666666668</v>
      </c>
      <c r="AH82" s="34">
        <f>200000/12</f>
        <v>16666.666666666668</v>
      </c>
      <c r="AJ82" s="34">
        <f>200000/12</f>
        <v>16666.666666666668</v>
      </c>
      <c r="AL82" s="34">
        <f>200000/12</f>
        <v>16666.666666666668</v>
      </c>
      <c r="AN82" s="34">
        <f>200000/12</f>
        <v>16666.666666666668</v>
      </c>
      <c r="AP82" s="34">
        <f>200000/12</f>
        <v>16666.666666666668</v>
      </c>
      <c r="AR82" s="34">
        <f>200000/12</f>
        <v>16666.666666666668</v>
      </c>
      <c r="AT82" s="34">
        <f>200000/12</f>
        <v>16666.666666666668</v>
      </c>
      <c r="AV82" s="34">
        <f>400000/12</f>
        <v>33333.333333333336</v>
      </c>
      <c r="AX82" s="34">
        <f>400000/12</f>
        <v>33333.333333333336</v>
      </c>
      <c r="AZ82" s="34">
        <f>400000/12</f>
        <v>33333.333333333336</v>
      </c>
      <c r="BB82" s="34">
        <f>400000/12</f>
        <v>33333.333333333336</v>
      </c>
      <c r="BC82" s="18"/>
      <c r="BD82" s="34">
        <f>400000/12</f>
        <v>33333.333333333336</v>
      </c>
      <c r="BF82" s="34">
        <f>400000/12</f>
        <v>33333.333333333336</v>
      </c>
      <c r="BH82" s="34">
        <f>400000/12</f>
        <v>33333.333333333336</v>
      </c>
      <c r="BJ82" s="34">
        <f>400000/12</f>
        <v>33333.333333333336</v>
      </c>
      <c r="BL82" s="34">
        <f>400000/12</f>
        <v>33333.333333333336</v>
      </c>
      <c r="BN82" s="34">
        <f>400000/12</f>
        <v>33333.333333333336</v>
      </c>
      <c r="BP82" s="34">
        <f>400000/12</f>
        <v>33333.333333333336</v>
      </c>
      <c r="BR82" s="34">
        <f>400000/12</f>
        <v>33333.333333333336</v>
      </c>
    </row>
    <row r="83" spans="1:71" s="14" customFormat="1" outlineLevel="1" x14ac:dyDescent="0.25">
      <c r="D83" s="14" t="s">
        <v>152</v>
      </c>
      <c r="G83" s="21"/>
      <c r="N83" s="19"/>
      <c r="S83" s="20"/>
      <c r="T83" s="14">
        <f>SUM(T84:T87)</f>
        <v>52680.977500000001</v>
      </c>
      <c r="U83" s="22"/>
      <c r="V83" s="14">
        <f>SUM(V84:V87)</f>
        <v>35908.027499999997</v>
      </c>
      <c r="W83" s="22"/>
      <c r="X83" s="14">
        <f>SUM(X84:X87)</f>
        <v>124195.69416666667</v>
      </c>
      <c r="Y83" s="22"/>
      <c r="Z83" s="14">
        <f>SUM(Z84:Z87)</f>
        <v>83051.194166666668</v>
      </c>
      <c r="AA83" s="22"/>
      <c r="AB83" s="14">
        <f>SUM(AB84:AB87)</f>
        <v>79386.349166666681</v>
      </c>
      <c r="AC83" s="22"/>
      <c r="AD83" s="14">
        <f>SUM(AD84:AD89)</f>
        <v>120156.3125</v>
      </c>
      <c r="AE83" s="18"/>
      <c r="AF83" s="14">
        <f>SUM(AF84:AF89)</f>
        <v>84357.342499999999</v>
      </c>
      <c r="AG83" s="22"/>
      <c r="AH83" s="14">
        <f>SUM(AH84:AH89)</f>
        <v>102020.26250000001</v>
      </c>
      <c r="AI83" s="22"/>
      <c r="AJ83" s="14">
        <f>SUM(AJ84:AJ89)</f>
        <v>126025.24583333335</v>
      </c>
      <c r="AK83" s="22"/>
      <c r="AL83" s="14">
        <f>SUM(AL84:AL89)</f>
        <v>70647.425833333327</v>
      </c>
      <c r="AM83" s="22"/>
      <c r="AN83" s="14">
        <f>SUM(AN84:AN89)</f>
        <v>91832.375833333324</v>
      </c>
      <c r="AO83" s="22"/>
      <c r="AP83" s="14">
        <f>SUM(AP84:AP89)</f>
        <v>93735.182499999995</v>
      </c>
      <c r="AQ83" s="22"/>
      <c r="AR83" s="14">
        <f>SUM(AR84:AR89)</f>
        <v>100504.66250000001</v>
      </c>
      <c r="AS83" s="22"/>
      <c r="AT83" s="125">
        <f>SUM(AT84:AT89)</f>
        <v>113463.80621485943</v>
      </c>
      <c r="AU83" s="22"/>
      <c r="AV83" s="14">
        <f>SUM(AV84:AV89)</f>
        <v>137848.9806425703</v>
      </c>
      <c r="AW83" s="22"/>
      <c r="AX83" s="14">
        <f>SUM(AX84:AX89)</f>
        <v>116547.46294765841</v>
      </c>
      <c r="AY83" s="22"/>
      <c r="AZ83" s="14">
        <f>SUM(AZ84:AZ89)</f>
        <v>175516.58189759037</v>
      </c>
      <c r="BA83" s="22"/>
      <c r="BB83" s="14">
        <f>SUM(BB84:BB89)</f>
        <v>213768.59916666668</v>
      </c>
      <c r="BC83" s="22"/>
      <c r="BD83" s="14">
        <f>SUM(BD84:BD89)</f>
        <v>200657.86750000002</v>
      </c>
      <c r="BE83" s="22"/>
      <c r="BF83" s="14">
        <f>SUM(BF84:BF89)</f>
        <v>203970.20750000002</v>
      </c>
      <c r="BG83" s="22"/>
      <c r="BH83" s="14">
        <f>SUM(BH84:BH89)</f>
        <v>214534.69333333333</v>
      </c>
      <c r="BI83" s="22"/>
      <c r="BJ83" s="14">
        <f>SUM(BJ84:BJ89)</f>
        <v>181893.09333333335</v>
      </c>
      <c r="BK83" s="22"/>
      <c r="BL83" s="14">
        <f>SUM(BL84:BL89)</f>
        <v>213907.36666666667</v>
      </c>
      <c r="BM83" s="22"/>
      <c r="BN83" s="14">
        <f>SUM(BN84:BN89)</f>
        <v>200177.36666666667</v>
      </c>
      <c r="BO83" s="22"/>
      <c r="BP83" s="14">
        <f>SUM(BP84:BP89)</f>
        <v>173702.3666666667</v>
      </c>
      <c r="BQ83" s="22"/>
      <c r="BR83" s="14">
        <f>SUM(BR84:BR89)</f>
        <v>191816.35666666666</v>
      </c>
      <c r="BS83" s="22"/>
    </row>
    <row r="84" spans="1:71" outlineLevel="2" x14ac:dyDescent="0.25">
      <c r="E84" s="4" t="s">
        <v>153</v>
      </c>
      <c r="T84" s="4">
        <f>T198</f>
        <v>52680.977500000001</v>
      </c>
      <c r="V84" s="4">
        <f>V198</f>
        <v>35908.027499999997</v>
      </c>
      <c r="X84" s="4">
        <f>X198</f>
        <v>67964.694166666668</v>
      </c>
      <c r="Z84" s="4">
        <f>Z198</f>
        <v>55493.194166666668</v>
      </c>
      <c r="AB84" s="4">
        <f>AB198</f>
        <v>77549.349166666681</v>
      </c>
      <c r="AD84" s="4">
        <f>AD198</f>
        <v>112599.3125</v>
      </c>
      <c r="AF84" s="4">
        <f>AF198</f>
        <v>78708.342499999999</v>
      </c>
      <c r="AH84" s="4">
        <f>AH198</f>
        <v>102020.26250000001</v>
      </c>
      <c r="AJ84" s="4">
        <f>AJ198</f>
        <v>122444.24583333335</v>
      </c>
      <c r="AL84" s="4">
        <f>AL198</f>
        <v>67066.425833333327</v>
      </c>
      <c r="AN84" s="4">
        <f>AN198</f>
        <v>88251.375833333324</v>
      </c>
      <c r="AP84" s="4">
        <f>AP198</f>
        <v>90154.182499999995</v>
      </c>
      <c r="AR84" s="4">
        <f>AR198</f>
        <v>96923.662500000006</v>
      </c>
      <c r="AT84" s="121">
        <f>AT198</f>
        <v>109882.80621485943</v>
      </c>
      <c r="AV84" s="4">
        <f>AV198</f>
        <v>137848.9806425703</v>
      </c>
      <c r="AX84" s="4">
        <f>AX198</f>
        <v>116547.46294765841</v>
      </c>
      <c r="AZ84" s="4">
        <f>AZ198</f>
        <v>174104.58189759037</v>
      </c>
      <c r="BB84" s="4">
        <f>BB198</f>
        <v>213768.59916666668</v>
      </c>
      <c r="BC84" s="18"/>
      <c r="BD84" s="4">
        <f>BD198</f>
        <v>200657.86750000002</v>
      </c>
      <c r="BF84" s="4">
        <f>BF198</f>
        <v>203970.20750000002</v>
      </c>
      <c r="BH84" s="4">
        <f>BH198</f>
        <v>214534.69333333333</v>
      </c>
      <c r="BJ84" s="4">
        <f>BJ198</f>
        <v>181893.09333333335</v>
      </c>
      <c r="BL84" s="4">
        <f>BL198</f>
        <v>213907.36666666667</v>
      </c>
      <c r="BN84" s="4">
        <f>BN198</f>
        <v>200177.36666666667</v>
      </c>
      <c r="BP84" s="4">
        <f>BP198</f>
        <v>173702.3666666667</v>
      </c>
      <c r="BR84" s="4">
        <f>BR198</f>
        <v>191816.35666666666</v>
      </c>
    </row>
    <row r="85" spans="1:71" outlineLevel="2" x14ac:dyDescent="0.25">
      <c r="E85" s="4" t="s">
        <v>154</v>
      </c>
      <c r="T85" s="34">
        <v>0</v>
      </c>
      <c r="U85" s="22"/>
      <c r="V85" s="34">
        <v>0</v>
      </c>
      <c r="W85" s="22"/>
      <c r="X85" s="34">
        <v>0</v>
      </c>
      <c r="Y85" s="22"/>
      <c r="Z85" s="34">
        <v>0</v>
      </c>
      <c r="AA85" s="22"/>
      <c r="AB85" s="34">
        <v>0</v>
      </c>
      <c r="AC85" s="18" t="s">
        <v>155</v>
      </c>
      <c r="AD85" s="34">
        <v>2057</v>
      </c>
      <c r="AE85" s="18" t="s">
        <v>156</v>
      </c>
      <c r="AF85" s="34">
        <v>1750</v>
      </c>
      <c r="AG85" s="22"/>
      <c r="AH85" s="34">
        <v>0</v>
      </c>
      <c r="AI85" s="22"/>
      <c r="AJ85" s="34">
        <v>0</v>
      </c>
      <c r="AK85" s="22"/>
      <c r="AL85" s="34">
        <v>0</v>
      </c>
      <c r="AM85" s="22"/>
      <c r="AN85" s="34">
        <v>0</v>
      </c>
      <c r="AO85" s="22"/>
      <c r="AP85" s="34">
        <v>0</v>
      </c>
      <c r="AQ85" s="22"/>
      <c r="AR85" s="34">
        <v>0</v>
      </c>
      <c r="AS85" s="22"/>
      <c r="AT85" s="126">
        <v>0</v>
      </c>
      <c r="AU85" s="22"/>
      <c r="AV85" s="34">
        <v>0</v>
      </c>
      <c r="AW85" s="22"/>
      <c r="AX85" s="34">
        <v>0</v>
      </c>
      <c r="AY85" s="18" t="s">
        <v>157</v>
      </c>
      <c r="AZ85" s="35">
        <v>1412</v>
      </c>
      <c r="BA85" s="22"/>
      <c r="BB85" s="34">
        <v>0</v>
      </c>
      <c r="BC85" s="22"/>
      <c r="BD85" s="34">
        <v>0</v>
      </c>
      <c r="BE85" s="22"/>
      <c r="BF85" s="34">
        <v>0</v>
      </c>
      <c r="BG85" s="22"/>
      <c r="BH85" s="34">
        <v>0</v>
      </c>
      <c r="BI85" s="22"/>
      <c r="BJ85" s="34">
        <v>0</v>
      </c>
      <c r="BK85" s="22"/>
      <c r="BL85" s="34">
        <v>0</v>
      </c>
      <c r="BM85" s="22"/>
      <c r="BN85" s="34">
        <v>0</v>
      </c>
      <c r="BO85" s="22"/>
      <c r="BP85" s="34">
        <v>0</v>
      </c>
      <c r="BQ85" s="22"/>
      <c r="BR85" s="34">
        <v>0</v>
      </c>
      <c r="BS85" s="22"/>
    </row>
    <row r="86" spans="1:71" outlineLevel="2" x14ac:dyDescent="0.25">
      <c r="E86" s="4" t="s">
        <v>154</v>
      </c>
      <c r="T86" s="34">
        <v>0</v>
      </c>
      <c r="U86" s="22"/>
      <c r="V86" s="34">
        <v>0</v>
      </c>
      <c r="W86" s="22" t="s">
        <v>158</v>
      </c>
      <c r="X86" s="34">
        <v>56231</v>
      </c>
      <c r="Y86" s="18" t="s">
        <v>158</v>
      </c>
      <c r="Z86" s="34">
        <f>29988-(3000*0.81)</f>
        <v>27558</v>
      </c>
      <c r="AA86" s="18" t="s">
        <v>159</v>
      </c>
      <c r="AB86" s="34">
        <v>1837</v>
      </c>
      <c r="AC86" s="18" t="s">
        <v>160</v>
      </c>
      <c r="AD86" s="34">
        <v>2500</v>
      </c>
      <c r="AE86" s="18" t="s">
        <v>158</v>
      </c>
      <c r="AF86" s="34">
        <f>2000*0.81</f>
        <v>1620</v>
      </c>
      <c r="AG86" s="22"/>
      <c r="AH86" s="34">
        <v>0</v>
      </c>
      <c r="AI86" s="22"/>
      <c r="AJ86" s="34">
        <v>0</v>
      </c>
      <c r="AK86" s="22"/>
      <c r="AL86" s="34">
        <v>0</v>
      </c>
      <c r="AM86" s="22"/>
      <c r="AN86" s="34">
        <v>0</v>
      </c>
      <c r="AO86" s="22"/>
      <c r="AP86" s="34">
        <v>0</v>
      </c>
      <c r="AQ86" s="22"/>
      <c r="AR86" s="34">
        <v>0</v>
      </c>
      <c r="AS86" s="22"/>
      <c r="AT86" s="126">
        <v>0</v>
      </c>
      <c r="AU86" s="22"/>
      <c r="AV86" s="34">
        <v>0</v>
      </c>
      <c r="AW86" s="22"/>
      <c r="AX86" s="34">
        <v>0</v>
      </c>
      <c r="AY86" s="22"/>
      <c r="AZ86" s="34">
        <v>0</v>
      </c>
      <c r="BA86" s="22"/>
      <c r="BB86" s="34">
        <v>0</v>
      </c>
      <c r="BC86" s="22"/>
      <c r="BD86" s="34">
        <v>0</v>
      </c>
      <c r="BE86" s="22"/>
      <c r="BF86" s="34">
        <v>0</v>
      </c>
      <c r="BG86" s="22"/>
      <c r="BH86" s="34">
        <v>0</v>
      </c>
      <c r="BI86" s="22"/>
      <c r="BJ86" s="34">
        <v>0</v>
      </c>
      <c r="BK86" s="22"/>
      <c r="BL86" s="34">
        <v>0</v>
      </c>
      <c r="BM86" s="22"/>
      <c r="BN86" s="34">
        <v>0</v>
      </c>
      <c r="BO86" s="22"/>
      <c r="BP86" s="34">
        <v>0</v>
      </c>
      <c r="BQ86" s="22"/>
      <c r="BR86" s="34">
        <v>0</v>
      </c>
      <c r="BS86" s="22"/>
    </row>
    <row r="87" spans="1:71" outlineLevel="2" x14ac:dyDescent="0.25">
      <c r="E87" s="4" t="s">
        <v>161</v>
      </c>
      <c r="T87" s="34">
        <v>0</v>
      </c>
      <c r="U87" s="22"/>
      <c r="V87" s="34">
        <v>0</v>
      </c>
      <c r="W87" s="22"/>
      <c r="X87" s="34">
        <v>0</v>
      </c>
      <c r="Y87" s="22"/>
      <c r="Z87" s="34">
        <v>0</v>
      </c>
      <c r="AA87" s="22"/>
      <c r="AB87" s="34">
        <v>0</v>
      </c>
      <c r="AC87" s="18" t="s">
        <v>162</v>
      </c>
      <c r="AD87" s="34">
        <v>3000</v>
      </c>
      <c r="AE87" s="18" t="s">
        <v>162</v>
      </c>
      <c r="AF87" s="34">
        <v>2279</v>
      </c>
      <c r="AG87" s="22"/>
      <c r="AH87" s="34">
        <v>0</v>
      </c>
      <c r="AI87" s="22"/>
      <c r="AJ87" s="34">
        <v>0</v>
      </c>
      <c r="AK87" s="22"/>
      <c r="AL87" s="34">
        <v>0</v>
      </c>
      <c r="AM87" s="22"/>
      <c r="AN87" s="34">
        <v>0</v>
      </c>
      <c r="AO87" s="22"/>
      <c r="AP87" s="34">
        <v>0</v>
      </c>
      <c r="AQ87" s="22"/>
      <c r="AR87" s="34">
        <v>0</v>
      </c>
      <c r="AS87" s="22"/>
      <c r="AT87" s="126">
        <v>0</v>
      </c>
      <c r="AU87" s="22"/>
      <c r="AV87" s="34">
        <v>0</v>
      </c>
      <c r="AW87" s="22"/>
      <c r="AX87" s="34">
        <v>0</v>
      </c>
      <c r="AY87" s="22"/>
      <c r="AZ87" s="34">
        <v>0</v>
      </c>
      <c r="BA87" s="22"/>
      <c r="BB87" s="34">
        <v>0</v>
      </c>
      <c r="BC87" s="22"/>
      <c r="BD87" s="34">
        <v>0</v>
      </c>
      <c r="BE87" s="22"/>
      <c r="BF87" s="34">
        <v>0</v>
      </c>
      <c r="BG87" s="22"/>
      <c r="BH87" s="34">
        <v>0</v>
      </c>
      <c r="BI87" s="22"/>
      <c r="BJ87" s="34">
        <v>0</v>
      </c>
      <c r="BK87" s="22"/>
      <c r="BL87" s="34">
        <v>0</v>
      </c>
      <c r="BM87" s="22"/>
      <c r="BN87" s="34">
        <v>0</v>
      </c>
      <c r="BO87" s="22"/>
      <c r="BP87" s="34">
        <v>0</v>
      </c>
      <c r="BQ87" s="22"/>
      <c r="BR87" s="34">
        <v>0</v>
      </c>
      <c r="BS87" s="22"/>
    </row>
    <row r="88" spans="1:71" outlineLevel="2" x14ac:dyDescent="0.25">
      <c r="E88" s="4" t="s">
        <v>163</v>
      </c>
      <c r="T88" s="34">
        <v>0</v>
      </c>
      <c r="U88" s="22"/>
      <c r="V88" s="34">
        <v>0</v>
      </c>
      <c r="W88" s="22"/>
      <c r="X88" s="34">
        <v>0</v>
      </c>
      <c r="Y88" s="22"/>
      <c r="Z88" s="34">
        <v>0</v>
      </c>
      <c r="AA88" s="22"/>
      <c r="AB88" s="34">
        <v>0</v>
      </c>
      <c r="AD88" s="34"/>
      <c r="AF88" s="34">
        <v>0</v>
      </c>
      <c r="AG88" s="22"/>
      <c r="AH88" s="34">
        <v>0</v>
      </c>
      <c r="AI88" s="22"/>
      <c r="AJ88" s="34">
        <v>3581</v>
      </c>
      <c r="AK88" s="22"/>
      <c r="AL88" s="34">
        <v>3581</v>
      </c>
      <c r="AM88" s="22"/>
      <c r="AN88" s="34">
        <v>3581</v>
      </c>
      <c r="AO88" s="22"/>
      <c r="AP88" s="34">
        <v>3581</v>
      </c>
      <c r="AQ88" s="22"/>
      <c r="AR88" s="34">
        <v>3581</v>
      </c>
      <c r="AS88" s="22"/>
      <c r="AT88" s="126">
        <v>3581</v>
      </c>
      <c r="AU88" s="22"/>
      <c r="AV88" s="34">
        <v>0</v>
      </c>
      <c r="AW88" s="22"/>
      <c r="AX88" s="34">
        <v>0</v>
      </c>
      <c r="AY88" s="22"/>
      <c r="AZ88" s="34">
        <v>0</v>
      </c>
      <c r="BA88" s="22"/>
      <c r="BB88" s="34">
        <v>0</v>
      </c>
      <c r="BC88" s="22"/>
      <c r="BD88" s="34">
        <v>0</v>
      </c>
      <c r="BE88" s="22"/>
      <c r="BF88" s="34">
        <v>0</v>
      </c>
      <c r="BG88" s="22"/>
      <c r="BH88" s="34">
        <v>0</v>
      </c>
      <c r="BI88" s="22"/>
      <c r="BJ88" s="34">
        <v>0</v>
      </c>
      <c r="BK88" s="22"/>
      <c r="BL88" s="34">
        <v>0</v>
      </c>
      <c r="BM88" s="22"/>
      <c r="BN88" s="34">
        <v>0</v>
      </c>
      <c r="BO88" s="22"/>
      <c r="BP88" s="34">
        <v>0</v>
      </c>
      <c r="BQ88" s="22"/>
      <c r="BR88" s="34">
        <v>0</v>
      </c>
      <c r="BS88" s="22"/>
    </row>
    <row r="89" spans="1:71" outlineLevel="1" x14ac:dyDescent="0.25">
      <c r="G89" s="4"/>
      <c r="N89" s="4"/>
      <c r="S89" s="4"/>
      <c r="U89" s="4"/>
      <c r="W89" s="4"/>
      <c r="Y89" s="4"/>
      <c r="AA89" s="4"/>
      <c r="AC89" s="4"/>
      <c r="AE89" s="4"/>
      <c r="AG89" s="4"/>
      <c r="AI89" s="4"/>
      <c r="AK89" s="4"/>
      <c r="AM89" s="4"/>
      <c r="AO89" s="4"/>
      <c r="AQ89" s="4"/>
      <c r="AS89" s="4"/>
      <c r="AU89" s="4"/>
      <c r="AW89" s="4"/>
      <c r="AY89" s="4"/>
      <c r="BA89" s="4"/>
      <c r="BC89" s="4"/>
      <c r="BE89" s="4"/>
      <c r="BG89" s="4"/>
      <c r="BI89" s="4"/>
      <c r="BK89" s="4"/>
      <c r="BM89" s="4"/>
      <c r="BO89" s="4"/>
      <c r="BQ89" s="4"/>
      <c r="BS89" s="4"/>
    </row>
    <row r="90" spans="1:71" x14ac:dyDescent="0.25">
      <c r="G90" s="4"/>
      <c r="N90" s="4"/>
      <c r="S90" s="4"/>
      <c r="U90" s="4"/>
      <c r="W90" s="4"/>
      <c r="Y90" s="4"/>
      <c r="AA90" s="4"/>
      <c r="AC90" s="4"/>
      <c r="AE90" s="4"/>
      <c r="AG90" s="4"/>
      <c r="AI90" s="4"/>
      <c r="AK90" s="4"/>
      <c r="AM90" s="4"/>
      <c r="AO90" s="4"/>
      <c r="AQ90" s="4"/>
      <c r="AS90" s="4"/>
      <c r="AU90" s="4"/>
      <c r="AW90" s="4"/>
      <c r="AY90" s="4"/>
      <c r="BA90" s="4"/>
      <c r="BC90" s="4"/>
      <c r="BE90" s="4"/>
      <c r="BG90" s="4"/>
      <c r="BI90" s="4"/>
      <c r="BK90" s="4"/>
      <c r="BM90" s="4"/>
      <c r="BO90" s="4"/>
      <c r="BQ90" s="4"/>
      <c r="BS90" s="4"/>
    </row>
    <row r="91" spans="1:71" x14ac:dyDescent="0.25">
      <c r="C91" s="5" t="s">
        <v>758</v>
      </c>
      <c r="D91" s="3"/>
      <c r="E91" s="3"/>
      <c r="F91" s="3"/>
      <c r="G91" s="54"/>
      <c r="H91" s="3"/>
      <c r="I91" s="3"/>
      <c r="J91" s="3"/>
      <c r="K91" s="3"/>
      <c r="L91" s="3"/>
      <c r="M91" s="3"/>
      <c r="N91" s="2"/>
      <c r="O91" s="3"/>
      <c r="P91" s="3"/>
      <c r="Q91" s="3"/>
      <c r="S91" s="7"/>
      <c r="T91" s="33">
        <v>45231</v>
      </c>
      <c r="U91" s="9"/>
      <c r="V91" s="33">
        <v>45261</v>
      </c>
      <c r="W91" s="9"/>
      <c r="X91" s="33">
        <v>45292</v>
      </c>
      <c r="Y91" s="9"/>
      <c r="Z91" s="33">
        <v>45323</v>
      </c>
      <c r="AA91" s="9"/>
      <c r="AB91" s="33">
        <v>45352</v>
      </c>
      <c r="AC91" s="9"/>
      <c r="AD91" s="33">
        <v>45383</v>
      </c>
      <c r="AE91" s="9"/>
      <c r="AF91" s="33">
        <v>45413</v>
      </c>
      <c r="AG91" s="9"/>
      <c r="AH91" s="33">
        <v>45444</v>
      </c>
      <c r="AI91" s="9"/>
      <c r="AJ91" s="33">
        <v>45474</v>
      </c>
      <c r="AK91" s="9"/>
      <c r="AL91" s="33">
        <v>45528</v>
      </c>
      <c r="AM91" s="9"/>
      <c r="AN91" s="51">
        <f>AN$2</f>
        <v>45559</v>
      </c>
      <c r="AO91" s="9"/>
      <c r="AP91" s="51" t="str">
        <f>AP$2</f>
        <v>Okt-24</v>
      </c>
      <c r="AQ91" s="9"/>
      <c r="AR91" s="51">
        <f>AR$2</f>
        <v>45620</v>
      </c>
      <c r="AS91" s="9"/>
      <c r="AT91" s="122">
        <f>AT$2</f>
        <v>45650</v>
      </c>
      <c r="AU91" s="9"/>
      <c r="AV91" s="51">
        <f>AV$2</f>
        <v>45658</v>
      </c>
      <c r="AW91" s="9"/>
      <c r="AX91" s="51">
        <f>AX$2</f>
        <v>45689</v>
      </c>
      <c r="AY91" s="9"/>
      <c r="AZ91" s="51">
        <f>AZ$2</f>
        <v>45719</v>
      </c>
      <c r="BA91" s="9"/>
      <c r="BB91" s="51">
        <f>BB$2</f>
        <v>45749</v>
      </c>
      <c r="BC91" s="9"/>
      <c r="BD91" s="51">
        <f>BD$2</f>
        <v>45779</v>
      </c>
      <c r="BE91" s="9"/>
      <c r="BF91" s="51">
        <f>BF$2</f>
        <v>45809</v>
      </c>
      <c r="BG91" s="9"/>
      <c r="BH91" s="51">
        <f>BH$2</f>
        <v>45839</v>
      </c>
      <c r="BI91" s="9"/>
      <c r="BJ91" s="51">
        <f>BJ$2</f>
        <v>45870</v>
      </c>
      <c r="BK91" s="9"/>
      <c r="BL91" s="51">
        <f>BL$2</f>
        <v>45901</v>
      </c>
      <c r="BM91" s="9"/>
      <c r="BN91" s="51">
        <f>BN$2</f>
        <v>45932</v>
      </c>
      <c r="BO91" s="9"/>
      <c r="BP91" s="51">
        <f>BP$2</f>
        <v>45963</v>
      </c>
      <c r="BQ91" s="9"/>
      <c r="BR91" s="51">
        <f>BR$2</f>
        <v>45994</v>
      </c>
      <c r="BS91" s="9"/>
    </row>
    <row r="92" spans="1:71" outlineLevel="1" x14ac:dyDescent="0.25">
      <c r="C92" s="4" t="s">
        <v>731</v>
      </c>
      <c r="AB92" s="4">
        <f>AB94-AB93</f>
        <v>177702.463575</v>
      </c>
      <c r="AC92" s="88">
        <f>AB92/AB95</f>
        <v>0.3491331001391012</v>
      </c>
      <c r="AD92" s="4">
        <f>AD94-AD93</f>
        <v>165202.02045000001</v>
      </c>
      <c r="AE92" s="88">
        <f>AD92/AD95</f>
        <v>0.27254373313807506</v>
      </c>
      <c r="AF92" s="4">
        <f>AF94-AF93</f>
        <v>140179.76302500002</v>
      </c>
      <c r="AG92" s="88">
        <f>AF92/AF95</f>
        <v>0.2143535075636018</v>
      </c>
      <c r="AH92" s="4">
        <f>AH94-AH93</f>
        <v>168450.91290000002</v>
      </c>
      <c r="AI92" s="88">
        <f>AH92/AH95</f>
        <v>0.21298952525846734</v>
      </c>
      <c r="AJ92" s="4">
        <f>AJ94-AJ93</f>
        <v>235432.85377500003</v>
      </c>
      <c r="AK92" s="88">
        <f>AJ92/AJ95</f>
        <v>0.23637213755661562</v>
      </c>
      <c r="AL92" s="4">
        <f>AL94-AL93</f>
        <v>223127.79884999999</v>
      </c>
      <c r="AM92" s="88">
        <f>AL92/AL95</f>
        <v>0.21292826862263978</v>
      </c>
      <c r="AN92" s="4">
        <f>AN94-AN93</f>
        <v>272782.11442499998</v>
      </c>
      <c r="AO92" s="88">
        <f>AN92/AN95</f>
        <v>0.22780170050338039</v>
      </c>
      <c r="AP92" s="4">
        <f>AP94-AP93</f>
        <v>334824.72659999999</v>
      </c>
      <c r="AQ92" s="88">
        <f>AP92/AP95</f>
        <v>0.24543592105067844</v>
      </c>
      <c r="AR92" s="4">
        <f>AR94-AR93</f>
        <v>284117.36175000004</v>
      </c>
      <c r="AS92" s="88">
        <f>AR92/AR95</f>
        <v>0.21110700635901494</v>
      </c>
      <c r="AT92" s="121">
        <f>AT94-AT93</f>
        <v>305867.3909909639</v>
      </c>
      <c r="AU92" s="88">
        <f>AT92/AT95</f>
        <v>0.211428304833431</v>
      </c>
      <c r="AV92" s="4">
        <f>AV94-AV93</f>
        <v>310184.99439126509</v>
      </c>
      <c r="AW92" s="88">
        <f>AV92/AV95</f>
        <v>0.20381610491488272</v>
      </c>
      <c r="AX92" s="4">
        <f>AX94-AX93</f>
        <v>350350.51667866181</v>
      </c>
      <c r="AY92" s="88">
        <f>AX92/AX95</f>
        <v>0.21460614198906719</v>
      </c>
      <c r="AZ92" s="4">
        <f>AZ94-AZ93</f>
        <v>427068.61324179033</v>
      </c>
      <c r="BA92" s="88">
        <f>AZ92/AZ95</f>
        <v>0.23416457530658491</v>
      </c>
      <c r="BB92" s="4">
        <f>BB94-BB93</f>
        <v>526266.98457120208</v>
      </c>
      <c r="BC92" s="88">
        <f>BB92/BB95</f>
        <v>0.25703743127444917</v>
      </c>
      <c r="BD92" s="4">
        <f>BD94-BD93</f>
        <v>612565.53485061403</v>
      </c>
      <c r="BE92" s="88">
        <f>BD92/BD95</f>
        <v>0.26915023568188401</v>
      </c>
      <c r="BF92" s="4">
        <f>BF94-BF93</f>
        <v>636590.96160649625</v>
      </c>
      <c r="BG92" s="88">
        <f>BF92/BF95</f>
        <v>0.26441605948421931</v>
      </c>
      <c r="BH92" s="4">
        <f>BH94-BH93</f>
        <v>629397.79913149623</v>
      </c>
      <c r="BI92" s="88">
        <f>BH92/BH95</f>
        <v>0.25269457822401853</v>
      </c>
      <c r="BJ92" s="4">
        <f>BJ94-BJ93</f>
        <v>612629.44845649623</v>
      </c>
      <c r="BK92" s="88">
        <f>BJ92/BJ95</f>
        <v>0.23700588778721138</v>
      </c>
      <c r="BL92" s="4">
        <f>BL94-BL93</f>
        <v>738415.16588149604</v>
      </c>
      <c r="BM92" s="88">
        <f>BL92/BL95</f>
        <v>0.25766304099839155</v>
      </c>
      <c r="BN92" s="4">
        <f>BN94-BN93</f>
        <v>669649.256706496</v>
      </c>
      <c r="BO92" s="88">
        <f>BN92/BN95</f>
        <v>0.23163686958468593</v>
      </c>
      <c r="BP92" s="4">
        <f>BP94-BP93</f>
        <v>499071.59633149608</v>
      </c>
      <c r="BQ92" s="88">
        <f>BP92/BP95</f>
        <v>0.18101105979385787</v>
      </c>
      <c r="BR92" s="4">
        <f>BR94-BR93</f>
        <v>298402.0204655322</v>
      </c>
      <c r="BS92" s="88">
        <f>BR92/BR95</f>
        <v>0.11515415775167119</v>
      </c>
    </row>
    <row r="93" spans="1:71" s="1" customFormat="1" outlineLevel="1" x14ac:dyDescent="0.25">
      <c r="A93" s="1">
        <f>A94*0.19</f>
        <v>0</v>
      </c>
      <c r="C93" s="4" t="s">
        <v>732</v>
      </c>
      <c r="D93" s="4"/>
      <c r="E93" s="4"/>
      <c r="F93" s="4"/>
      <c r="G93" s="4"/>
      <c r="H93" s="4"/>
      <c r="I93" s="4"/>
      <c r="J93" s="4"/>
      <c r="N93" s="23"/>
      <c r="S93" s="18"/>
      <c r="U93" s="18"/>
      <c r="W93" s="18"/>
      <c r="Y93" s="18"/>
      <c r="AA93" s="18"/>
      <c r="AB93" s="1">
        <f>AB94*0.19</f>
        <v>41683.293925000005</v>
      </c>
      <c r="AC93" s="89"/>
      <c r="AD93" s="1">
        <f>AD94*0.19</f>
        <v>38751.091216666675</v>
      </c>
      <c r="AE93" s="89"/>
      <c r="AF93" s="1">
        <f>AF94*0.19</f>
        <v>32881.672808333336</v>
      </c>
      <c r="AG93" s="89"/>
      <c r="AH93" s="1">
        <f>AH94*0.19</f>
        <v>39513.177100000008</v>
      </c>
      <c r="AI93" s="89"/>
      <c r="AJ93" s="1">
        <f>AJ94*0.19</f>
        <v>55224.990391666666</v>
      </c>
      <c r="AK93" s="89"/>
      <c r="AL93" s="1">
        <f>AL94*0.19</f>
        <v>52338.619483333336</v>
      </c>
      <c r="AM93" s="89"/>
      <c r="AN93" s="1">
        <f>AN94*0.19</f>
        <v>63985.928074999996</v>
      </c>
      <c r="AO93" s="89"/>
      <c r="AP93" s="1">
        <f>AP94*0.19</f>
        <v>78539.133399999992</v>
      </c>
      <c r="AQ93" s="89"/>
      <c r="AR93" s="1">
        <f>AR94*0.19</f>
        <v>66644.813250000007</v>
      </c>
      <c r="AS93" s="89"/>
      <c r="AT93" s="129">
        <f>AT94*0.19</f>
        <v>71746.671960843378</v>
      </c>
      <c r="AU93" s="89"/>
      <c r="AV93" s="1">
        <f>AV94*0.19</f>
        <v>72759.44312881527</v>
      </c>
      <c r="AW93" s="89"/>
      <c r="AX93" s="1">
        <f>AX94*0.19</f>
        <v>82180.985393760173</v>
      </c>
      <c r="AY93" s="89"/>
      <c r="AZ93" s="1">
        <f>AZ94*0.19</f>
        <v>100176.58829128415</v>
      </c>
      <c r="BA93" s="89"/>
      <c r="BB93" s="1">
        <f>BB94*0.19</f>
        <v>123445.34205991159</v>
      </c>
      <c r="BC93" s="89"/>
      <c r="BD93" s="1">
        <f>BD94*0.19</f>
        <v>143688.21187853909</v>
      </c>
      <c r="BE93" s="89"/>
      <c r="BF93" s="1">
        <f>BF94*0.19</f>
        <v>149323.80580893121</v>
      </c>
      <c r="BG93" s="89"/>
      <c r="BH93" s="1">
        <f>BH94*0.19</f>
        <v>147636.52078393122</v>
      </c>
      <c r="BI93" s="89"/>
      <c r="BJ93" s="1">
        <f>BJ94*0.19</f>
        <v>143703.2039589312</v>
      </c>
      <c r="BK93" s="89"/>
      <c r="BL93" s="1">
        <f>BL94*0.19</f>
        <v>173208.49570059785</v>
      </c>
      <c r="BM93" s="89"/>
      <c r="BN93" s="1">
        <f>BN94*0.19</f>
        <v>157078.22070893119</v>
      </c>
      <c r="BO93" s="89"/>
      <c r="BP93" s="1">
        <f>BP94*0.19</f>
        <v>117066.17691726451</v>
      </c>
      <c r="BQ93" s="89"/>
      <c r="BR93" s="1">
        <f>BR94*0.19</f>
        <v>69995.535664754469</v>
      </c>
      <c r="BS93" s="89"/>
    </row>
    <row r="94" spans="1:71" outlineLevel="1" x14ac:dyDescent="0.25">
      <c r="C94" s="4" t="s">
        <v>734</v>
      </c>
      <c r="G94" s="4"/>
      <c r="AB94" s="4">
        <f>SUM(F$143:AB$143)</f>
        <v>219385.75750000001</v>
      </c>
      <c r="AC94" s="88">
        <f>AB94/AB95</f>
        <v>0.43102851869024839</v>
      </c>
      <c r="AD94" s="4">
        <f>SUM(H$143:AD$143)</f>
        <v>203953.11166666669</v>
      </c>
      <c r="AE94" s="88">
        <f>AD94/AD95</f>
        <v>0.33647374461490753</v>
      </c>
      <c r="AF94" s="4">
        <f>SUM(J$143:AF$143)</f>
        <v>173061.43583333335</v>
      </c>
      <c r="AG94" s="88">
        <f>AF94/AF95</f>
        <v>0.26463395995506395</v>
      </c>
      <c r="AH94" s="4">
        <f>SUM(L$143:AH$143)</f>
        <v>207964.09000000003</v>
      </c>
      <c r="AI94" s="88">
        <f>AH94/AH95</f>
        <v>0.26295003118329302</v>
      </c>
      <c r="AJ94" s="4">
        <f>SUM(N$143:AJ$143)</f>
        <v>290657.84416666668</v>
      </c>
      <c r="AK94" s="88">
        <f>AJ94/AJ95</f>
        <v>0.29181745377359952</v>
      </c>
      <c r="AL94" s="4">
        <f>SUM(P$143:AL$143)</f>
        <v>275466.41833333333</v>
      </c>
      <c r="AM94" s="88">
        <f>AL94/AL95</f>
        <v>0.26287440570696269</v>
      </c>
      <c r="AN94" s="4">
        <f>SUM(R$143:AN$143)</f>
        <v>336768.04249999998</v>
      </c>
      <c r="AO94" s="88">
        <f>AN94/AN95</f>
        <v>0.28123666728812391</v>
      </c>
      <c r="AP94" s="4">
        <f>SUM(T$143:AP$143)</f>
        <v>413363.86</v>
      </c>
      <c r="AQ94" s="88">
        <f>AP94/AP95</f>
        <v>0.30300730993910918</v>
      </c>
      <c r="AR94" s="4">
        <f>SUM(V$143:AR$143)</f>
        <v>350762.17500000005</v>
      </c>
      <c r="AS94" s="88">
        <f>AR94/AR95</f>
        <v>0.26062593377656162</v>
      </c>
      <c r="AT94" s="4">
        <f>SUM(X$143:AT$143)</f>
        <v>377614.06295180728</v>
      </c>
      <c r="AU94" s="88">
        <f>AT94/AT95</f>
        <v>0.26102259855979137</v>
      </c>
      <c r="AV94" s="4">
        <f>SUM(Z$143:AV$143)</f>
        <v>382944.43752008036</v>
      </c>
      <c r="AW94" s="88">
        <f>AV94/AV95</f>
        <v>0.25162482088257127</v>
      </c>
      <c r="AX94" s="4">
        <f>SUM(AB$143:AX$143)</f>
        <v>432531.50207242195</v>
      </c>
      <c r="AY94" s="88">
        <f>AX94/AX95</f>
        <v>0.26494585430749035</v>
      </c>
      <c r="AZ94" s="4">
        <f>SUM(AD$143:AZ$143)</f>
        <v>527245.20153307449</v>
      </c>
      <c r="BA94" s="88">
        <f>AZ94/AZ95</f>
        <v>0.28909206827973449</v>
      </c>
      <c r="BB94" s="4">
        <f>SUM(AF$143:BB$143)</f>
        <v>649712.32663111365</v>
      </c>
      <c r="BC94" s="88">
        <f>BB94/BB95</f>
        <v>0.31733016206722114</v>
      </c>
      <c r="BD94" s="4">
        <f>SUM(AH$143:BD$143)</f>
        <v>756253.74672915309</v>
      </c>
      <c r="BE94" s="88">
        <f>BD94/BD95</f>
        <v>0.33228424158257286</v>
      </c>
      <c r="BF94" s="4">
        <f>SUM(AJ$143:BF$143)</f>
        <v>785914.76741542749</v>
      </c>
      <c r="BG94" s="88">
        <f>BF94/BF95</f>
        <v>0.32643957961014736</v>
      </c>
      <c r="BH94" s="4">
        <f>SUM(AL$143:BH$143)</f>
        <v>777034.31991542748</v>
      </c>
      <c r="BI94" s="88">
        <f>BH94/BH95</f>
        <v>0.31196861509138091</v>
      </c>
      <c r="BJ94" s="4">
        <f>SUM(AN$143:BJ$143)</f>
        <v>756332.65241542738</v>
      </c>
      <c r="BK94" s="88">
        <f>BJ94/BJ95</f>
        <v>0.292599861465693</v>
      </c>
      <c r="BL94" s="4">
        <f>SUM(AP$143:BL$143)</f>
        <v>911623.66158209392</v>
      </c>
      <c r="BM94" s="88">
        <f>BL94/BL95</f>
        <v>0.31810251975110065</v>
      </c>
      <c r="BN94" s="4">
        <f>SUM(AR$143:BN$143)</f>
        <v>826727.47741542722</v>
      </c>
      <c r="BO94" s="88">
        <f>BN94/BN95</f>
        <v>0.28597144393171103</v>
      </c>
      <c r="BP94" s="4">
        <f>SUM(AT$143:BP$143)</f>
        <v>616137.77324876061</v>
      </c>
      <c r="BQ94" s="88">
        <f>BP94/BP95</f>
        <v>0.22347044418994799</v>
      </c>
      <c r="BR94" s="4">
        <f>SUM(AV$143:BR$143)</f>
        <v>368397.55613028666</v>
      </c>
      <c r="BS94" s="88">
        <f>BR94/BR95</f>
        <v>0.14216562685391504</v>
      </c>
    </row>
    <row r="95" spans="1:71" outlineLevel="1" x14ac:dyDescent="0.25">
      <c r="C95" s="4" t="s">
        <v>733</v>
      </c>
      <c r="AB95" s="4">
        <f>SUM(F$148:AB$148)</f>
        <v>508982</v>
      </c>
      <c r="AC95" s="89"/>
      <c r="AD95" s="4">
        <f>SUM(F$148:AD$148)</f>
        <v>606148.66666666663</v>
      </c>
      <c r="AE95" s="89"/>
      <c r="AF95" s="4">
        <f>SUM(J$148:AF$148)</f>
        <v>653965.33333333326</v>
      </c>
      <c r="AG95" s="89"/>
      <c r="AH95" s="4">
        <f>SUM(L$148:AH$148)</f>
        <v>790888.25</v>
      </c>
      <c r="AI95" s="89"/>
      <c r="AJ95" s="4">
        <f>SUM(N$148:AJ$148)</f>
        <v>996026.25</v>
      </c>
      <c r="AK95" s="89"/>
      <c r="AL95" s="4">
        <f>SUM(P$148:AL$148)</f>
        <v>1047901.25</v>
      </c>
      <c r="AM95" s="89"/>
      <c r="AN95" s="4">
        <f>SUM(R$148:AN$148)</f>
        <v>1197454.25</v>
      </c>
      <c r="AO95" s="89"/>
      <c r="AP95" s="4">
        <f>SUM(T$148:AP$148)</f>
        <v>1364204.25</v>
      </c>
      <c r="AQ95" s="89"/>
      <c r="AR95" s="4">
        <f>SUM(V$148:AR$148)</f>
        <v>1345845.25</v>
      </c>
      <c r="AS95" s="89"/>
      <c r="AT95" s="4">
        <f>SUM(X$148:AT$148)</f>
        <v>1446671.9166666667</v>
      </c>
      <c r="AU95" s="89"/>
      <c r="AV95" s="4">
        <f>SUM(Z$148:AV$148)</f>
        <v>1521886.5777108434</v>
      </c>
      <c r="AW95" s="89"/>
      <c r="AX95" s="4">
        <f>SUM(AB$148:AX$148)</f>
        <v>1632527.9110441767</v>
      </c>
      <c r="AY95" s="89"/>
      <c r="AZ95" s="4">
        <f>SUM(AD$148:AZ$148)</f>
        <v>1823796.843235753</v>
      </c>
      <c r="BA95" s="89"/>
      <c r="BB95" s="4">
        <f>SUM(AF$148:BB$148)</f>
        <v>2047433.2550004586</v>
      </c>
      <c r="BC95" s="89"/>
      <c r="BD95" s="4">
        <f>SUM(AH$148:BD$148)</f>
        <v>2275924.2000984978</v>
      </c>
      <c r="BE95" s="89"/>
      <c r="BF95" s="4">
        <f>SUM(AJ$148:BF$148)</f>
        <v>2407535.1657847725</v>
      </c>
      <c r="BG95" s="89"/>
      <c r="BH95" s="4">
        <f>SUM(AL$148:BH$148)</f>
        <v>2490745.1657847725</v>
      </c>
      <c r="BI95" s="89"/>
      <c r="BJ95" s="4">
        <f>SUM(AN$148:BJ$148)</f>
        <v>2584870.1657847725</v>
      </c>
      <c r="BK95" s="89"/>
      <c r="BL95" s="4">
        <f>SUM(AP$148:BL$148)</f>
        <v>2865817.1657847725</v>
      </c>
      <c r="BM95" s="89"/>
      <c r="BN95" s="4">
        <f>SUM(AR$148:BN$148)</f>
        <v>2890944.1657847725</v>
      </c>
      <c r="BO95" s="89"/>
      <c r="BP95" s="4">
        <f>SUM(AT$148:BP$148)</f>
        <v>2757133.1657847725</v>
      </c>
      <c r="BQ95" s="89"/>
      <c r="BR95" s="4">
        <f>SUM(AV$148:BR$148)</f>
        <v>2591326.499118106</v>
      </c>
      <c r="BS95" s="89"/>
    </row>
    <row r="96" spans="1:71" s="84" customFormat="1" ht="4.9000000000000004" customHeight="1" outlineLevel="1" x14ac:dyDescent="0.25">
      <c r="N96" s="85"/>
      <c r="S96" s="86"/>
      <c r="U96" s="87"/>
      <c r="W96" s="87"/>
      <c r="Y96" s="87"/>
      <c r="AA96" s="87"/>
      <c r="AC96" s="90"/>
      <c r="AE96" s="90"/>
      <c r="AG96" s="90"/>
      <c r="AI96" s="90"/>
      <c r="AK96" s="90"/>
      <c r="AM96" s="90"/>
      <c r="AO96" s="90"/>
      <c r="AQ96" s="90"/>
      <c r="AS96" s="90"/>
      <c r="AT96" s="131"/>
      <c r="AU96" s="90"/>
      <c r="AW96" s="90"/>
      <c r="AY96" s="90"/>
      <c r="BA96" s="90"/>
      <c r="BC96" s="90"/>
      <c r="BE96" s="90"/>
      <c r="BG96" s="90"/>
      <c r="BI96" s="90"/>
      <c r="BK96" s="90"/>
      <c r="BM96" s="90"/>
      <c r="BO96" s="90"/>
      <c r="BQ96" s="90"/>
      <c r="BS96" s="90"/>
    </row>
    <row r="97" spans="1:71" outlineLevel="1" x14ac:dyDescent="0.25">
      <c r="C97" s="4" t="s">
        <v>164</v>
      </c>
      <c r="X97" s="4">
        <f>X99-X103</f>
        <v>8657.0086749999973</v>
      </c>
      <c r="Z97" s="4">
        <f>Z99-Z103</f>
        <v>-9967.4786000000058</v>
      </c>
      <c r="AB97" s="4">
        <f>AB99-AB103</f>
        <v>29141.468574999977</v>
      </c>
      <c r="AC97" s="88">
        <f>AB97/AB100</f>
        <v>0.1072039663284675</v>
      </c>
      <c r="AD97" s="4">
        <f>AD99-AD103</f>
        <v>16641.025449999979</v>
      </c>
      <c r="AE97" s="88">
        <f>AD97/AD100</f>
        <v>4.5097792900787297E-2</v>
      </c>
      <c r="AF97" s="4">
        <f>AF99-AF103</f>
        <v>-8381.2319750000097</v>
      </c>
      <c r="AG97" s="88">
        <f>AF97/AF100</f>
        <v>-2.0107782283281347E-2</v>
      </c>
      <c r="AH97" s="4">
        <f>AH99-AH103</f>
        <v>19889.917899999993</v>
      </c>
      <c r="AI97" s="88">
        <f>AH97/AH100</f>
        <v>3.5919349801101862E-2</v>
      </c>
      <c r="AJ97" s="4">
        <f>AJ99-AJ103</f>
        <v>86871.858774999986</v>
      </c>
      <c r="AK97" s="88">
        <f>AJ97/AJ100</f>
        <v>0.11447434120517012</v>
      </c>
      <c r="AL97" s="4">
        <f>AL99-AL103</f>
        <v>74566.803849999997</v>
      </c>
      <c r="AM97" s="88">
        <f>AL97/AL100</f>
        <v>9.1972480893492303E-2</v>
      </c>
      <c r="AN97" s="4">
        <f>AN99-AN103</f>
        <v>124221.11942499998</v>
      </c>
      <c r="AO97" s="88">
        <f>AN97/AN100</f>
        <v>0.12935600298030545</v>
      </c>
      <c r="AP97" s="4">
        <f>AP99-AP103</f>
        <v>186263.7316</v>
      </c>
      <c r="AQ97" s="88">
        <f>AP97/AP100</f>
        <v>0.16526598573227508</v>
      </c>
      <c r="AR97" s="4">
        <f>AR99-AR103</f>
        <v>232342.47497500002</v>
      </c>
      <c r="AS97" s="88">
        <f>AR97/AR100</f>
        <v>0.18139493984632654</v>
      </c>
      <c r="AT97" s="121">
        <f>AT99-AT103</f>
        <v>277640.80194096389</v>
      </c>
      <c r="AU97" s="88">
        <f>AT97/AT100</f>
        <v>0.19191690855566404</v>
      </c>
      <c r="AV97" s="4">
        <f>AV99-AV98</f>
        <v>41201.201125301202</v>
      </c>
      <c r="AW97" s="88">
        <f>AV97/AV100</f>
        <v>0.21832538551764297</v>
      </c>
      <c r="AX97" s="4">
        <f>AX99-AX98</f>
        <v>62742.236137697902</v>
      </c>
      <c r="AY97" s="88">
        <f>AX97/AX100</f>
        <v>0.1890646461137119</v>
      </c>
      <c r="AZ97" s="4">
        <f>AZ99-AZ98</f>
        <v>178569.27987582644</v>
      </c>
      <c r="BA97" s="88">
        <f>AZ97/AZ100</f>
        <v>0.27516353176148189</v>
      </c>
      <c r="BB97" s="4">
        <f>BB99-BB98</f>
        <v>265267.2080802382</v>
      </c>
      <c r="BC97" s="88">
        <f>BB97/BB100</f>
        <v>0.27353902688543308</v>
      </c>
      <c r="BD97" s="4">
        <f>BD99-BD98</f>
        <v>326543.50093464996</v>
      </c>
      <c r="BE97" s="88">
        <f>BD97/BD100</f>
        <v>0.26205921455720704</v>
      </c>
      <c r="BF97" s="4">
        <f>BF99-BF98</f>
        <v>378840.07756553235</v>
      </c>
      <c r="BG97" s="88">
        <f>BF97/BF100</f>
        <v>0.25012524930558722</v>
      </c>
      <c r="BH97" s="4">
        <f>BH99-BH98</f>
        <v>438628.8559655323</v>
      </c>
      <c r="BI97" s="88">
        <f>BH97/BH100</f>
        <v>0.24328404993045177</v>
      </c>
      <c r="BJ97" s="4">
        <f>BJ99-BJ98</f>
        <v>409555.45036553231</v>
      </c>
      <c r="BK97" s="88">
        <f>BJ97/BJ100</f>
        <v>0.21014164325492013</v>
      </c>
      <c r="BL97" s="4">
        <f>BL99-BL98</f>
        <v>584995.48336553224</v>
      </c>
      <c r="BM97" s="88">
        <f>BL97/BL100</f>
        <v>0.24585328815860508</v>
      </c>
      <c r="BN97" s="4">
        <f>BN99-BN98</f>
        <v>578272.18636553222</v>
      </c>
      <c r="BO97" s="88">
        <f>BN97/BN100</f>
        <v>0.2248925550932033</v>
      </c>
      <c r="BP97" s="4">
        <f>BP99-BP98</f>
        <v>453773.26936553221</v>
      </c>
      <c r="BQ97" s="88">
        <f>BP97/BP100</f>
        <v>0.17511234864458908</v>
      </c>
      <c r="BR97" s="4">
        <f>BR99-BR98</f>
        <v>298402.0204655322</v>
      </c>
      <c r="BS97" s="88">
        <f>BR97/BR100</f>
        <v>0.11515415775167119</v>
      </c>
    </row>
    <row r="98" spans="1:71" s="1" customFormat="1" outlineLevel="1" x14ac:dyDescent="0.25">
      <c r="A98" s="1">
        <f>A99*0.19</f>
        <v>0</v>
      </c>
      <c r="C98" s="4" t="s">
        <v>165</v>
      </c>
      <c r="D98" s="4"/>
      <c r="E98" s="4"/>
      <c r="F98" s="4"/>
      <c r="G98" s="4"/>
      <c r="H98" s="4"/>
      <c r="I98" s="4"/>
      <c r="J98" s="4"/>
      <c r="N98" s="23"/>
      <c r="S98" s="18"/>
      <c r="U98" s="18"/>
      <c r="W98" s="18"/>
      <c r="X98" s="1">
        <f>X99*0.19</f>
        <v>8651.7081083333323</v>
      </c>
      <c r="Y98" s="18"/>
      <c r="Z98" s="1">
        <f>Z99*0.19</f>
        <v>4283.0012166666666</v>
      </c>
      <c r="AA98" s="18"/>
      <c r="AB98" s="1">
        <f>AB99*0.19</f>
        <v>13456.704874999998</v>
      </c>
      <c r="AC98" s="89"/>
      <c r="AD98" s="1">
        <f>AD99*0.19</f>
        <v>10524.502166666665</v>
      </c>
      <c r="AE98" s="89"/>
      <c r="AF98" s="1">
        <f>AF99*0.19</f>
        <v>4655.0837583333323</v>
      </c>
      <c r="AG98" s="89"/>
      <c r="AH98" s="1">
        <f>AH99*0.19</f>
        <v>11286.58805</v>
      </c>
      <c r="AI98" s="89"/>
      <c r="AJ98" s="1">
        <f>AJ99*0.19</f>
        <v>26998.401341666664</v>
      </c>
      <c r="AK98" s="89"/>
      <c r="AL98" s="1">
        <f>AL99*0.19</f>
        <v>24112.030433333333</v>
      </c>
      <c r="AM98" s="89"/>
      <c r="AN98" s="1">
        <f>AN99*0.19</f>
        <v>35759.339025000001</v>
      </c>
      <c r="AO98" s="89"/>
      <c r="AP98" s="1">
        <f>AP99*0.19</f>
        <v>50312.544349999996</v>
      </c>
      <c r="AQ98" s="89"/>
      <c r="AR98" s="1">
        <f>AR99*0.19</f>
        <v>61121.138475</v>
      </c>
      <c r="AS98" s="89"/>
      <c r="AT98" s="129">
        <f>AT99*0.19</f>
        <v>71746.671960843378</v>
      </c>
      <c r="AU98" s="89"/>
      <c r="AV98" s="1">
        <f>AV99*0.19</f>
        <v>9664.479276305221</v>
      </c>
      <c r="AW98" s="89"/>
      <c r="AX98" s="1">
        <f>AX99*0.19</f>
        <v>14717.314649583459</v>
      </c>
      <c r="AY98" s="89"/>
      <c r="AZ98" s="1">
        <f>AZ99*0.19</f>
        <v>41886.621205440773</v>
      </c>
      <c r="BA98" s="89"/>
      <c r="BB98" s="1">
        <f>BB99*0.19</f>
        <v>62223.172265734887</v>
      </c>
      <c r="BC98" s="89"/>
      <c r="BD98" s="1">
        <f>BD99*0.19</f>
        <v>76596.623676029005</v>
      </c>
      <c r="BE98" s="89"/>
      <c r="BF98" s="1">
        <f>BF99*0.19</f>
        <v>88863.721898087839</v>
      </c>
      <c r="BG98" s="89"/>
      <c r="BH98" s="1">
        <f>BH99*0.19</f>
        <v>102888.2501647545</v>
      </c>
      <c r="BI98" s="89"/>
      <c r="BJ98" s="1">
        <f>BJ99*0.19</f>
        <v>96068.56243142116</v>
      </c>
      <c r="BK98" s="89"/>
      <c r="BL98" s="1">
        <f>BL99*0.19</f>
        <v>137221.1627647545</v>
      </c>
      <c r="BM98" s="89"/>
      <c r="BN98" s="1">
        <f>BN99*0.19</f>
        <v>135644.09309808782</v>
      </c>
      <c r="BO98" s="89"/>
      <c r="BP98" s="1">
        <f>BP99*0.19</f>
        <v>106440.64343142114</v>
      </c>
      <c r="BQ98" s="89"/>
      <c r="BR98" s="1">
        <f>BR99*0.19</f>
        <v>69995.535664754469</v>
      </c>
      <c r="BS98" s="89"/>
    </row>
    <row r="99" spans="1:71" outlineLevel="1" x14ac:dyDescent="0.25">
      <c r="C99" s="4" t="s">
        <v>166</v>
      </c>
      <c r="G99" s="4"/>
      <c r="X99" s="4">
        <f>SUM($X$143:X143)</f>
        <v>45535.305833333332</v>
      </c>
      <c r="Z99" s="4">
        <f>SUM($X$143:Z143)</f>
        <v>22542.111666666664</v>
      </c>
      <c r="AB99" s="4">
        <f>SUM($X$143:AB143)</f>
        <v>70824.762499999983</v>
      </c>
      <c r="AC99" s="88">
        <f>AB99/AB100</f>
        <v>0.26054608177109384</v>
      </c>
      <c r="AD99" s="4">
        <f>SUM($X$143:AD143)</f>
        <v>55392.116666666654</v>
      </c>
      <c r="AE99" s="88">
        <f>AD99/AD100</f>
        <v>0.15011467972783998</v>
      </c>
      <c r="AF99" s="4">
        <f>SUM($X$143:AF143)</f>
        <v>24500.440833333327</v>
      </c>
      <c r="AG99" s="88">
        <f>AF99/AF100</f>
        <v>5.8780085265577223E-2</v>
      </c>
      <c r="AH99" s="4">
        <f>SUM($X$143:AH143)</f>
        <v>59403.095000000001</v>
      </c>
      <c r="AI99" s="88">
        <f>AH99/AH100</f>
        <v>0.10727648848530871</v>
      </c>
      <c r="AJ99" s="4">
        <f>SUM($X$143:AJ143)</f>
        <v>142096.84916666665</v>
      </c>
      <c r="AK99" s="88">
        <f>AJ99/AJ100</f>
        <v>0.18724640435995546</v>
      </c>
      <c r="AL99" s="4">
        <f>SUM($X$143:AL143)</f>
        <v>126905.42333333332</v>
      </c>
      <c r="AM99" s="88">
        <f>AL99/AL100</f>
        <v>0.15652818707752017</v>
      </c>
      <c r="AN99" s="4">
        <f>SUM($X$143:AN143)</f>
        <v>188207.04749999999</v>
      </c>
      <c r="AO99" s="88">
        <f>AN99/AN100</f>
        <v>0.19598689425773133</v>
      </c>
      <c r="AP99" s="4">
        <f>SUM($X$143:AP143)</f>
        <v>264802.86499999999</v>
      </c>
      <c r="AQ99" s="88">
        <f>AP99/AP100</f>
        <v>0.23495130336450085</v>
      </c>
      <c r="AR99" s="4">
        <f>SUM($X$143:AR143)</f>
        <v>321690.20250000001</v>
      </c>
      <c r="AS99" s="88">
        <f>AR99/AR100</f>
        <v>0.25115069871713674</v>
      </c>
      <c r="AT99" s="121">
        <f>SUM($X$143:AT143)</f>
        <v>377614.06295180728</v>
      </c>
      <c r="AU99" s="88">
        <f>AT99/AT100</f>
        <v>0.26102259855979137</v>
      </c>
      <c r="AV99" s="4">
        <f>SUM($AV$143:AV143)</f>
        <v>50865.680401606427</v>
      </c>
      <c r="AW99" s="88">
        <f>AV99/AV100</f>
        <v>0.26953751298474443</v>
      </c>
      <c r="AX99" s="4">
        <f>SUM($AV$143:AX143)</f>
        <v>77459.550787281361</v>
      </c>
      <c r="AY99" s="88">
        <f>AX99/AX100</f>
        <v>0.23341314335026161</v>
      </c>
      <c r="AZ99" s="4">
        <f>SUM($AV$143:AZ143)</f>
        <v>220455.90108126722</v>
      </c>
      <c r="BA99" s="88">
        <f>AZ99/AZ100</f>
        <v>0.33970806390306407</v>
      </c>
      <c r="BB99" s="4">
        <f>SUM($AV$143:BB143)</f>
        <v>327490.38034597307</v>
      </c>
      <c r="BC99" s="88">
        <f>BB99/BB100</f>
        <v>0.33770250232769511</v>
      </c>
      <c r="BD99" s="4">
        <f>SUM($AV$143:BD143)</f>
        <v>403140.12461067899</v>
      </c>
      <c r="BE99" s="88">
        <f>BD99/BD100</f>
        <v>0.32352989451507047</v>
      </c>
      <c r="BF99" s="4">
        <f>SUM($AV$143:BF143)</f>
        <v>467703.79946362018</v>
      </c>
      <c r="BG99" s="88">
        <f>BF99/BF100</f>
        <v>0.30879660408097181</v>
      </c>
      <c r="BH99" s="4">
        <f>SUM($AV$143:BH143)</f>
        <v>541517.10613028682</v>
      </c>
      <c r="BI99" s="88">
        <f>BH99/BH100</f>
        <v>0.30035067892648371</v>
      </c>
      <c r="BJ99" s="4">
        <f>SUM($AV$143:BJ143)</f>
        <v>505624.01279695344</v>
      </c>
      <c r="BK99" s="88">
        <f>BJ99/BJ100</f>
        <v>0.25943412747521005</v>
      </c>
      <c r="BL99" s="4">
        <f>SUM($AV$143:BL143)</f>
        <v>722216.64613028674</v>
      </c>
      <c r="BM99" s="88">
        <f>BL99/BL100</f>
        <v>0.3035225779735865</v>
      </c>
      <c r="BN99" s="4">
        <f>SUM($AV$143:BN143)</f>
        <v>713916.27946362004</v>
      </c>
      <c r="BO99" s="88">
        <f>BN99/BN100</f>
        <v>0.27764512974469546</v>
      </c>
      <c r="BP99" s="4">
        <f>SUM($AV$143:BP143)</f>
        <v>560213.91279695334</v>
      </c>
      <c r="BQ99" s="88">
        <f>BP99/BP100</f>
        <v>0.21618808474640627</v>
      </c>
      <c r="BR99" s="4">
        <f>SUM($AV$143:BR143)</f>
        <v>368397.55613028666</v>
      </c>
      <c r="BS99" s="88">
        <f>BR99/BR100</f>
        <v>0.14216562685391504</v>
      </c>
    </row>
    <row r="100" spans="1:71" outlineLevel="1" x14ac:dyDescent="0.25">
      <c r="C100" s="4" t="s">
        <v>167</v>
      </c>
      <c r="X100" s="4">
        <f>SUM($X148:X$148)</f>
        <v>113500</v>
      </c>
      <c r="Z100" s="4">
        <f>SUM($X148:Z$148)</f>
        <v>146000</v>
      </c>
      <c r="AB100" s="4">
        <f>SUM($X148:AB$148)</f>
        <v>271832</v>
      </c>
      <c r="AC100" s="89"/>
      <c r="AD100" s="4">
        <f>SUM($X148:AD$148)</f>
        <v>368998.66666666669</v>
      </c>
      <c r="AE100" s="89"/>
      <c r="AF100" s="4">
        <f>SUM($X148:AF$148)</f>
        <v>416815.33333333337</v>
      </c>
      <c r="AG100" s="89"/>
      <c r="AH100" s="4">
        <f>SUM($X148:AH$148)</f>
        <v>553738.25</v>
      </c>
      <c r="AI100" s="89"/>
      <c r="AJ100" s="4">
        <f>SUM($X148:AJ$148)</f>
        <v>758876.25</v>
      </c>
      <c r="AK100" s="89"/>
      <c r="AL100" s="4">
        <f>SUM($X148:AL$148)</f>
        <v>810751.25</v>
      </c>
      <c r="AM100" s="89"/>
      <c r="AN100" s="4">
        <f>SUM($X148:AN$148)</f>
        <v>960304.25</v>
      </c>
      <c r="AO100" s="89"/>
      <c r="AP100" s="4">
        <f>SUM($X148:AP$148)</f>
        <v>1127054.25</v>
      </c>
      <c r="AQ100" s="89"/>
      <c r="AR100" s="4">
        <f>SUM($X148:AR$148)</f>
        <v>1280865.25</v>
      </c>
      <c r="AS100" s="89"/>
      <c r="AT100" s="121">
        <f>SUM($X148:AT$148)</f>
        <v>1446671.9166666667</v>
      </c>
      <c r="AU100" s="89"/>
      <c r="AV100" s="4">
        <f>SUM($AV148:AV$148)</f>
        <v>188714.66104417673</v>
      </c>
      <c r="AW100" s="89"/>
      <c r="AX100" s="4">
        <f>SUM($AV148:AX$148)</f>
        <v>331855.99437751004</v>
      </c>
      <c r="AY100" s="89"/>
      <c r="AZ100" s="4">
        <f>SUM($AV148:AZ$148)</f>
        <v>648956.92656908627</v>
      </c>
      <c r="BA100" s="89"/>
      <c r="BB100" s="4">
        <f>SUM($AV148:BB$148)</f>
        <v>969760.0050004588</v>
      </c>
      <c r="BC100" s="89"/>
      <c r="BD100" s="4">
        <f>SUM($AV148:BD$148)</f>
        <v>1246067.6167651648</v>
      </c>
      <c r="BE100" s="89"/>
      <c r="BF100" s="4">
        <f>SUM($AV148:BF$148)</f>
        <v>1514601.499118106</v>
      </c>
      <c r="BG100" s="89"/>
      <c r="BH100" s="4">
        <f>SUM($AV148:BH$148)</f>
        <v>1802949.499118106</v>
      </c>
      <c r="BI100" s="89"/>
      <c r="BJ100" s="4">
        <f>SUM($AV148:BJ$148)</f>
        <v>1948949.499118106</v>
      </c>
      <c r="BK100" s="89"/>
      <c r="BL100" s="4">
        <f>SUM($AV148:BL$148)</f>
        <v>2379449.499118106</v>
      </c>
      <c r="BM100" s="89"/>
      <c r="BN100" s="4">
        <f>SUM($AV148:BN$148)</f>
        <v>2571326.499118106</v>
      </c>
      <c r="BO100" s="89"/>
      <c r="BP100" s="4">
        <f>SUM($AV148:BP$148)</f>
        <v>2591326.499118106</v>
      </c>
      <c r="BQ100" s="89"/>
      <c r="BR100" s="4">
        <f>SUM($AV148:BR$148)</f>
        <v>2591326.499118106</v>
      </c>
      <c r="BS100" s="89"/>
    </row>
    <row r="101" spans="1:71" s="84" customFormat="1" ht="4.9000000000000004" customHeight="1" outlineLevel="1" x14ac:dyDescent="0.25">
      <c r="N101" s="85"/>
      <c r="S101" s="86"/>
      <c r="U101" s="87"/>
      <c r="W101" s="87"/>
      <c r="Y101" s="87"/>
      <c r="AA101" s="87"/>
      <c r="AC101" s="90"/>
      <c r="AE101" s="90"/>
      <c r="AG101" s="90"/>
      <c r="AI101" s="90"/>
      <c r="AK101" s="90"/>
      <c r="AM101" s="90"/>
      <c r="AO101" s="90"/>
      <c r="AQ101" s="90"/>
      <c r="AS101" s="90"/>
      <c r="AT101" s="131"/>
      <c r="AU101" s="90"/>
      <c r="AW101" s="90"/>
      <c r="AY101" s="90"/>
      <c r="BA101" s="90"/>
      <c r="BC101" s="90"/>
      <c r="BE101" s="90"/>
      <c r="BG101" s="90"/>
      <c r="BI101" s="90"/>
      <c r="BK101" s="90"/>
      <c r="BM101" s="90"/>
      <c r="BO101" s="90"/>
      <c r="BQ101" s="90"/>
      <c r="BS101" s="90"/>
    </row>
    <row r="102" spans="1:71" outlineLevel="1" x14ac:dyDescent="0.25">
      <c r="C102" s="4" t="s">
        <v>168</v>
      </c>
      <c r="T102" s="4">
        <f>T104-T103</f>
        <v>96786.108224999989</v>
      </c>
      <c r="V102" s="4">
        <f>V104-V103</f>
        <v>120334.40595</v>
      </c>
      <c r="X102" s="4">
        <f>X104-X103</f>
        <v>157218.00367500001</v>
      </c>
      <c r="Z102" s="4">
        <f>Z104-Z103</f>
        <v>138593.51640000002</v>
      </c>
      <c r="AB102" s="4">
        <f>AB104-AB103</f>
        <v>177702.463575</v>
      </c>
      <c r="AC102" s="88">
        <f>AB102/AB105</f>
        <v>0.3491331001391012</v>
      </c>
      <c r="AD102" s="4">
        <f>AD104-AD103</f>
        <v>165202.02045000001</v>
      </c>
      <c r="AE102" s="88">
        <f>AD102/AD105</f>
        <v>0.27254373313807506</v>
      </c>
      <c r="AF102" s="4">
        <f>AF104-AF103</f>
        <v>140179.76302500002</v>
      </c>
      <c r="AG102" s="88">
        <f>AF102/AF105</f>
        <v>0.2143535075636018</v>
      </c>
      <c r="AH102" s="4">
        <f>AH104-AH103</f>
        <v>168450.91290000002</v>
      </c>
      <c r="AI102" s="88">
        <f>AH102/AH105</f>
        <v>0.21298952525846734</v>
      </c>
      <c r="AJ102" s="4">
        <f>AJ104-AJ103</f>
        <v>235432.85377500003</v>
      </c>
      <c r="AK102" s="88">
        <f>AJ102/AJ105</f>
        <v>0.23637213755661562</v>
      </c>
      <c r="AL102" s="4">
        <f>AL104-AL103</f>
        <v>223127.79884999999</v>
      </c>
      <c r="AM102" s="88">
        <f>AL102/AL105</f>
        <v>0.21292826862263978</v>
      </c>
      <c r="AN102" s="4">
        <f>AN103-AN104</f>
        <v>-272782.11442499998</v>
      </c>
      <c r="AO102" s="88">
        <f>AN102/AN105</f>
        <v>-0.22780170050338039</v>
      </c>
      <c r="AP102" s="4">
        <f>AP103-AP104</f>
        <v>-334824.72659999999</v>
      </c>
      <c r="AQ102" s="88">
        <f>AP102/AP105</f>
        <v>-0.24543592105067844</v>
      </c>
      <c r="AR102" s="4">
        <f>AR104-AR103</f>
        <v>380903.46997500001</v>
      </c>
      <c r="AS102" s="88">
        <f>AR102/AR105</f>
        <v>0.25092203123453471</v>
      </c>
      <c r="AT102" s="121">
        <f>AT104-AT103</f>
        <v>426201.79694096389</v>
      </c>
      <c r="AU102" s="88">
        <f>AT102/AT105</f>
        <v>0.25311572009033051</v>
      </c>
      <c r="AV102" s="4">
        <f>AV104-AV103</f>
        <v>467402.99806626514</v>
      </c>
      <c r="AW102" s="88">
        <f>AV102/AV105</f>
        <v>0.24960954228069632</v>
      </c>
      <c r="AX102" s="4">
        <f>AX104-AX103</f>
        <v>488944.03307866189</v>
      </c>
      <c r="AY102" s="88">
        <f>AX102/AX105</f>
        <v>0.24257051704524332</v>
      </c>
      <c r="AZ102" s="4">
        <f>AZ104-AZ103</f>
        <v>604771.07681679039</v>
      </c>
      <c r="BA102" s="88">
        <f>AZ102/AZ105</f>
        <v>0.25924921197327216</v>
      </c>
      <c r="BB102" s="4">
        <f>BB104-BB103</f>
        <v>691469.00502120215</v>
      </c>
      <c r="BC102" s="88">
        <f>BB102/BB105</f>
        <v>0.26057948291522254</v>
      </c>
      <c r="BD102" s="4">
        <f>BD104-BD103</f>
        <v>752745.29787561391</v>
      </c>
      <c r="BE102" s="88">
        <f>BD102/BD105</f>
        <v>0.25691934432555552</v>
      </c>
      <c r="BF102" s="4">
        <f>BF104-BF103</f>
        <v>805041.87450649636</v>
      </c>
      <c r="BG102" s="88">
        <f>BF102/BF105</f>
        <v>0.25169959378532419</v>
      </c>
      <c r="BH102" s="4">
        <f>BH104-BH103</f>
        <v>864830.65290649643</v>
      </c>
      <c r="BI102" s="88">
        <f>BH102/BH105</f>
        <v>0.24803193263297066</v>
      </c>
      <c r="BJ102" s="4">
        <f>BJ104-BJ103</f>
        <v>835757.24730649637</v>
      </c>
      <c r="BK102" s="88">
        <f>BJ102/BJ105</f>
        <v>0.23006051073707626</v>
      </c>
      <c r="BL102" s="4">
        <f>BL104-BL103</f>
        <v>1011197.2803064964</v>
      </c>
      <c r="BM102" s="88">
        <f>BL102/BL105</f>
        <v>0.24886284395825814</v>
      </c>
      <c r="BN102" s="4">
        <f>BN104-BN103</f>
        <v>1004473.9833064964</v>
      </c>
      <c r="BO102" s="88">
        <f>BN102/BN105</f>
        <v>0.23606085737934063</v>
      </c>
      <c r="BP102" s="4">
        <f>BP104-BP103</f>
        <v>879975.06630649639</v>
      </c>
      <c r="BQ102" s="88">
        <f>BP102/BP105</f>
        <v>0.20583497477127066</v>
      </c>
      <c r="BR102" s="4">
        <f>BR104-BR103</f>
        <v>724603.81740649638</v>
      </c>
      <c r="BS102" s="88">
        <f>BR102/BR105</f>
        <v>0.16949208470309532</v>
      </c>
    </row>
    <row r="103" spans="1:71" s="1" customFormat="1" outlineLevel="1" x14ac:dyDescent="0.25">
      <c r="A103" s="1">
        <f>A104*0.19</f>
        <v>0</v>
      </c>
      <c r="C103" s="4" t="s">
        <v>165</v>
      </c>
      <c r="D103" s="4"/>
      <c r="E103" s="4"/>
      <c r="F103" s="4"/>
      <c r="G103" s="4"/>
      <c r="H103" s="4"/>
      <c r="I103" s="4"/>
      <c r="J103" s="4"/>
      <c r="N103" s="23"/>
      <c r="S103" s="18"/>
      <c r="T103" s="1">
        <f>T104*0.19</f>
        <v>22702.914274999999</v>
      </c>
      <c r="U103" s="18"/>
      <c r="V103" s="1">
        <f>V104*0.19</f>
        <v>28226.589049999999</v>
      </c>
      <c r="W103" s="18"/>
      <c r="X103" s="1">
        <f>X104*0.19</f>
        <v>36878.297158333335</v>
      </c>
      <c r="Y103" s="18"/>
      <c r="Z103" s="1">
        <f>Z104*0.19</f>
        <v>32509.59026666667</v>
      </c>
      <c r="AA103" s="18"/>
      <c r="AB103" s="1">
        <f>AB104*0.19</f>
        <v>41683.293925000005</v>
      </c>
      <c r="AC103" s="89"/>
      <c r="AD103" s="1">
        <f>AD104*0.19</f>
        <v>38751.091216666675</v>
      </c>
      <c r="AE103" s="89"/>
      <c r="AF103" s="1">
        <f>AF104*0.19</f>
        <v>32881.672808333336</v>
      </c>
      <c r="AG103" s="89"/>
      <c r="AH103" s="1">
        <f>AH104*0.19</f>
        <v>39513.177100000008</v>
      </c>
      <c r="AI103" s="89"/>
      <c r="AJ103" s="1">
        <f>AJ104*0.19</f>
        <v>55224.990391666666</v>
      </c>
      <c r="AK103" s="89"/>
      <c r="AL103" s="1">
        <f>AL104*0.19</f>
        <v>52338.619483333336</v>
      </c>
      <c r="AM103" s="89"/>
      <c r="AN103" s="1">
        <f>AN104*0.19</f>
        <v>63985.928074999996</v>
      </c>
      <c r="AO103" s="89"/>
      <c r="AP103" s="1">
        <f>AP104*0.19</f>
        <v>78539.133399999992</v>
      </c>
      <c r="AQ103" s="89"/>
      <c r="AR103" s="1">
        <f>AR104*0.19</f>
        <v>89347.727525000009</v>
      </c>
      <c r="AS103" s="89"/>
      <c r="AT103" s="129">
        <f>AT104*0.19</f>
        <v>99973.261010843387</v>
      </c>
      <c r="AU103" s="89"/>
      <c r="AV103" s="1">
        <f>AV104*0.19</f>
        <v>109637.74028714861</v>
      </c>
      <c r="AW103" s="89"/>
      <c r="AX103" s="1">
        <f>AX104*0.19</f>
        <v>114690.57566042687</v>
      </c>
      <c r="AY103" s="89"/>
      <c r="AZ103" s="1">
        <f>AZ104*0.19</f>
        <v>141859.88221628417</v>
      </c>
      <c r="BA103" s="89"/>
      <c r="BB103" s="1">
        <f>BB104*0.19</f>
        <v>162196.43327657829</v>
      </c>
      <c r="BC103" s="89"/>
      <c r="BD103" s="1">
        <f>BD104*0.19</f>
        <v>176569.88468687242</v>
      </c>
      <c r="BE103" s="89"/>
      <c r="BF103" s="1">
        <f>BF104*0.19</f>
        <v>188836.98290893124</v>
      </c>
      <c r="BG103" s="89"/>
      <c r="BH103" s="1">
        <f>BH104*0.19</f>
        <v>202861.51117559793</v>
      </c>
      <c r="BI103" s="89"/>
      <c r="BJ103" s="1">
        <f>BJ104*0.19</f>
        <v>196041.82344226458</v>
      </c>
      <c r="BK103" s="89"/>
      <c r="BL103" s="1">
        <f>BL104*0.19</f>
        <v>237194.42377559794</v>
      </c>
      <c r="BM103" s="89"/>
      <c r="BN103" s="1">
        <f>BN104*0.19</f>
        <v>235617.35410893126</v>
      </c>
      <c r="BO103" s="89"/>
      <c r="BP103" s="1">
        <f>BP104*0.19</f>
        <v>206413.90444226458</v>
      </c>
      <c r="BQ103" s="89"/>
      <c r="BR103" s="1">
        <f>BR104*0.19</f>
        <v>169968.79667559793</v>
      </c>
      <c r="BS103" s="89"/>
    </row>
    <row r="104" spans="1:71" outlineLevel="1" x14ac:dyDescent="0.25">
      <c r="C104" s="4" t="s">
        <v>169</v>
      </c>
      <c r="T104" s="4">
        <f>SUM($T$143:T143)</f>
        <v>119489.02249999999</v>
      </c>
      <c r="V104" s="4">
        <f>SUM($T$143:V143)</f>
        <v>148560.995</v>
      </c>
      <c r="X104" s="4">
        <f>SUM($T$143:X143)</f>
        <v>194096.30083333334</v>
      </c>
      <c r="Z104" s="4">
        <f>SUM($T$143:Z143)</f>
        <v>171103.10666666669</v>
      </c>
      <c r="AB104" s="4">
        <f>SUM($T$143:AB143)</f>
        <v>219385.75750000001</v>
      </c>
      <c r="AC104" s="88">
        <f>AB104/AB105</f>
        <v>0.43102851869024839</v>
      </c>
      <c r="AD104" s="4">
        <f>SUM($T$143:AD143)</f>
        <v>203953.11166666669</v>
      </c>
      <c r="AE104" s="88">
        <f>AD104/AD105</f>
        <v>0.33647374461490753</v>
      </c>
      <c r="AF104" s="4">
        <f>SUM($T$143:AF143)</f>
        <v>173061.43583333335</v>
      </c>
      <c r="AG104" s="88">
        <f>AF104/AF105</f>
        <v>0.26463395995506395</v>
      </c>
      <c r="AH104" s="4">
        <f>SUM($T$143:AH143)</f>
        <v>207964.09000000003</v>
      </c>
      <c r="AI104" s="88">
        <f>AH104/AH105</f>
        <v>0.26295003118329302</v>
      </c>
      <c r="AJ104" s="4">
        <f>SUM($T$143:AJ143)</f>
        <v>290657.84416666668</v>
      </c>
      <c r="AK104" s="88">
        <f>AJ104/AJ105</f>
        <v>0.29181745377359952</v>
      </c>
      <c r="AL104" s="4">
        <f>SUM($T$143:AL143)</f>
        <v>275466.41833333333</v>
      </c>
      <c r="AM104" s="88">
        <f>AL104/AL105</f>
        <v>0.26287440570696269</v>
      </c>
      <c r="AN104" s="4">
        <f>SUM($T$143:AN143)</f>
        <v>336768.04249999998</v>
      </c>
      <c r="AO104" s="88">
        <f>AN104/AN105</f>
        <v>0.28123666728812391</v>
      </c>
      <c r="AP104" s="4">
        <f>SUM($T$143:AP143)</f>
        <v>413363.86</v>
      </c>
      <c r="AQ104" s="88">
        <f>AP104/AP105</f>
        <v>0.30300730993910918</v>
      </c>
      <c r="AR104" s="4">
        <f>SUM($T$143:AR143)</f>
        <v>470251.19750000001</v>
      </c>
      <c r="AS104" s="88">
        <f>AR104/AR105</f>
        <v>0.30978028547473418</v>
      </c>
      <c r="AT104" s="121">
        <f>SUM($T$143:AT143)</f>
        <v>526175.05795180728</v>
      </c>
      <c r="AU104" s="88">
        <f>AT104/AT105</f>
        <v>0.31248854332139575</v>
      </c>
      <c r="AV104" s="4">
        <f>SUM($T$143:AV143)</f>
        <v>577040.73835341376</v>
      </c>
      <c r="AW104" s="88">
        <f>AV104/AV105</f>
        <v>0.30815992874160036</v>
      </c>
      <c r="AX104" s="4">
        <f>SUM($T$143:AX143)</f>
        <v>603634.60873908876</v>
      </c>
      <c r="AY104" s="88">
        <f>AX104/AX105</f>
        <v>0.29946977412993003</v>
      </c>
      <c r="AZ104" s="4">
        <f>SUM($T$143:AZ143)</f>
        <v>746630.95903307456</v>
      </c>
      <c r="BA104" s="88">
        <f>AZ104/AZ105</f>
        <v>0.32006075552255825</v>
      </c>
      <c r="BB104" s="4">
        <f>SUM($T$143:BB143)</f>
        <v>853665.43829778046</v>
      </c>
      <c r="BC104" s="88">
        <f>BB104/BB105</f>
        <v>0.32170306532743526</v>
      </c>
      <c r="BD104" s="4">
        <f>SUM($T$143:BD143)</f>
        <v>929315.18256248638</v>
      </c>
      <c r="BE104" s="88">
        <f>BD104/BD105</f>
        <v>0.31718437571056241</v>
      </c>
      <c r="BF104" s="4">
        <f>SUM($T$143:BF143)</f>
        <v>993878.85741542757</v>
      </c>
      <c r="BG104" s="88">
        <f>BF104/BF105</f>
        <v>0.31074023924114097</v>
      </c>
      <c r="BH104" s="4">
        <f>SUM($T$143:BH143)</f>
        <v>1067692.1640820943</v>
      </c>
      <c r="BI104" s="88">
        <f>BH104/BH105</f>
        <v>0.30621226250984029</v>
      </c>
      <c r="BJ104" s="4">
        <f>SUM($T$143:BJ143)</f>
        <v>1031799.0707487609</v>
      </c>
      <c r="BK104" s="88">
        <f>BJ104/BJ105</f>
        <v>0.28402532189762503</v>
      </c>
      <c r="BL104" s="4">
        <f>SUM($T$143:BL143)</f>
        <v>1248391.7040820944</v>
      </c>
      <c r="BM104" s="88">
        <f>BL104/BL105</f>
        <v>0.30723807896081251</v>
      </c>
      <c r="BN104" s="4">
        <f>SUM($T$143:BN143)</f>
        <v>1240091.3374154277</v>
      </c>
      <c r="BO104" s="88">
        <f>BN104/BN105</f>
        <v>0.29143315725844521</v>
      </c>
      <c r="BP104" s="4">
        <f>SUM($T$143:BP143)</f>
        <v>1086388.970748761</v>
      </c>
      <c r="BQ104" s="88">
        <f>BP104/BP105</f>
        <v>0.25411725280403785</v>
      </c>
      <c r="BR104" s="4">
        <f>SUM($T$143:BR143)</f>
        <v>894572.61408209428</v>
      </c>
      <c r="BS104" s="88">
        <f>BR104/BR105</f>
        <v>0.20924948728777198</v>
      </c>
    </row>
    <row r="105" spans="1:71" outlineLevel="1" x14ac:dyDescent="0.25">
      <c r="C105" s="4" t="s">
        <v>170</v>
      </c>
      <c r="G105" s="4"/>
      <c r="T105" s="4">
        <f>SUM($T148:T$148)</f>
        <v>172170</v>
      </c>
      <c r="V105" s="4">
        <f>SUM($T148:V$148)</f>
        <v>237150</v>
      </c>
      <c r="X105" s="4">
        <f>SUM($T148:X$148)</f>
        <v>350650</v>
      </c>
      <c r="Z105" s="4">
        <f>SUM($T148:Z$148)</f>
        <v>383150</v>
      </c>
      <c r="AB105" s="4">
        <f>SUM($T148:AB$148)</f>
        <v>508982</v>
      </c>
      <c r="AD105" s="4">
        <f>SUM($T148:AD$148)</f>
        <v>606148.66666666663</v>
      </c>
      <c r="AF105" s="4">
        <f>SUM($T148:AF$148)</f>
        <v>653965.33333333326</v>
      </c>
      <c r="AH105" s="4">
        <f>SUM($T148:AH$148)</f>
        <v>790888.25</v>
      </c>
      <c r="AJ105" s="4">
        <f>SUM($T148:AJ$148)</f>
        <v>996026.25</v>
      </c>
      <c r="AL105" s="4">
        <f>SUM($T148:AL$148)</f>
        <v>1047901.25</v>
      </c>
      <c r="AN105" s="4">
        <f>SUM($T148:AN$148)</f>
        <v>1197454.25</v>
      </c>
      <c r="AP105" s="4">
        <f>SUM($T148:AP$148)</f>
        <v>1364204.25</v>
      </c>
      <c r="AR105" s="4">
        <f>SUM($T148:AR$148)</f>
        <v>1518015.25</v>
      </c>
      <c r="AT105" s="121">
        <f>SUM($T148:AT$148)</f>
        <v>1683821.9166666667</v>
      </c>
      <c r="AV105" s="4">
        <f>SUM($T148:AV$148)</f>
        <v>1872536.5777108434</v>
      </c>
      <c r="AX105" s="4">
        <f>SUM($T148:AX$148)</f>
        <v>2015677.9110441767</v>
      </c>
      <c r="AZ105" s="4">
        <f>SUM($T148:AZ$148)</f>
        <v>2332778.843235753</v>
      </c>
      <c r="BB105" s="4">
        <f>SUM($T148:BB$148)</f>
        <v>2653581.9216671255</v>
      </c>
      <c r="BC105" s="18"/>
      <c r="BD105" s="4">
        <f>SUM($T148:BD$148)</f>
        <v>2929889.5334318313</v>
      </c>
      <c r="BF105" s="4">
        <f>SUM($T148:BF$148)</f>
        <v>3198423.4157847725</v>
      </c>
      <c r="BH105" s="4">
        <f>SUM($T148:BH$148)</f>
        <v>3486771.4157847725</v>
      </c>
      <c r="BJ105" s="4">
        <f>SUM($T148:BJ$148)</f>
        <v>3632771.4157847725</v>
      </c>
      <c r="BL105" s="4">
        <f>SUM($T148:BL$148)</f>
        <v>4063271.4157847725</v>
      </c>
      <c r="BN105" s="4">
        <f>SUM($T148:BN$148)</f>
        <v>4255148.4157847725</v>
      </c>
      <c r="BP105" s="4">
        <f>SUM($T148:BP$148)</f>
        <v>4275148.4157847725</v>
      </c>
      <c r="BR105" s="4">
        <f>SUM($T148:BR$148)</f>
        <v>4275148.4157847725</v>
      </c>
    </row>
    <row r="106" spans="1:71" s="82" customFormat="1" outlineLevel="1" x14ac:dyDescent="0.25">
      <c r="D106" s="17" t="s">
        <v>171</v>
      </c>
      <c r="G106" s="17"/>
      <c r="S106" s="16"/>
      <c r="T106" s="83">
        <f>T143/T148</f>
        <v>0.69401767148748328</v>
      </c>
      <c r="U106" s="18"/>
      <c r="V106" s="83">
        <f>V143/V148</f>
        <v>0.4473987765466298</v>
      </c>
      <c r="W106" s="18"/>
      <c r="X106" s="83">
        <f>X143/X148</f>
        <v>0.4011921218795888</v>
      </c>
      <c r="Y106" s="18"/>
      <c r="Z106" s="83">
        <f>Z143/Z148</f>
        <v>-0.70748289743589743</v>
      </c>
      <c r="AA106" s="18"/>
      <c r="AB106" s="83">
        <f>AB143/AB148</f>
        <v>0.38370725120266164</v>
      </c>
      <c r="AC106" s="18"/>
      <c r="AD106" s="83">
        <f>AD143/AD148</f>
        <v>-0.15882654373927954</v>
      </c>
      <c r="AE106" s="18"/>
      <c r="AF106" s="83">
        <f>AF143/AF148</f>
        <v>-0.64604410944579971</v>
      </c>
      <c r="AG106" s="18"/>
      <c r="AH106" s="83">
        <f>AH143/AH148</f>
        <v>0.25490732315932019</v>
      </c>
      <c r="AI106" s="18"/>
      <c r="AJ106" s="83">
        <f>AJ143/AJ148</f>
        <v>0.4031128029261602</v>
      </c>
      <c r="AK106" s="18"/>
      <c r="AL106" s="83">
        <f>AL143/AL148</f>
        <v>-0.29284676305220869</v>
      </c>
      <c r="AM106" s="18"/>
      <c r="AN106" s="83">
        <f>AN143/AN148</f>
        <v>0.40989899344491032</v>
      </c>
      <c r="AO106" s="18"/>
      <c r="AP106" s="83">
        <f>AP143/AP148</f>
        <v>0.45934523238380814</v>
      </c>
      <c r="AQ106" s="18"/>
      <c r="AR106" s="83">
        <f>AR143/AR148</f>
        <v>0.36985220497883764</v>
      </c>
      <c r="AS106" s="18"/>
      <c r="AT106" s="132">
        <f>AT143/AT148</f>
        <v>0.33728354580720865</v>
      </c>
      <c r="AU106" s="18"/>
      <c r="AV106" s="83">
        <f>AV143/AV148</f>
        <v>0.26953751298474443</v>
      </c>
      <c r="AW106" s="18"/>
      <c r="AX106" s="83">
        <f>AX143/AX148</f>
        <v>0.18578749943418346</v>
      </c>
      <c r="AY106" s="18"/>
      <c r="AZ106" s="83">
        <f>AZ143/AZ148</f>
        <v>0.4509490063800719</v>
      </c>
      <c r="BA106" s="18"/>
      <c r="BB106" s="83">
        <f>BB143/BB148</f>
        <v>0.33364542443941381</v>
      </c>
      <c r="BC106" s="18"/>
      <c r="BD106" s="83">
        <f>BD143/BD148</f>
        <v>0.27378812976432448</v>
      </c>
      <c r="BE106" s="18"/>
      <c r="BF106" s="83">
        <f>BF143/BF148</f>
        <v>0.24043027377857457</v>
      </c>
      <c r="BG106" s="18"/>
      <c r="BH106" s="83">
        <f>BH143/BH148</f>
        <v>0.25598688621619248</v>
      </c>
      <c r="BI106" s="18"/>
      <c r="BJ106" s="83">
        <f>BJ143/BJ148</f>
        <v>-0.24584310502283119</v>
      </c>
      <c r="BK106" s="18"/>
      <c r="BL106" s="83">
        <f>BL143/BL148</f>
        <v>0.50311877661633764</v>
      </c>
      <c r="BM106" s="18"/>
      <c r="BN106" s="83">
        <f>BN143/BN148</f>
        <v>-4.3258789050624455E-2</v>
      </c>
      <c r="BO106" s="18"/>
      <c r="BP106" s="83">
        <f>BP143/BP148</f>
        <v>-7.6851183333333353</v>
      </c>
      <c r="BQ106" s="18"/>
      <c r="BR106" s="83" t="e">
        <f>BR143/BR148</f>
        <v>#DIV/0!</v>
      </c>
      <c r="BS106" s="18"/>
    </row>
    <row r="107" spans="1:71" s="82" customFormat="1" x14ac:dyDescent="0.25">
      <c r="D107" s="17"/>
      <c r="G107" s="17"/>
      <c r="S107" s="16"/>
      <c r="U107" s="18"/>
      <c r="W107" s="18"/>
      <c r="Y107" s="18"/>
      <c r="AA107" s="18"/>
      <c r="AB107" s="83"/>
      <c r="AC107" s="18"/>
      <c r="AD107" s="83"/>
      <c r="AE107" s="18"/>
      <c r="AF107" s="83"/>
      <c r="AG107" s="18"/>
      <c r="AH107" s="83"/>
      <c r="AI107" s="18"/>
      <c r="AJ107" s="83"/>
      <c r="AK107" s="18"/>
      <c r="AL107" s="83"/>
      <c r="AM107" s="18"/>
      <c r="AN107" s="83"/>
      <c r="AO107" s="18"/>
      <c r="AP107" s="83"/>
      <c r="AQ107" s="18"/>
      <c r="AR107" s="83"/>
      <c r="AS107" s="18"/>
      <c r="AT107" s="132"/>
      <c r="AU107" s="18"/>
      <c r="AV107" s="83"/>
      <c r="AW107" s="18"/>
      <c r="AX107" s="83"/>
      <c r="AY107" s="18"/>
      <c r="AZ107" s="83"/>
      <c r="BA107" s="18"/>
      <c r="BB107" s="83"/>
      <c r="BC107" s="18"/>
      <c r="BD107" s="83"/>
      <c r="BE107" s="18"/>
      <c r="BF107" s="83"/>
      <c r="BG107" s="18"/>
      <c r="BH107" s="83"/>
      <c r="BI107" s="18"/>
      <c r="BJ107" s="4"/>
      <c r="BK107" s="18"/>
      <c r="BL107" s="83"/>
      <c r="BM107" s="18"/>
      <c r="BN107" s="83"/>
      <c r="BO107" s="18"/>
      <c r="BP107" s="83"/>
      <c r="BQ107" s="18"/>
      <c r="BR107" s="83"/>
      <c r="BS107" s="18"/>
    </row>
    <row r="108" spans="1:71" x14ac:dyDescent="0.25">
      <c r="C108" s="5" t="s">
        <v>767</v>
      </c>
      <c r="D108" s="3"/>
      <c r="E108" s="3"/>
      <c r="F108" s="3"/>
      <c r="G108" s="54"/>
      <c r="H108" s="3"/>
      <c r="I108" s="3"/>
      <c r="J108" s="3"/>
      <c r="K108" s="3"/>
      <c r="L108" s="3"/>
      <c r="M108" s="3"/>
      <c r="N108" s="2"/>
      <c r="O108" s="3"/>
      <c r="P108" s="3"/>
      <c r="Q108" s="3"/>
      <c r="S108" s="7"/>
      <c r="T108" s="33">
        <v>45231</v>
      </c>
      <c r="U108" s="9"/>
      <c r="V108" s="33">
        <v>45261</v>
      </c>
      <c r="W108" s="9"/>
      <c r="X108" s="33">
        <v>45292</v>
      </c>
      <c r="Y108" s="9"/>
      <c r="Z108" s="33">
        <v>45323</v>
      </c>
      <c r="AA108" s="9"/>
      <c r="AB108" s="33">
        <v>45352</v>
      </c>
      <c r="AC108" s="9"/>
      <c r="AD108" s="33">
        <v>45383</v>
      </c>
      <c r="AE108" s="9"/>
      <c r="AF108" s="33">
        <v>45413</v>
      </c>
      <c r="AG108" s="9"/>
      <c r="AH108" s="33">
        <v>45444</v>
      </c>
      <c r="AI108" s="9"/>
      <c r="AJ108" s="33">
        <v>45474</v>
      </c>
      <c r="AK108" s="9"/>
      <c r="AL108" s="33">
        <v>45528</v>
      </c>
      <c r="AM108" s="9"/>
      <c r="AN108" s="51">
        <f>AN$2</f>
        <v>45559</v>
      </c>
      <c r="AO108" s="9"/>
      <c r="AP108" s="51" t="str">
        <f>AP$2</f>
        <v>Okt-24</v>
      </c>
      <c r="AQ108" s="9"/>
      <c r="AR108" s="51">
        <f>AR$2</f>
        <v>45620</v>
      </c>
      <c r="AS108" s="9"/>
      <c r="AT108" s="122">
        <f>AT$2</f>
        <v>45650</v>
      </c>
      <c r="AU108" s="9"/>
      <c r="AV108" s="51">
        <f>AV$2</f>
        <v>45658</v>
      </c>
      <c r="AW108" s="9"/>
      <c r="AX108" s="51">
        <f>AX$2</f>
        <v>45689</v>
      </c>
      <c r="AY108" s="9"/>
      <c r="AZ108" s="51">
        <f>AZ$2</f>
        <v>45719</v>
      </c>
      <c r="BA108" s="9"/>
      <c r="BB108" s="51">
        <f>BB$2</f>
        <v>45749</v>
      </c>
      <c r="BC108" s="9"/>
      <c r="BD108" s="51">
        <f>BD$2</f>
        <v>45779</v>
      </c>
      <c r="BE108" s="9"/>
      <c r="BF108" s="51">
        <f>BF$2</f>
        <v>45809</v>
      </c>
      <c r="BG108" s="9"/>
      <c r="BH108" s="51">
        <f>BH$2</f>
        <v>45839</v>
      </c>
      <c r="BI108" s="9"/>
      <c r="BJ108" s="51">
        <f>BJ$2</f>
        <v>45870</v>
      </c>
      <c r="BK108" s="9"/>
      <c r="BL108" s="51">
        <f>BL$2</f>
        <v>45901</v>
      </c>
      <c r="BM108" s="9"/>
      <c r="BN108" s="51">
        <f>BN$2</f>
        <v>45932</v>
      </c>
      <c r="BO108" s="9"/>
      <c r="BP108" s="51">
        <f>BP$2</f>
        <v>45963</v>
      </c>
      <c r="BQ108" s="9"/>
      <c r="BR108" s="51">
        <f>BR$2</f>
        <v>45994</v>
      </c>
      <c r="BS108" s="9"/>
    </row>
    <row r="109" spans="1:71" outlineLevel="1" x14ac:dyDescent="0.25">
      <c r="C109" s="4" t="s">
        <v>731</v>
      </c>
      <c r="AB109" s="4">
        <f>AB111-AB110</f>
        <v>296830.93139999994</v>
      </c>
      <c r="AC109" s="88">
        <f>AB109/AB112</f>
        <v>0.58318551815191877</v>
      </c>
      <c r="AD109" s="4">
        <f>AD111-AD110</f>
        <v>303328.40039999993</v>
      </c>
      <c r="AE109" s="88">
        <f>AD109/AD112</f>
        <v>0.50796127887751008</v>
      </c>
      <c r="AF109" s="4">
        <f>AF111-AF110</f>
        <v>299709.75509999995</v>
      </c>
      <c r="AG109" s="88">
        <f>AF109/AF112</f>
        <v>0.47126744083534949</v>
      </c>
      <c r="AH109" s="4">
        <f>AH111-AH110</f>
        <v>348632.83709999995</v>
      </c>
      <c r="AI109" s="88">
        <f>AH109/AH112</f>
        <v>0.45490368243511042</v>
      </c>
      <c r="AJ109" s="4">
        <f>AJ111-AJ110</f>
        <v>442452.7476</v>
      </c>
      <c r="AK109" s="88">
        <f>AJ109/AJ112</f>
        <v>0.45848778476233165</v>
      </c>
      <c r="AL109" s="4">
        <f>AL111-AL110</f>
        <v>451149.61229999998</v>
      </c>
      <c r="AM109" s="88">
        <f>AL109/AL112</f>
        <v>0.44650539802875344</v>
      </c>
      <c r="AN109" s="4">
        <f>AN111-AN110</f>
        <v>526464.19530000002</v>
      </c>
      <c r="AO109" s="88">
        <f>AN109/AN112</f>
        <v>0.45642399366944986</v>
      </c>
      <c r="AP109" s="4">
        <f>AP111-AP110</f>
        <v>605396.7108</v>
      </c>
      <c r="AQ109" s="88">
        <f>AP109/AP112</f>
        <v>0.46381907035336134</v>
      </c>
      <c r="AR109" s="4">
        <f>AR111-AR110</f>
        <v>561088.79954999988</v>
      </c>
      <c r="AS109" s="88">
        <f>AR109/AR112</f>
        <v>0.4373651009824151</v>
      </c>
      <c r="AT109" s="121">
        <f>AT111-AT110</f>
        <v>589785.34964096383</v>
      </c>
      <c r="AU109" s="88">
        <f>AT109/AT112</f>
        <v>0.426798041809202</v>
      </c>
      <c r="AV109" s="4">
        <f>AV111-AV110</f>
        <v>588977.65846626519</v>
      </c>
      <c r="AW109" s="88">
        <f>AV109/AV112</f>
        <v>0.40549817684444467</v>
      </c>
      <c r="AX109" s="4">
        <f>AX111-AX110</f>
        <v>639908.10017246334</v>
      </c>
      <c r="AY109" s="88">
        <f>AX109/AX112</f>
        <v>0.40977183358368491</v>
      </c>
      <c r="AZ109" s="4">
        <f>AZ111-AZ110</f>
        <v>693986.2974730921</v>
      </c>
      <c r="BA109" s="88">
        <f>AZ109/AZ112</f>
        <v>0.40449765991981412</v>
      </c>
      <c r="BB109" s="4">
        <f>BB111-BB110</f>
        <v>800949.31159000355</v>
      </c>
      <c r="BC109" s="88">
        <f>BB109/BB112</f>
        <v>0.41167301499509762</v>
      </c>
      <c r="BD109" s="4">
        <f>BD111-BD110</f>
        <v>900860.4171069155</v>
      </c>
      <c r="BE109" s="88">
        <f>BD109/BD112</f>
        <v>0.41273745567826048</v>
      </c>
      <c r="BF109" s="4">
        <f>BF111-BF110</f>
        <v>938020.74210029782</v>
      </c>
      <c r="BG109" s="88">
        <f>BF109/BF112</f>
        <v>0.40468898870236175</v>
      </c>
      <c r="BH109" s="4">
        <f>BH111-BH110</f>
        <v>941757.32913779793</v>
      </c>
      <c r="BI109" s="88">
        <f>BH109/BH112</f>
        <v>0.39116174590542341</v>
      </c>
      <c r="BJ109" s="4">
        <f>BJ111-BJ110</f>
        <v>942626.33797529782</v>
      </c>
      <c r="BK109" s="88">
        <f>BJ109/BJ112</f>
        <v>0.37581552033800891</v>
      </c>
      <c r="BL109" s="4">
        <f>BL111-BL110</f>
        <v>1083126.4921127979</v>
      </c>
      <c r="BM109" s="88">
        <f>BL109/BL112</f>
        <v>0.38743105314956083</v>
      </c>
      <c r="BN109" s="4">
        <f>BN111-BN110</f>
        <v>1038250.3837502978</v>
      </c>
      <c r="BO109" s="88">
        <f>BN109/BN112</f>
        <v>0.36612895234068998</v>
      </c>
      <c r="BP109" s="4">
        <f>BP111-BP110</f>
        <v>882606.0463877978</v>
      </c>
      <c r="BQ109" s="88">
        <f>BP109/BP112</f>
        <v>0.32617359882973795</v>
      </c>
      <c r="BR109" s="4">
        <f>BR111-BR110</f>
        <v>693614.87603433384</v>
      </c>
      <c r="BS109" s="88">
        <f>BR109/BR112</f>
        <v>0.27286617553446574</v>
      </c>
    </row>
    <row r="110" spans="1:71" s="1" customFormat="1" outlineLevel="1" x14ac:dyDescent="0.25">
      <c r="A110" s="1">
        <f>A111*0.19</f>
        <v>0</v>
      </c>
      <c r="C110" s="4" t="s">
        <v>732</v>
      </c>
      <c r="D110" s="4"/>
      <c r="E110" s="4"/>
      <c r="F110" s="4"/>
      <c r="G110" s="4"/>
      <c r="H110" s="4"/>
      <c r="I110" s="4"/>
      <c r="J110" s="4"/>
      <c r="N110" s="23"/>
      <c r="S110" s="18"/>
      <c r="U110" s="18"/>
      <c r="W110" s="18"/>
      <c r="Y110" s="18"/>
      <c r="Z110" s="1">
        <f>Z111*0.19</f>
        <v>54691.146916666657</v>
      </c>
      <c r="AA110" s="18"/>
      <c r="AB110" s="1">
        <f>AB111*0.19</f>
        <v>69627.008599999986</v>
      </c>
      <c r="AC110" s="89"/>
      <c r="AD110" s="1">
        <f>AD111*0.19</f>
        <v>71151.106266666655</v>
      </c>
      <c r="AE110" s="89"/>
      <c r="AF110" s="1">
        <f>AF111*0.19</f>
        <v>70302.288233333325</v>
      </c>
      <c r="AG110" s="89"/>
      <c r="AH110" s="1">
        <f>AH111*0.19</f>
        <v>81778.072899999985</v>
      </c>
      <c r="AI110" s="89"/>
      <c r="AJ110" s="1">
        <f>AJ111*0.19</f>
        <v>103785.21239999999</v>
      </c>
      <c r="AK110" s="89"/>
      <c r="AL110" s="1">
        <f>AL111*0.19</f>
        <v>105825.21769999999</v>
      </c>
      <c r="AM110" s="89"/>
      <c r="AN110" s="1">
        <f>AN111*0.19</f>
        <v>123491.60136666665</v>
      </c>
      <c r="AO110" s="89"/>
      <c r="AP110" s="1">
        <f>AP111*0.19</f>
        <v>142006.63586666668</v>
      </c>
      <c r="AQ110" s="89"/>
      <c r="AR110" s="1">
        <f>AR111*0.19</f>
        <v>131613.42211666665</v>
      </c>
      <c r="AS110" s="89"/>
      <c r="AT110" s="129">
        <f>AT111*0.19</f>
        <v>138344.71164417671</v>
      </c>
      <c r="AU110" s="89"/>
      <c r="AV110" s="1">
        <f>AV111*0.19</f>
        <v>138155.25322048194</v>
      </c>
      <c r="AW110" s="89"/>
      <c r="AX110" s="1">
        <f>AX111*0.19</f>
        <v>150101.90004045438</v>
      </c>
      <c r="AY110" s="89"/>
      <c r="AZ110" s="1">
        <f>AZ111*0.19</f>
        <v>162786.90928381172</v>
      </c>
      <c r="BA110" s="89"/>
      <c r="BB110" s="1">
        <f>BB111*0.19</f>
        <v>187876.99901493912</v>
      </c>
      <c r="BC110" s="89"/>
      <c r="BD110" s="1">
        <f>BD111*0.19</f>
        <v>211312.93734606661</v>
      </c>
      <c r="BE110" s="89"/>
      <c r="BF110" s="1">
        <f>BF111*0.19</f>
        <v>220029.55678895875</v>
      </c>
      <c r="BG110" s="89"/>
      <c r="BH110" s="1">
        <f>BH111*0.19</f>
        <v>220906.04016812544</v>
      </c>
      <c r="BI110" s="89"/>
      <c r="BJ110" s="1">
        <f>BJ111*0.19</f>
        <v>221109.88174729209</v>
      </c>
      <c r="BK110" s="89"/>
      <c r="BL110" s="1">
        <f>BL111*0.19</f>
        <v>254066.70802645877</v>
      </c>
      <c r="BM110" s="89"/>
      <c r="BN110" s="1">
        <f>BN111*0.19</f>
        <v>243540.21347229209</v>
      </c>
      <c r="BO110" s="89"/>
      <c r="BP110" s="1">
        <f>BP111*0.19</f>
        <v>207031.0479181254</v>
      </c>
      <c r="BQ110" s="89"/>
      <c r="BR110" s="1">
        <f>BR111*0.19</f>
        <v>162699.78573644866</v>
      </c>
      <c r="BS110" s="89"/>
    </row>
    <row r="111" spans="1:71" outlineLevel="1" x14ac:dyDescent="0.25">
      <c r="C111" s="4" t="s">
        <v>734</v>
      </c>
      <c r="G111" s="4"/>
      <c r="Z111" s="4">
        <f>SUM(D$144:Z$144)</f>
        <v>287848.1416666666</v>
      </c>
      <c r="AB111" s="4">
        <f>SUM(F$144:AB$144)</f>
        <v>366457.93999999994</v>
      </c>
      <c r="AC111" s="88">
        <f>AB111/AB112</f>
        <v>0.71998212117520843</v>
      </c>
      <c r="AD111" s="4">
        <f>SUM(H$144:AD$144)</f>
        <v>374479.5066666666</v>
      </c>
      <c r="AE111" s="88">
        <f>AD111/AD112</f>
        <v>0.62711268997223468</v>
      </c>
      <c r="AF111" s="4">
        <f>SUM(J$144:AF$144)</f>
        <v>370012.04333333328</v>
      </c>
      <c r="AG111" s="88">
        <f>AF111/AF112</f>
        <v>0.5818116553522833</v>
      </c>
      <c r="AH111" s="4">
        <f>SUM(L$144:AH$144)</f>
        <v>430410.90999999992</v>
      </c>
      <c r="AI111" s="88">
        <f>AH111/AH112</f>
        <v>0.56160948448779058</v>
      </c>
      <c r="AJ111" s="4">
        <f>SUM(N$144:AJ$144)</f>
        <v>546237.96</v>
      </c>
      <c r="AK111" s="88">
        <f>AJ111/AJ112</f>
        <v>0.56603430217571804</v>
      </c>
      <c r="AL111" s="4">
        <f>SUM(P$144:AL$144)</f>
        <v>556974.82999999996</v>
      </c>
      <c r="AM111" s="88">
        <f>AL111/AL112</f>
        <v>0.55124123213426346</v>
      </c>
      <c r="AN111" s="4">
        <f>SUM(R$144:AN$144)</f>
        <v>649955.79666666663</v>
      </c>
      <c r="AO111" s="88">
        <f>AN111/AN112</f>
        <v>0.5634864119375923</v>
      </c>
      <c r="AP111" s="4">
        <f>SUM(T$144:AP$144)</f>
        <v>747403.34666666668</v>
      </c>
      <c r="AQ111" s="88">
        <f>AP111/AP112</f>
        <v>0.57261613623871765</v>
      </c>
      <c r="AR111" s="4">
        <f>SUM(V$144:AR$144)</f>
        <v>692702.22166666656</v>
      </c>
      <c r="AS111" s="88">
        <f>AR111/AR112</f>
        <v>0.53995691479310515</v>
      </c>
      <c r="AT111" s="121">
        <f>SUM(X$144:AT$144)</f>
        <v>728130.06128514057</v>
      </c>
      <c r="AU111" s="88">
        <f>AT111/AT112</f>
        <v>0.5269111627274099</v>
      </c>
      <c r="AV111" s="4">
        <f>SUM(Z$144:AV$144)</f>
        <v>727132.9116867471</v>
      </c>
      <c r="AW111" s="88">
        <f>AV111/AV112</f>
        <v>0.50061503314128963</v>
      </c>
      <c r="AX111" s="4">
        <f>SUM(AB$144:AX$144)</f>
        <v>790010.00021291769</v>
      </c>
      <c r="AY111" s="88">
        <f>AX111/AX112</f>
        <v>0.50589115257245043</v>
      </c>
      <c r="AZ111" s="4">
        <f>SUM(AD$144:AZ$144)</f>
        <v>856773.20675690379</v>
      </c>
      <c r="BA111" s="88">
        <f>AZ111/AZ112</f>
        <v>0.49937982706149892</v>
      </c>
      <c r="BB111" s="4">
        <f>SUM(AF$144:BB$144)</f>
        <v>988826.31060494273</v>
      </c>
      <c r="BC111" s="88">
        <f>BB111/BB112</f>
        <v>0.50823829011740451</v>
      </c>
      <c r="BD111" s="4">
        <f>SUM(AH$144:BD$144)</f>
        <v>1112173.3544529821</v>
      </c>
      <c r="BE111" s="88">
        <f>BD111/BD112</f>
        <v>0.50955241441760557</v>
      </c>
      <c r="BF111" s="4">
        <f>SUM(AJ$144:BF$144)</f>
        <v>1158050.2988892565</v>
      </c>
      <c r="BG111" s="88">
        <f>BF111/BF112</f>
        <v>0.49961603543501448</v>
      </c>
      <c r="BH111" s="4">
        <f>SUM(AL$144:BH$144)</f>
        <v>1162663.3693059233</v>
      </c>
      <c r="BI111" s="88">
        <f>BH111/BH112</f>
        <v>0.48291573568570789</v>
      </c>
      <c r="BJ111" s="4">
        <f>SUM(AN$144:BJ$144)</f>
        <v>1163736.2197225899</v>
      </c>
      <c r="BK111" s="88">
        <f>BJ111/BJ112</f>
        <v>0.46396977819507274</v>
      </c>
      <c r="BL111" s="4">
        <f>SUM(AP$144:BL$144)</f>
        <v>1337193.2001392567</v>
      </c>
      <c r="BM111" s="88">
        <f>BL111/BL112</f>
        <v>0.47830994215995165</v>
      </c>
      <c r="BN111" s="4">
        <f>SUM(AR$144:BN$144)</f>
        <v>1281790.5972225899</v>
      </c>
      <c r="BO111" s="88">
        <f>BN111/BN112</f>
        <v>0.4520110522724568</v>
      </c>
      <c r="BP111" s="4">
        <f>SUM(AT$144:BP$144)</f>
        <v>1089637.0943059232</v>
      </c>
      <c r="BQ111" s="88">
        <f>BP111/BP112</f>
        <v>0.40268345534535549</v>
      </c>
      <c r="BR111" s="4">
        <f>SUM(AV$144:BR$144)</f>
        <v>856314.66177078243</v>
      </c>
      <c r="BS111" s="88">
        <f>BR111/BR112</f>
        <v>0.33687182164748852</v>
      </c>
    </row>
    <row r="112" spans="1:71" outlineLevel="1" x14ac:dyDescent="0.25">
      <c r="C112" s="4" t="s">
        <v>733</v>
      </c>
      <c r="Z112" s="4">
        <f>SUM(D$149:Z$149)</f>
        <v>383150</v>
      </c>
      <c r="AB112" s="4">
        <f>SUM(F$149:AB$149)</f>
        <v>508982</v>
      </c>
      <c r="AC112" s="89"/>
      <c r="AD112" s="4">
        <f>SUM(H$149:AD$149)</f>
        <v>597148.66666666663</v>
      </c>
      <c r="AE112" s="89"/>
      <c r="AF112" s="4">
        <f>SUM(J$149:AF$149)</f>
        <v>635965.33333333326</v>
      </c>
      <c r="AG112" s="89"/>
      <c r="AH112" s="4">
        <f>SUM(L$149:AH$149)</f>
        <v>766388.24999999988</v>
      </c>
      <c r="AI112" s="89"/>
      <c r="AJ112" s="4">
        <f>SUM(N$149:AJ$149)</f>
        <v>965026.24999999988</v>
      </c>
      <c r="AK112" s="89"/>
      <c r="AL112" s="4">
        <f>SUM(P$149:AL$149)</f>
        <v>1010401.2499999999</v>
      </c>
      <c r="AM112" s="89"/>
      <c r="AN112" s="4">
        <f>SUM(R$149:AN$149)</f>
        <v>1153454.25</v>
      </c>
      <c r="AO112" s="89"/>
      <c r="AP112" s="4">
        <f>SUM(T$149:AP$149)</f>
        <v>1305243.25</v>
      </c>
      <c r="AQ112" s="89"/>
      <c r="AR112" s="4">
        <f>SUM(V$149:AR$149)</f>
        <v>1282884.25</v>
      </c>
      <c r="AS112" s="89"/>
      <c r="AT112" s="121">
        <f>SUM(X$149:AT$149)</f>
        <v>1381883.9166666667</v>
      </c>
      <c r="AU112" s="89"/>
      <c r="AV112" s="4">
        <f>SUM(Z$149:AV$149)</f>
        <v>1452479.1777108435</v>
      </c>
      <c r="AW112" s="89"/>
      <c r="AX112" s="4">
        <f>SUM(AB$149:AX$149)</f>
        <v>1561620.5110441768</v>
      </c>
      <c r="AY112" s="89"/>
      <c r="AZ112" s="4">
        <f>SUM(AD$149:AZ$149)</f>
        <v>1715674.4432357531</v>
      </c>
      <c r="BA112" s="89"/>
      <c r="BB112" s="4">
        <f>SUM(AF$149:BB$149)</f>
        <v>1945595.8550004587</v>
      </c>
      <c r="BC112" s="89"/>
      <c r="BD112" s="4">
        <f>SUM(AH$149:BD$149)</f>
        <v>2182647.6000984982</v>
      </c>
      <c r="BE112" s="89"/>
      <c r="BF112" s="4">
        <f>SUM(AJ$149:BF$149)</f>
        <v>2317880.5657847729</v>
      </c>
      <c r="BG112" s="89"/>
      <c r="BH112" s="4">
        <f>SUM(AL$149:BH$149)</f>
        <v>2407590.5657847729</v>
      </c>
      <c r="BI112" s="89"/>
      <c r="BJ112" s="4">
        <f>SUM(AN$149:BJ$149)</f>
        <v>2508215.5657847729</v>
      </c>
      <c r="BK112" s="89"/>
      <c r="BL112" s="4">
        <f>SUM(AP$149:BL$149)</f>
        <v>2795662.5657847729</v>
      </c>
      <c r="BM112" s="89"/>
      <c r="BN112" s="4">
        <f>SUM(AR$149:BN$149)</f>
        <v>2835750.5657847729</v>
      </c>
      <c r="BO112" s="89"/>
      <c r="BP112" s="4">
        <f>SUM(AT$149:BP$149)</f>
        <v>2705939.5657847729</v>
      </c>
      <c r="BQ112" s="89"/>
      <c r="BR112" s="4">
        <f>SUM(AV$149:BR$149)</f>
        <v>2541959.8991181059</v>
      </c>
      <c r="BS112" s="89"/>
    </row>
    <row r="113" spans="1:72" s="84" customFormat="1" ht="4.9000000000000004" customHeight="1" outlineLevel="1" x14ac:dyDescent="0.25">
      <c r="N113" s="85"/>
      <c r="S113" s="86"/>
      <c r="U113" s="87"/>
      <c r="W113" s="87"/>
      <c r="Y113" s="87"/>
      <c r="AA113" s="87"/>
      <c r="AC113" s="90"/>
      <c r="AE113" s="90"/>
      <c r="AG113" s="90"/>
      <c r="AI113" s="90"/>
      <c r="AK113" s="90"/>
      <c r="AM113" s="90"/>
      <c r="AO113" s="90"/>
      <c r="AQ113" s="90"/>
      <c r="AS113" s="90"/>
      <c r="AT113" s="131"/>
      <c r="AU113" s="90"/>
      <c r="AW113" s="90"/>
      <c r="AY113" s="90"/>
      <c r="BA113" s="90"/>
      <c r="BC113" s="90"/>
      <c r="BE113" s="90"/>
      <c r="BG113" s="90"/>
      <c r="BI113" s="90"/>
      <c r="BK113" s="90"/>
      <c r="BM113" s="90"/>
      <c r="BO113" s="90"/>
      <c r="BQ113" s="90"/>
      <c r="BS113" s="90"/>
    </row>
    <row r="114" spans="1:72" outlineLevel="1" x14ac:dyDescent="0.25">
      <c r="C114" s="4" t="s">
        <v>164</v>
      </c>
      <c r="X114" s="4">
        <f>X116-X120</f>
        <v>29893.296750000001</v>
      </c>
      <c r="Z114" s="4">
        <f>Z116-Z120</f>
        <v>33235.869750000005</v>
      </c>
      <c r="AB114" s="4">
        <f>AB116-AB120</f>
        <v>96909.806400000016</v>
      </c>
      <c r="AC114" s="88">
        <f>AB114/AB117</f>
        <v>0.35650624797669156</v>
      </c>
      <c r="AD114" s="4">
        <f>AD116-AD120</f>
        <v>103407.2754</v>
      </c>
      <c r="AE114" s="88">
        <f>AD114/AD117</f>
        <v>0.28724349553146489</v>
      </c>
      <c r="AF114" s="4">
        <f>AF116-AF120</f>
        <v>99788.630100000009</v>
      </c>
      <c r="AG114" s="88">
        <f>AF114/AF117</f>
        <v>0.250212621631064</v>
      </c>
      <c r="AH114" s="4">
        <f>AH116-AH120</f>
        <v>148711.7121</v>
      </c>
      <c r="AI114" s="88">
        <f>AH114/AH117</f>
        <v>0.28099199575994366</v>
      </c>
      <c r="AJ114" s="4">
        <f>AJ116-AJ120</f>
        <v>242531.62259999997</v>
      </c>
      <c r="AK114" s="88">
        <f>AJ114/AJ117</f>
        <v>0.333204473425256</v>
      </c>
      <c r="AL114" s="4">
        <f>AL116-AL120</f>
        <v>251228.48729999998</v>
      </c>
      <c r="AM114" s="88">
        <f>AL114/AL117</f>
        <v>0.32489890873115301</v>
      </c>
      <c r="AN114" s="4">
        <f>AN116-AN120</f>
        <v>326543.07029999996</v>
      </c>
      <c r="AO114" s="88">
        <f>AN114/AN117</f>
        <v>0.35636969958395365</v>
      </c>
      <c r="AP114" s="4">
        <f>AP116-AP120</f>
        <v>405475.5858</v>
      </c>
      <c r="AQ114" s="88">
        <f>AP114/AP117</f>
        <v>0.37962564204951205</v>
      </c>
      <c r="AR114" s="4">
        <f>AR116-AR120</f>
        <v>477400.71029999998</v>
      </c>
      <c r="AS114" s="88">
        <f>AR114/AR117</f>
        <v>0.39198542110350626</v>
      </c>
      <c r="AT114" s="121">
        <f>AT116-AT120</f>
        <v>551800.33589096391</v>
      </c>
      <c r="AU114" s="88">
        <f>AT114/AT117</f>
        <v>0.39931019475354912</v>
      </c>
      <c r="AV114" s="4">
        <f>AV116-AV115</f>
        <v>67070.619325301217</v>
      </c>
      <c r="AW114" s="88">
        <f>AV114/AV117</f>
        <v>0.36432561568875205</v>
      </c>
      <c r="AX114" s="4">
        <f>AX116-AX115</f>
        <v>121343.63403149955</v>
      </c>
      <c r="AY114" s="88">
        <f>AX114/AX117</f>
        <v>0.37252073032626237</v>
      </c>
      <c r="AZ114" s="4">
        <f>AZ116-AZ115</f>
        <v>239095.76798212811</v>
      </c>
      <c r="BA114" s="88">
        <f>AZ114/AZ117</f>
        <v>0.39479338613216736</v>
      </c>
      <c r="BB114" s="4">
        <f>BB116-BB115</f>
        <v>352556.25109903986</v>
      </c>
      <c r="BC114" s="88">
        <f>BB114/BB117</f>
        <v>0.38167392383555532</v>
      </c>
      <c r="BD114" s="4">
        <f>BD116-BD115</f>
        <v>448848.7113159516</v>
      </c>
      <c r="BE114" s="88">
        <f>BD114/BD117</f>
        <v>0.37417185949645565</v>
      </c>
      <c r="BF114" s="4">
        <f>BF116-BF115</f>
        <v>534932.11830933392</v>
      </c>
      <c r="BG114" s="88">
        <f>BF114/BF117</f>
        <v>0.36508284004926334</v>
      </c>
      <c r="BH114" s="4">
        <f>BH116-BH115</f>
        <v>632488.61584683391</v>
      </c>
      <c r="BI114" s="88">
        <f>BH114/BH117</f>
        <v>0.36068361305582913</v>
      </c>
      <c r="BJ114" s="4">
        <f>BJ116-BJ115</f>
        <v>642054.48938433395</v>
      </c>
      <c r="BK114" s="88">
        <f>BJ114/BJ117</f>
        <v>0.33799761499348729</v>
      </c>
      <c r="BL114" s="4">
        <f>BL116-BL115</f>
        <v>857869.22652183392</v>
      </c>
      <c r="BM114" s="88">
        <f>BL114/BL117</f>
        <v>0.36817111822352838</v>
      </c>
      <c r="BN114" s="4">
        <f>BN116-BN115</f>
        <v>891925.63365933392</v>
      </c>
      <c r="BO114" s="88">
        <f>BN114/BN117</f>
        <v>0.35366368591793546</v>
      </c>
      <c r="BP114" s="4">
        <f>BP116-BP115</f>
        <v>808206.42079683382</v>
      </c>
      <c r="BQ114" s="88">
        <f>BP114/BP117</f>
        <v>0.31794617258802105</v>
      </c>
      <c r="BR114" s="4">
        <f>BR116-BR115</f>
        <v>693614.87603433384</v>
      </c>
      <c r="BS114" s="88">
        <f>BR114/BR117</f>
        <v>0.27286617553446574</v>
      </c>
    </row>
    <row r="115" spans="1:72" s="1" customFormat="1" outlineLevel="1" x14ac:dyDescent="0.25">
      <c r="A115" s="1">
        <f>A116*0.19</f>
        <v>0</v>
      </c>
      <c r="C115" s="4" t="s">
        <v>165</v>
      </c>
      <c r="D115" s="4"/>
      <c r="E115" s="4"/>
      <c r="F115" s="4"/>
      <c r="G115" s="4"/>
      <c r="H115" s="4"/>
      <c r="I115" s="4"/>
      <c r="J115" s="4"/>
      <c r="N115" s="23"/>
      <c r="S115" s="18"/>
      <c r="U115" s="18"/>
      <c r="W115" s="18"/>
      <c r="X115" s="1">
        <f>X116*0.19</f>
        <v>15922.072833333334</v>
      </c>
      <c r="Y115" s="18"/>
      <c r="Z115" s="1">
        <f>Z116*0.19</f>
        <v>16706.133166666667</v>
      </c>
      <c r="AA115" s="18"/>
      <c r="AB115" s="1">
        <f>AB116*0.19</f>
        <v>31641.994849999999</v>
      </c>
      <c r="AC115" s="89"/>
      <c r="AD115" s="1">
        <f>AD116*0.19</f>
        <v>33166.092516666664</v>
      </c>
      <c r="AE115" s="89"/>
      <c r="AF115" s="1">
        <f>AF116*0.19</f>
        <v>32317.274483333335</v>
      </c>
      <c r="AG115" s="89"/>
      <c r="AH115" s="1">
        <f>AH116*0.19</f>
        <v>43793.059149999994</v>
      </c>
      <c r="AI115" s="89"/>
      <c r="AJ115" s="1">
        <f>AJ116*0.19</f>
        <v>65800.198649999991</v>
      </c>
      <c r="AK115" s="89"/>
      <c r="AL115" s="1">
        <f>AL116*0.19</f>
        <v>67840.203949999996</v>
      </c>
      <c r="AM115" s="89"/>
      <c r="AN115" s="1">
        <f>AN116*0.19</f>
        <v>85506.587616666657</v>
      </c>
      <c r="AO115" s="89"/>
      <c r="AP115" s="1">
        <f>AP116*0.19</f>
        <v>104021.62211666667</v>
      </c>
      <c r="AQ115" s="89"/>
      <c r="AR115" s="1">
        <f>AR116*0.19</f>
        <v>120892.94761666666</v>
      </c>
      <c r="AS115" s="89"/>
      <c r="AT115" s="129">
        <f>AT116*0.19</f>
        <v>138344.71164417671</v>
      </c>
      <c r="AU115" s="89"/>
      <c r="AV115" s="1">
        <f>AV116*0.19</f>
        <v>15732.614409638556</v>
      </c>
      <c r="AW115" s="89"/>
      <c r="AX115" s="1">
        <f>AX116*0.19</f>
        <v>28463.32156294434</v>
      </c>
      <c r="AY115" s="89"/>
      <c r="AZ115" s="1">
        <f>AZ116*0.19</f>
        <v>56084.192489634988</v>
      </c>
      <c r="BA115" s="89"/>
      <c r="BB115" s="1">
        <f>BB116*0.19</f>
        <v>82698.37988742911</v>
      </c>
      <c r="BC115" s="89"/>
      <c r="BD115" s="1">
        <f>BD116*0.19</f>
        <v>105285.50018522322</v>
      </c>
      <c r="BE115" s="89"/>
      <c r="BF115" s="1">
        <f>BF116*0.19</f>
        <v>125477.90429478204</v>
      </c>
      <c r="BG115" s="89"/>
      <c r="BH115" s="1">
        <f>BH116*0.19</f>
        <v>148361.52717394871</v>
      </c>
      <c r="BI115" s="89"/>
      <c r="BJ115" s="1">
        <f>BJ116*0.19</f>
        <v>150605.37405311537</v>
      </c>
      <c r="BK115" s="89"/>
      <c r="BL115" s="1">
        <f>BL116*0.19</f>
        <v>201228.58399894868</v>
      </c>
      <c r="BM115" s="89"/>
      <c r="BN115" s="1">
        <f>BN116*0.19</f>
        <v>209217.12394478201</v>
      </c>
      <c r="BO115" s="89"/>
      <c r="BP115" s="1">
        <f>BP116*0.19</f>
        <v>189579.28389061533</v>
      </c>
      <c r="BQ115" s="89"/>
      <c r="BR115" s="1">
        <f>BR116*0.19</f>
        <v>162699.78573644866</v>
      </c>
      <c r="BS115" s="89"/>
    </row>
    <row r="116" spans="1:72" outlineLevel="1" x14ac:dyDescent="0.25">
      <c r="C116" s="4" t="s">
        <v>166</v>
      </c>
      <c r="G116" s="4"/>
      <c r="X116" s="4">
        <f>SUM($X$144:X144)</f>
        <v>83800.383333333331</v>
      </c>
      <c r="Z116" s="4">
        <f>SUM($X$144:Z144)</f>
        <v>87927.016666666663</v>
      </c>
      <c r="AB116" s="4">
        <f>SUM($X$144:AB144)</f>
        <v>166536.815</v>
      </c>
      <c r="AC116" s="88">
        <f>AB116/AB117</f>
        <v>0.61264610126843055</v>
      </c>
      <c r="AD116" s="4">
        <f>SUM($X$144:AD144)</f>
        <v>174558.38166666665</v>
      </c>
      <c r="AE116" s="88">
        <f>AD116/AD117</f>
        <v>0.48488618939329398</v>
      </c>
      <c r="AF116" s="4">
        <f>SUM($X$144:AF144)</f>
        <v>170090.91833333333</v>
      </c>
      <c r="AG116" s="88">
        <f>AF116/AF117</f>
        <v>0.42649041828883205</v>
      </c>
      <c r="AH116" s="4">
        <f>SUM($X$144:AH144)</f>
        <v>230489.78499999997</v>
      </c>
      <c r="AI116" s="88">
        <f>AH116/AH117</f>
        <v>0.43551233305604797</v>
      </c>
      <c r="AJ116" s="4">
        <f>SUM($X$144:AJ144)</f>
        <v>346316.83499999996</v>
      </c>
      <c r="AK116" s="88">
        <f>AJ116/AJ117</f>
        <v>0.47579081608996032</v>
      </c>
      <c r="AL116" s="4">
        <f>SUM($X$144:AL144)</f>
        <v>357053.70499999996</v>
      </c>
      <c r="AM116" s="88">
        <f>AL116/AL117</f>
        <v>0.46175638901327343</v>
      </c>
      <c r="AN116" s="4">
        <f>SUM($X$144:AN144)</f>
        <v>450034.67166666663</v>
      </c>
      <c r="AO116" s="88">
        <f>AN116/AN117</f>
        <v>0.49114109387429628</v>
      </c>
      <c r="AP116" s="4">
        <f>SUM($X$144:AP144)</f>
        <v>547482.22166666668</v>
      </c>
      <c r="AQ116" s="88">
        <f>AP116/AP117</f>
        <v>0.51257904838052926</v>
      </c>
      <c r="AR116" s="4">
        <f>SUM($X$144:AR144)</f>
        <v>636278.67166666663</v>
      </c>
      <c r="AS116" s="88">
        <f>AR116/AR117</f>
        <v>0.52243735225217136</v>
      </c>
      <c r="AT116" s="121">
        <f>SUM($X$144:AT144)</f>
        <v>728130.06128514057</v>
      </c>
      <c r="AU116" s="88">
        <f>AT116/AT117</f>
        <v>0.5269111627274099</v>
      </c>
      <c r="AV116" s="4">
        <f>SUM($AV$144:AV144)</f>
        <v>82803.233734939771</v>
      </c>
      <c r="AW116" s="88">
        <f>AV116/AV117</f>
        <v>0.44978471072685433</v>
      </c>
      <c r="AX116" s="4">
        <f>SUM($AV$144:AX144)</f>
        <v>149806.95559444389</v>
      </c>
      <c r="AY116" s="88">
        <f>AX116/AX117</f>
        <v>0.45990213620526221</v>
      </c>
      <c r="AZ116" s="4">
        <f>SUM($AV$144:AZ144)</f>
        <v>295179.9604717631</v>
      </c>
      <c r="BA116" s="88">
        <f>AZ116/AZ117</f>
        <v>0.48739924213847824</v>
      </c>
      <c r="BB116" s="4">
        <f>SUM($AV$144:BB144)</f>
        <v>435254.63098646898</v>
      </c>
      <c r="BC116" s="88">
        <f>BB116/BB117</f>
        <v>0.47120237510562385</v>
      </c>
      <c r="BD116" s="4">
        <f>SUM($AV$144:BD144)</f>
        <v>554134.21150117484</v>
      </c>
      <c r="BE116" s="88">
        <f>BD116/BD117</f>
        <v>0.46194056727957489</v>
      </c>
      <c r="BF116" s="4">
        <f>SUM($AV$144:BF144)</f>
        <v>660410.02260411601</v>
      </c>
      <c r="BG116" s="88">
        <f>BF116/BF117</f>
        <v>0.4507195556163745</v>
      </c>
      <c r="BH116" s="4">
        <f>SUM($AV$144:BH144)</f>
        <v>780850.14302078262</v>
      </c>
      <c r="BI116" s="88">
        <f>BH116/BH117</f>
        <v>0.44528841118003593</v>
      </c>
      <c r="BJ116" s="4">
        <f>SUM($AV$144:BJ144)</f>
        <v>792659.86343744933</v>
      </c>
      <c r="BK116" s="88">
        <f>BJ116/BJ117</f>
        <v>0.41728100616479913</v>
      </c>
      <c r="BL116" s="4">
        <f>SUM($AV$144:BL144)</f>
        <v>1059097.8105207826</v>
      </c>
      <c r="BM116" s="88">
        <f>BL116/BL117</f>
        <v>0.45453224472040543</v>
      </c>
      <c r="BN116" s="4">
        <f>SUM($AV$144:BN144)</f>
        <v>1101142.7576041159</v>
      </c>
      <c r="BO116" s="88">
        <f>BN116/BN117</f>
        <v>0.43662183446658692</v>
      </c>
      <c r="BP116" s="4">
        <f>SUM($AV$144:BP144)</f>
        <v>997785.70468744915</v>
      </c>
      <c r="BQ116" s="88">
        <f>BP116/BP117</f>
        <v>0.39252613899755684</v>
      </c>
      <c r="BR116" s="4">
        <f>SUM($AV$144:BR144)</f>
        <v>856314.66177078243</v>
      </c>
      <c r="BS116" s="88">
        <f>BR116/BR117</f>
        <v>0.33687182164748852</v>
      </c>
    </row>
    <row r="117" spans="1:72" outlineLevel="1" x14ac:dyDescent="0.25">
      <c r="C117" s="4" t="s">
        <v>167</v>
      </c>
      <c r="G117" s="4"/>
      <c r="X117" s="4">
        <f>SUM($X$149:X149)</f>
        <v>113500</v>
      </c>
      <c r="Z117" s="4">
        <f>SUM($X$149:Z149)</f>
        <v>146000</v>
      </c>
      <c r="AB117" s="4">
        <f>SUM($X$149:AB149)</f>
        <v>271832</v>
      </c>
      <c r="AC117" s="88"/>
      <c r="AD117" s="4">
        <f>SUM($X$149:AD149)</f>
        <v>359998.66666666669</v>
      </c>
      <c r="AE117" s="88"/>
      <c r="AF117" s="4">
        <f>SUM($X$149:AF149)</f>
        <v>398815.33333333337</v>
      </c>
      <c r="AG117" s="88"/>
      <c r="AH117" s="4">
        <f>SUM($X$149:AH149)</f>
        <v>529238.25</v>
      </c>
      <c r="AI117" s="88"/>
      <c r="AJ117" s="4">
        <f>SUM($X$149:AJ149)</f>
        <v>727876.25</v>
      </c>
      <c r="AK117" s="88"/>
      <c r="AL117" s="4">
        <f>SUM($X$149:AL149)</f>
        <v>773251.25</v>
      </c>
      <c r="AM117" s="88"/>
      <c r="AN117" s="4">
        <f>SUM($X$149:AN149)</f>
        <v>916304.25</v>
      </c>
      <c r="AO117" s="88"/>
      <c r="AP117" s="4">
        <f>SUM($X$149:AP149)</f>
        <v>1068093.25</v>
      </c>
      <c r="AQ117" s="88"/>
      <c r="AR117" s="4">
        <f>SUM($X$149:AR149)</f>
        <v>1217904.25</v>
      </c>
      <c r="AS117" s="88"/>
      <c r="AT117" s="121">
        <f>SUM($X$149:AT149)</f>
        <v>1381883.9166666667</v>
      </c>
      <c r="AU117" s="88"/>
      <c r="AV117" s="4">
        <f>SUM($AV149:AV$149)</f>
        <v>184095.26104417673</v>
      </c>
      <c r="AW117" s="88"/>
      <c r="AX117" s="4">
        <f>SUM($AV149:AX$149)</f>
        <v>325736.59437751007</v>
      </c>
      <c r="AY117" s="88"/>
      <c r="AZ117" s="4">
        <f>SUM($AV149:AZ$149)</f>
        <v>605622.52656908636</v>
      </c>
      <c r="BA117" s="88"/>
      <c r="BB117" s="4">
        <f>SUM($AV149:BB$149)</f>
        <v>923710.60500045889</v>
      </c>
      <c r="BC117" s="88"/>
      <c r="BD117" s="4">
        <f>SUM($AV149:BD$149)</f>
        <v>1199579.0167651647</v>
      </c>
      <c r="BE117" s="88"/>
      <c r="BF117" s="4">
        <f>SUM($AV149:BF$149)</f>
        <v>1465234.8991181059</v>
      </c>
      <c r="BG117" s="88"/>
      <c r="BH117" s="4">
        <f>SUM($AV149:BH$149)</f>
        <v>1753582.8991181059</v>
      </c>
      <c r="BI117" s="88"/>
      <c r="BJ117" s="4">
        <f>SUM($AV149:BJ$149)</f>
        <v>1899582.8991181059</v>
      </c>
      <c r="BK117" s="88"/>
      <c r="BL117" s="4">
        <f>SUM($AV149:BL$149)</f>
        <v>2330082.8991181059</v>
      </c>
      <c r="BM117" s="88"/>
      <c r="BN117" s="4">
        <f>SUM($AV149:BN$149)</f>
        <v>2521959.8991181059</v>
      </c>
      <c r="BO117" s="88"/>
      <c r="BP117" s="4">
        <f>SUM($AV149:BP$149)</f>
        <v>2541959.8991181059</v>
      </c>
      <c r="BQ117" s="88"/>
      <c r="BR117" s="4">
        <f>SUM($AV149:BR$149)</f>
        <v>2541959.8991181059</v>
      </c>
      <c r="BS117" s="88"/>
    </row>
    <row r="118" spans="1:72" s="84" customFormat="1" ht="4.9000000000000004" customHeight="1" outlineLevel="1" x14ac:dyDescent="0.25">
      <c r="N118" s="85"/>
      <c r="S118" s="86"/>
      <c r="U118" s="87"/>
      <c r="W118" s="87"/>
      <c r="Y118" s="87"/>
      <c r="AA118" s="87"/>
      <c r="AC118" s="90"/>
      <c r="AE118" s="90"/>
      <c r="AG118" s="90"/>
      <c r="AI118" s="90"/>
      <c r="AK118" s="90"/>
      <c r="AM118" s="90"/>
      <c r="AO118" s="90"/>
      <c r="AQ118" s="90"/>
      <c r="AS118" s="90"/>
      <c r="AT118" s="131"/>
      <c r="AU118" s="90"/>
      <c r="AW118" s="90"/>
      <c r="AY118" s="90"/>
      <c r="BA118" s="90"/>
      <c r="BC118" s="90"/>
      <c r="BE118" s="90"/>
      <c r="BG118" s="90"/>
      <c r="BI118" s="90"/>
      <c r="BK118" s="90"/>
      <c r="BM118" s="90"/>
      <c r="BO118" s="90"/>
      <c r="BQ118" s="90"/>
      <c r="BS118" s="90"/>
    </row>
    <row r="119" spans="1:72" outlineLevel="1" x14ac:dyDescent="0.25">
      <c r="C119" s="4" t="s">
        <v>168</v>
      </c>
      <c r="T119" s="4">
        <f>T121-T120</f>
        <v>116233.03575000001</v>
      </c>
      <c r="V119" s="4">
        <f>V121-V120</f>
        <v>161936.11125000002</v>
      </c>
      <c r="X119" s="4">
        <f>X121-X120</f>
        <v>229814.42174999998</v>
      </c>
      <c r="Z119" s="4">
        <f>Z121-Z120</f>
        <v>233156.99474999995</v>
      </c>
      <c r="AB119" s="4">
        <f>AB121-AB120</f>
        <v>296830.93139999994</v>
      </c>
      <c r="AC119" s="88">
        <f>AB119/AB122</f>
        <v>0.58318551815191877</v>
      </c>
      <c r="AD119" s="4">
        <f>AD121-AD120</f>
        <v>303328.40039999993</v>
      </c>
      <c r="AE119" s="88">
        <f>AD119/AD122</f>
        <v>0.50796127887751008</v>
      </c>
      <c r="AF119" s="4">
        <f>AF121-AF120</f>
        <v>299709.75509999995</v>
      </c>
      <c r="AG119" s="88">
        <f>AF119/AF122</f>
        <v>0.47126744083534949</v>
      </c>
      <c r="AH119" s="4">
        <f>AH121-AH120</f>
        <v>348632.83709999995</v>
      </c>
      <c r="AI119" s="88">
        <f>AH119/AH122</f>
        <v>0.45490368243511042</v>
      </c>
      <c r="AJ119" s="4">
        <f>AJ121-AJ120</f>
        <v>442452.7476</v>
      </c>
      <c r="AK119" s="88">
        <f>AJ119/AJ122</f>
        <v>0.45848778476233165</v>
      </c>
      <c r="AL119" s="4">
        <f>AL121-AL120</f>
        <v>451149.61229999998</v>
      </c>
      <c r="AM119" s="88">
        <f>AL119/AL122</f>
        <v>0.44650539802875344</v>
      </c>
      <c r="AN119" s="4">
        <f>AN121-AN120</f>
        <v>526464.19530000002</v>
      </c>
      <c r="AO119" s="88">
        <f>AN119/AN122</f>
        <v>0.45642399366944986</v>
      </c>
      <c r="AP119" s="4">
        <f>AP121-AP120</f>
        <v>605396.7108</v>
      </c>
      <c r="AQ119" s="88">
        <f>AP119/AP122</f>
        <v>0.46381907035336134</v>
      </c>
      <c r="AR119" s="4">
        <f>AR121-AR120</f>
        <v>677321.83529999992</v>
      </c>
      <c r="AS119" s="88">
        <f>AR119/AR122</f>
        <v>0.46549593274615014</v>
      </c>
      <c r="AT119" s="121">
        <f>AT121-AT120</f>
        <v>751721.46089096391</v>
      </c>
      <c r="AU119" s="88">
        <f>AT119/AT122</f>
        <v>0.46430247887495701</v>
      </c>
      <c r="AV119" s="4">
        <f>AV121-AV120</f>
        <v>818792.08021626517</v>
      </c>
      <c r="AW119" s="88">
        <f>AV119/AV122</f>
        <v>0.4540950755706587</v>
      </c>
      <c r="AX119" s="4">
        <f>AX121-AX120</f>
        <v>873065.09492246353</v>
      </c>
      <c r="AY119" s="88">
        <f>AX119/AX122</f>
        <v>0.44892962432554656</v>
      </c>
      <c r="AZ119" s="4">
        <f>AZ121-AZ120</f>
        <v>990817.22887309198</v>
      </c>
      <c r="BA119" s="88">
        <f>AZ119/AZ122</f>
        <v>0.44537988411008428</v>
      </c>
      <c r="BB119" s="4">
        <f>BB121-BB120</f>
        <v>1104277.7119900037</v>
      </c>
      <c r="BC119" s="88">
        <f>BB119/BB122</f>
        <v>0.4342857501334797</v>
      </c>
      <c r="BD119" s="4">
        <f>BD121-BD120</f>
        <v>1200570.1722069154</v>
      </c>
      <c r="BE119" s="88">
        <f>BD119/BD122</f>
        <v>0.42594361147174215</v>
      </c>
      <c r="BF119" s="4">
        <f>BF121-BF120</f>
        <v>1286653.5792002981</v>
      </c>
      <c r="BG119" s="88">
        <f>BF119/BF122</f>
        <v>0.41716648452152416</v>
      </c>
      <c r="BH119" s="4">
        <f>BH121-BH120</f>
        <v>1384210.0767377978</v>
      </c>
      <c r="BI119" s="88">
        <f>BH119/BH122</f>
        <v>0.41042613268703237</v>
      </c>
      <c r="BJ119" s="4">
        <f>BJ121-BJ120</f>
        <v>1393775.950275298</v>
      </c>
      <c r="BK119" s="88">
        <f>BJ119/BJ122</f>
        <v>0.39611473009016412</v>
      </c>
      <c r="BL119" s="4">
        <f>BL121-BL120</f>
        <v>1609590.6874127979</v>
      </c>
      <c r="BM119" s="88">
        <f>BL119/BL122</f>
        <v>0.40758244501130014</v>
      </c>
      <c r="BN119" s="4">
        <f>BN121-BN120</f>
        <v>1643647.0945502978</v>
      </c>
      <c r="BO119" s="88">
        <f>BN119/BN122</f>
        <v>0.39692092470290374</v>
      </c>
      <c r="BP119" s="4">
        <f>BP121-BP120</f>
        <v>1559927.8816877978</v>
      </c>
      <c r="BQ119" s="88">
        <f>BP119/BP122</f>
        <v>0.37489310264538134</v>
      </c>
      <c r="BR119" s="4">
        <f>BR121-BR120</f>
        <v>1445336.3369252977</v>
      </c>
      <c r="BS119" s="88">
        <f>BR119/BR122</f>
        <v>0.34735363735519131</v>
      </c>
    </row>
    <row r="120" spans="1:72" s="1" customFormat="1" outlineLevel="1" x14ac:dyDescent="0.25">
      <c r="A120" s="1">
        <f>A121*0.19</f>
        <v>0</v>
      </c>
      <c r="C120" s="4" t="s">
        <v>165</v>
      </c>
      <c r="D120" s="4"/>
      <c r="E120" s="4"/>
      <c r="F120" s="4"/>
      <c r="G120" s="4"/>
      <c r="H120" s="4"/>
      <c r="I120" s="4"/>
      <c r="J120" s="4"/>
      <c r="N120" s="23"/>
      <c r="S120" s="18"/>
      <c r="T120" s="1">
        <f>T121*0.19</f>
        <v>27264.539250000002</v>
      </c>
      <c r="U120" s="18"/>
      <c r="V120" s="1">
        <f>V121*0.19</f>
        <v>37985.013749999998</v>
      </c>
      <c r="W120" s="18"/>
      <c r="X120" s="1">
        <f>X121*0.19</f>
        <v>53907.08658333333</v>
      </c>
      <c r="Y120" s="18"/>
      <c r="Z120" s="1">
        <f>Z121*0.19</f>
        <v>54691.146916666657</v>
      </c>
      <c r="AA120" s="18"/>
      <c r="AB120" s="1">
        <f>AB121*0.19</f>
        <v>69627.008599999986</v>
      </c>
      <c r="AC120" s="89"/>
      <c r="AD120" s="1">
        <f>AD121*0.19</f>
        <v>71151.106266666655</v>
      </c>
      <c r="AE120" s="89"/>
      <c r="AF120" s="1">
        <f>AF121*0.19</f>
        <v>70302.288233333325</v>
      </c>
      <c r="AG120" s="89"/>
      <c r="AH120" s="1">
        <f>AH121*0.19</f>
        <v>81778.072899999985</v>
      </c>
      <c r="AI120" s="89"/>
      <c r="AJ120" s="1">
        <f>AJ121*0.19</f>
        <v>103785.21239999999</v>
      </c>
      <c r="AK120" s="89"/>
      <c r="AL120" s="1">
        <f>AL121*0.19</f>
        <v>105825.21769999999</v>
      </c>
      <c r="AM120" s="89"/>
      <c r="AN120" s="1">
        <f>AN121*0.19</f>
        <v>123491.60136666665</v>
      </c>
      <c r="AO120" s="89"/>
      <c r="AP120" s="1">
        <f>AP121*0.19</f>
        <v>142006.63586666668</v>
      </c>
      <c r="AQ120" s="89"/>
      <c r="AR120" s="1">
        <f>AR121*0.19</f>
        <v>158877.96136666666</v>
      </c>
      <c r="AS120" s="89"/>
      <c r="AT120" s="129">
        <f>AT121*0.19</f>
        <v>176329.7253941767</v>
      </c>
      <c r="AU120" s="89"/>
      <c r="AV120" s="1">
        <f>AV121*0.19</f>
        <v>192062.33980381527</v>
      </c>
      <c r="AW120" s="89"/>
      <c r="AX120" s="1">
        <f>AX121*0.19</f>
        <v>204793.04695712109</v>
      </c>
      <c r="AY120" s="89"/>
      <c r="AZ120" s="1">
        <f>AZ121*0.19</f>
        <v>232413.91788381172</v>
      </c>
      <c r="BA120" s="89"/>
      <c r="BB120" s="1">
        <f>BB121*0.19</f>
        <v>259028.10528160582</v>
      </c>
      <c r="BC120" s="89"/>
      <c r="BD120" s="1">
        <f>BD121*0.19</f>
        <v>281615.22557939996</v>
      </c>
      <c r="BE120" s="89"/>
      <c r="BF120" s="1">
        <f>BF121*0.19</f>
        <v>301807.62968895875</v>
      </c>
      <c r="BG120" s="89"/>
      <c r="BH120" s="1">
        <f>BH121*0.19</f>
        <v>324691.25256812543</v>
      </c>
      <c r="BI120" s="89"/>
      <c r="BJ120" s="1">
        <f>BJ121*0.19</f>
        <v>326935.0994472921</v>
      </c>
      <c r="BK120" s="89"/>
      <c r="BL120" s="1">
        <f>BL121*0.19</f>
        <v>377558.30939312541</v>
      </c>
      <c r="BM120" s="89"/>
      <c r="BN120" s="1">
        <f>BN121*0.19</f>
        <v>385546.84933895874</v>
      </c>
      <c r="BO120" s="89"/>
      <c r="BP120" s="1">
        <f>BP121*0.19</f>
        <v>365909.00928479206</v>
      </c>
      <c r="BQ120" s="89"/>
      <c r="BR120" s="1">
        <f>BR121*0.19</f>
        <v>339029.51113062538</v>
      </c>
      <c r="BS120" s="89"/>
    </row>
    <row r="121" spans="1:72" outlineLevel="1" x14ac:dyDescent="0.25">
      <c r="C121" s="4" t="s">
        <v>169</v>
      </c>
      <c r="T121" s="4">
        <f>SUM($T$144:T144)</f>
        <v>143497.57500000001</v>
      </c>
      <c r="V121" s="4">
        <f>SUM($T$144:V144)</f>
        <v>199921.125</v>
      </c>
      <c r="X121" s="4">
        <f>SUM($T$144:X144)</f>
        <v>283721.5083333333</v>
      </c>
      <c r="Z121" s="4">
        <f>SUM($T$144:Z144)</f>
        <v>287848.1416666666</v>
      </c>
      <c r="AB121" s="4">
        <f>SUM($T$144:AB144)</f>
        <v>366457.93999999994</v>
      </c>
      <c r="AC121" s="88">
        <f>AB121/AB122</f>
        <v>0.71998212117520843</v>
      </c>
      <c r="AD121" s="4">
        <f>SUM($T$144:AD144)</f>
        <v>374479.5066666666</v>
      </c>
      <c r="AE121" s="88">
        <f>AD121/AD122</f>
        <v>0.62711268997223468</v>
      </c>
      <c r="AF121" s="4">
        <f>SUM($T$144:AF144)</f>
        <v>370012.04333333328</v>
      </c>
      <c r="AG121" s="88">
        <f>AF121/AF122</f>
        <v>0.5818116553522833</v>
      </c>
      <c r="AH121" s="4">
        <f>SUM($T$144:AH144)</f>
        <v>430410.90999999992</v>
      </c>
      <c r="AI121" s="88">
        <f>AH121/AH122</f>
        <v>0.56160948448779058</v>
      </c>
      <c r="AJ121" s="4">
        <f>SUM($T$144:AJ144)</f>
        <v>546237.96</v>
      </c>
      <c r="AK121" s="88">
        <f>AJ121/AJ122</f>
        <v>0.56603430217571804</v>
      </c>
      <c r="AL121" s="4">
        <f>SUM($T$144:AL144)</f>
        <v>556974.82999999996</v>
      </c>
      <c r="AM121" s="88">
        <f>AL121/AL122</f>
        <v>0.55124123213426346</v>
      </c>
      <c r="AN121" s="4">
        <f>SUM($T$144:AN144)</f>
        <v>649955.79666666663</v>
      </c>
      <c r="AO121" s="88">
        <f>AN121/AN122</f>
        <v>0.5634864119375923</v>
      </c>
      <c r="AP121" s="4">
        <f>SUM($T$144:AP144)</f>
        <v>747403.34666666668</v>
      </c>
      <c r="AQ121" s="88">
        <f>AP121/AP122</f>
        <v>0.57261613623871765</v>
      </c>
      <c r="AR121" s="4">
        <f>SUM($T$144:AR144)</f>
        <v>836199.79666666663</v>
      </c>
      <c r="AS121" s="88">
        <f>AR121/AR122</f>
        <v>0.57468633672364222</v>
      </c>
      <c r="AT121" s="121">
        <f>SUM($T$144:AT144)</f>
        <v>928051.18628514057</v>
      </c>
      <c r="AU121" s="88">
        <f>AT121/AT122</f>
        <v>0.57321293688266295</v>
      </c>
      <c r="AV121" s="4">
        <f>SUM($T$144:AV144)</f>
        <v>1010854.4200200804</v>
      </c>
      <c r="AW121" s="88">
        <f>AV121/AV122</f>
        <v>0.56061120440822054</v>
      </c>
      <c r="AX121" s="4">
        <f>SUM($T$144:AX144)</f>
        <v>1077858.1418795846</v>
      </c>
      <c r="AY121" s="88">
        <f>AX121/AX122</f>
        <v>0.55423410410561313</v>
      </c>
      <c r="AZ121" s="4">
        <f>SUM($T$144:AZ144)</f>
        <v>1223231.1467569037</v>
      </c>
      <c r="BA121" s="88">
        <f>AZ121/AZ122</f>
        <v>0.54985170877788181</v>
      </c>
      <c r="BB121" s="4">
        <f>SUM($T$144:BB144)</f>
        <v>1363305.8172716096</v>
      </c>
      <c r="BC121" s="88">
        <f>BB121/BB122</f>
        <v>0.53615524707837003</v>
      </c>
      <c r="BD121" s="4">
        <f>SUM($T$144:BD144)</f>
        <v>1482185.3977863155</v>
      </c>
      <c r="BE121" s="88">
        <f>BD121/BD122</f>
        <v>0.52585631045894099</v>
      </c>
      <c r="BF121" s="4">
        <f>SUM($T$144:BF144)</f>
        <v>1588461.2088892567</v>
      </c>
      <c r="BG121" s="88">
        <f>BF121/BF122</f>
        <v>0.51502035126114087</v>
      </c>
      <c r="BH121" s="4">
        <f>SUM($T$144:BH144)</f>
        <v>1708901.3293059233</v>
      </c>
      <c r="BI121" s="88">
        <f>BH121/BH122</f>
        <v>0.50669892924324988</v>
      </c>
      <c r="BJ121" s="4">
        <f>SUM($T$144:BJ144)</f>
        <v>1720711.04972259</v>
      </c>
      <c r="BK121" s="88">
        <f>BJ121/BJ122</f>
        <v>0.48903053097551125</v>
      </c>
      <c r="BL121" s="4">
        <f>SUM($T$144:BL144)</f>
        <v>1987148.9968059233</v>
      </c>
      <c r="BM121" s="88">
        <f>BL121/BL122</f>
        <v>0.50318820371765449</v>
      </c>
      <c r="BN121" s="4">
        <f>SUM($T$144:BN144)</f>
        <v>2029193.9438892566</v>
      </c>
      <c r="BO121" s="88">
        <f>BN121/BN122</f>
        <v>0.49002583296654784</v>
      </c>
      <c r="BP121" s="4">
        <f>SUM($T$144:BP144)</f>
        <v>1925836.8909725898</v>
      </c>
      <c r="BQ121" s="88">
        <f>BP121/BP122</f>
        <v>0.46283099092022384</v>
      </c>
      <c r="BR121" s="4">
        <f>SUM($T$144:BR144)</f>
        <v>1784365.8480559231</v>
      </c>
      <c r="BS121" s="88">
        <f>BR121/BR122</f>
        <v>0.42883165105579174</v>
      </c>
    </row>
    <row r="122" spans="1:72" outlineLevel="1" x14ac:dyDescent="0.25">
      <c r="C122" s="4" t="s">
        <v>170</v>
      </c>
      <c r="G122" s="4"/>
      <c r="T122" s="4">
        <f>SUM($T$149:T149)</f>
        <v>172170</v>
      </c>
      <c r="V122" s="4">
        <f>SUM($T$149:V149)</f>
        <v>237150</v>
      </c>
      <c r="X122" s="4">
        <f>SUM($T$149:X149)</f>
        <v>350650</v>
      </c>
      <c r="Z122" s="4">
        <f>SUM($T$149:Z149)</f>
        <v>383150</v>
      </c>
      <c r="AB122" s="4">
        <f>SUM($T$149:AB149)</f>
        <v>508982</v>
      </c>
      <c r="AD122" s="4">
        <f>SUM($T$149:AD149)</f>
        <v>597148.66666666663</v>
      </c>
      <c r="AF122" s="4">
        <f>SUM($T$149:AF149)</f>
        <v>635965.33333333326</v>
      </c>
      <c r="AH122" s="4">
        <f>SUM($T$149:AH149)</f>
        <v>766388.24999999988</v>
      </c>
      <c r="AJ122" s="4">
        <f>SUM($T$149:AJ149)</f>
        <v>965026.24999999988</v>
      </c>
      <c r="AL122" s="4">
        <f>SUM($T$149:AL149)</f>
        <v>1010401.2499999999</v>
      </c>
      <c r="AN122" s="4">
        <f>SUM($T$149:AN149)</f>
        <v>1153454.25</v>
      </c>
      <c r="AP122" s="4">
        <f>SUM($T$149:AP149)</f>
        <v>1305243.25</v>
      </c>
      <c r="AR122" s="4">
        <f>SUM($T$149:AR149)</f>
        <v>1455054.25</v>
      </c>
      <c r="AT122" s="121">
        <f>SUM($T$149:AT149)</f>
        <v>1619033.9166666667</v>
      </c>
      <c r="AV122" s="4">
        <f>SUM($T$149:AV149)</f>
        <v>1803129.1777108435</v>
      </c>
      <c r="AX122" s="4">
        <f>SUM($T$149:AX149)</f>
        <v>1944770.5110441768</v>
      </c>
      <c r="AZ122" s="4">
        <f>SUM($T$149:AZ149)</f>
        <v>2224656.4432357531</v>
      </c>
      <c r="BB122" s="4">
        <f>SUM($T$149:BB149)</f>
        <v>2542744.5216671256</v>
      </c>
      <c r="BC122" s="18"/>
      <c r="BD122" s="4">
        <f>SUM($T$149:BD149)</f>
        <v>2818612.9334318317</v>
      </c>
      <c r="BF122" s="4">
        <f>SUM($T$149:BF149)</f>
        <v>3084268.8157847729</v>
      </c>
      <c r="BH122" s="4">
        <f>SUM($T$149:BH149)</f>
        <v>3372616.8157847729</v>
      </c>
      <c r="BJ122" s="4">
        <f>SUM($T$149:BJ149)</f>
        <v>3518616.8157847729</v>
      </c>
      <c r="BL122" s="4">
        <f>SUM($T$149:BL149)</f>
        <v>3949116.8157847729</v>
      </c>
      <c r="BN122" s="4">
        <f>SUM($T$149:BN149)</f>
        <v>4140993.8157847729</v>
      </c>
      <c r="BP122" s="4">
        <f>SUM($T$149:BP149)</f>
        <v>4160993.8157847729</v>
      </c>
      <c r="BR122" s="4">
        <f>SUM($T$149:BR149)</f>
        <v>4160993.8157847729</v>
      </c>
    </row>
    <row r="123" spans="1:72" s="82" customFormat="1" outlineLevel="1" x14ac:dyDescent="0.25">
      <c r="D123" s="17" t="s">
        <v>171</v>
      </c>
      <c r="G123" s="17"/>
      <c r="S123" s="16"/>
      <c r="T123" s="83" t="e">
        <f>T159/T164</f>
        <v>#DIV/0!</v>
      </c>
      <c r="U123" s="18"/>
      <c r="V123" s="83" t="e">
        <f>V159/V164</f>
        <v>#DIV/0!</v>
      </c>
      <c r="W123" s="18"/>
      <c r="X123" s="83" t="e">
        <f>X159/X164</f>
        <v>#DIV/0!</v>
      </c>
      <c r="Y123" s="18"/>
      <c r="Z123" s="83" t="e">
        <f>Z159/Z164</f>
        <v>#DIV/0!</v>
      </c>
      <c r="AA123" s="18"/>
      <c r="AB123" s="83" t="e">
        <f>AB159/AB164</f>
        <v>#DIV/0!</v>
      </c>
      <c r="AC123" s="18"/>
      <c r="AD123" s="83" t="e">
        <f>AD159/AD164</f>
        <v>#DIV/0!</v>
      </c>
      <c r="AE123" s="18"/>
      <c r="AF123" s="83" t="e">
        <f>AF159/AF164</f>
        <v>#DIV/0!</v>
      </c>
      <c r="AG123" s="18"/>
      <c r="AH123" s="83" t="e">
        <f>AH159/AH164</f>
        <v>#DIV/0!</v>
      </c>
      <c r="AI123" s="18"/>
      <c r="AJ123" s="83" t="e">
        <f>AJ159/AJ164</f>
        <v>#DIV/0!</v>
      </c>
      <c r="AK123" s="18"/>
      <c r="AL123" s="83" t="e">
        <f>AL159/AL164</f>
        <v>#DIV/0!</v>
      </c>
      <c r="AM123" s="18"/>
      <c r="AN123" s="83" t="e">
        <f>AN159/AN164</f>
        <v>#DIV/0!</v>
      </c>
      <c r="AO123" s="18"/>
      <c r="AP123" s="83">
        <f>AP159/AP164</f>
        <v>1.5</v>
      </c>
      <c r="AQ123" s="18"/>
      <c r="AR123" s="83">
        <f>AR159/AR164</f>
        <v>0.45</v>
      </c>
      <c r="AS123" s="18"/>
      <c r="AT123" s="132" t="e">
        <f>AT159/AT164</f>
        <v>#DIV/0!</v>
      </c>
      <c r="AU123" s="18"/>
      <c r="AV123" s="83">
        <f>AV159/AV164</f>
        <v>2.25</v>
      </c>
      <c r="AW123" s="18"/>
      <c r="AX123" s="83">
        <f>AX159/AX164</f>
        <v>1.5</v>
      </c>
      <c r="AY123" s="18"/>
      <c r="AZ123" s="83">
        <f>AZ159/AZ164</f>
        <v>1.5912274849899932</v>
      </c>
      <c r="BA123" s="18"/>
      <c r="BB123" s="83" t="e">
        <f>BB159/BB164</f>
        <v>#DIV/0!</v>
      </c>
      <c r="BC123" s="18"/>
      <c r="BD123" s="83">
        <f>BD159/BD164</f>
        <v>0.21048200378867607</v>
      </c>
      <c r="BE123" s="18"/>
      <c r="BF123" s="83">
        <f>BF159/BF164</f>
        <v>0.5</v>
      </c>
      <c r="BG123" s="18"/>
      <c r="BH123" s="83">
        <f>BH159/BH164</f>
        <v>6.4864864864864868</v>
      </c>
      <c r="BI123" s="18"/>
      <c r="BJ123" s="83" t="e">
        <f>BJ159/BJ164</f>
        <v>#DIV/0!</v>
      </c>
      <c r="BK123" s="18"/>
      <c r="BL123" s="83">
        <f>BL159/BL164</f>
        <v>3.3333333333333335</v>
      </c>
      <c r="BM123" s="18"/>
      <c r="BN123" s="83">
        <f>BN159/BN164</f>
        <v>6.1666666666666668E-2</v>
      </c>
      <c r="BO123" s="18"/>
      <c r="BP123" s="83" t="e">
        <f>BP159/BP164</f>
        <v>#DIV/0!</v>
      </c>
      <c r="BQ123" s="18"/>
      <c r="BR123" s="83" t="e">
        <f>BR159/BR164</f>
        <v>#DIV/0!</v>
      </c>
      <c r="BS123" s="18"/>
    </row>
    <row r="124" spans="1:72" x14ac:dyDescent="0.25">
      <c r="G124" s="4"/>
      <c r="N124" s="4"/>
      <c r="S124" s="4"/>
      <c r="U124" s="4"/>
      <c r="W124" s="4"/>
      <c r="Y124" s="4"/>
      <c r="AA124" s="4"/>
      <c r="AC124" s="4"/>
      <c r="AE124" s="4"/>
      <c r="AG124" s="4"/>
      <c r="AI124" s="4"/>
      <c r="AK124" s="4"/>
      <c r="AM124" s="4"/>
      <c r="AO124" s="4"/>
      <c r="AQ124" s="4"/>
      <c r="AS124" s="4"/>
      <c r="AU124" s="4"/>
      <c r="AW124" s="4"/>
      <c r="AY124" s="4"/>
      <c r="BA124" s="4"/>
      <c r="BC124" s="4"/>
      <c r="BE124" s="4"/>
      <c r="BG124" s="4"/>
      <c r="BI124" s="4"/>
      <c r="BK124" s="4"/>
      <c r="BM124" s="4"/>
      <c r="BO124" s="4"/>
      <c r="BQ124" s="4"/>
      <c r="BS124" s="4"/>
    </row>
    <row r="125" spans="1:72" x14ac:dyDescent="0.25">
      <c r="C125" s="5" t="s">
        <v>768</v>
      </c>
      <c r="D125" s="3"/>
      <c r="E125" s="3"/>
      <c r="F125" s="3"/>
      <c r="G125" s="54"/>
      <c r="H125" s="3"/>
      <c r="I125" s="3"/>
      <c r="J125" s="3"/>
      <c r="K125" s="3"/>
      <c r="L125" s="3"/>
      <c r="M125" s="3"/>
      <c r="N125" s="2"/>
      <c r="O125" s="3"/>
      <c r="P125" s="3"/>
      <c r="Q125" s="3"/>
      <c r="S125" s="7"/>
      <c r="T125" s="33">
        <v>45231</v>
      </c>
      <c r="U125" s="9"/>
      <c r="V125" s="33">
        <v>45261</v>
      </c>
      <c r="W125" s="9"/>
      <c r="X125" s="33">
        <v>45292</v>
      </c>
      <c r="Y125" s="9"/>
      <c r="Z125" s="33">
        <v>45323</v>
      </c>
      <c r="AA125" s="9"/>
      <c r="AB125" s="33">
        <v>45352</v>
      </c>
      <c r="AC125" s="9"/>
      <c r="AD125" s="33">
        <v>45383</v>
      </c>
      <c r="AE125" s="9"/>
      <c r="AF125" s="33">
        <v>45413</v>
      </c>
      <c r="AG125" s="9"/>
      <c r="AH125" s="33">
        <v>45444</v>
      </c>
      <c r="AI125" s="9"/>
      <c r="AJ125" s="33">
        <v>45474</v>
      </c>
      <c r="AK125" s="9"/>
      <c r="AL125" s="33">
        <v>45528</v>
      </c>
      <c r="AM125" s="9"/>
      <c r="AN125" s="51">
        <f>AN$2</f>
        <v>45559</v>
      </c>
      <c r="AO125" s="9"/>
      <c r="AP125" s="51" t="str">
        <f>AP$2</f>
        <v>Okt-24</v>
      </c>
      <c r="AQ125" s="9"/>
      <c r="AR125" s="51">
        <f>AR$2</f>
        <v>45620</v>
      </c>
      <c r="AS125" s="9"/>
      <c r="AT125" s="122">
        <f>AT$2</f>
        <v>45650</v>
      </c>
      <c r="AU125" s="9"/>
      <c r="AV125" s="51">
        <f>AV$2</f>
        <v>45658</v>
      </c>
      <c r="AW125" s="9"/>
      <c r="AX125" s="51">
        <f>AX$2</f>
        <v>45689</v>
      </c>
      <c r="AY125" s="9"/>
      <c r="AZ125" s="51">
        <f>AZ$2</f>
        <v>45719</v>
      </c>
      <c r="BA125" s="9"/>
      <c r="BB125" s="51">
        <f>BB$2</f>
        <v>45749</v>
      </c>
      <c r="BC125" s="9"/>
      <c r="BD125" s="51">
        <f>BD$2</f>
        <v>45779</v>
      </c>
      <c r="BE125" s="9"/>
      <c r="BF125" s="51">
        <f>BF$2</f>
        <v>45809</v>
      </c>
      <c r="BG125" s="9"/>
      <c r="BH125" s="51">
        <f>BH$2</f>
        <v>45839</v>
      </c>
      <c r="BI125" s="9"/>
      <c r="BJ125" s="51">
        <f>BJ$2</f>
        <v>45870</v>
      </c>
      <c r="BK125" s="9"/>
      <c r="BL125" s="51">
        <f>BL$2</f>
        <v>45901</v>
      </c>
      <c r="BM125" s="9"/>
      <c r="BN125" s="51">
        <f>BN$2</f>
        <v>45932</v>
      </c>
      <c r="BO125" s="9"/>
      <c r="BP125" s="51">
        <f>BP$2</f>
        <v>45963</v>
      </c>
      <c r="BQ125" s="9"/>
      <c r="BR125" s="51">
        <f>BR$2</f>
        <v>45994</v>
      </c>
      <c r="BS125" s="9"/>
    </row>
    <row r="126" spans="1:72" outlineLevel="1" x14ac:dyDescent="0.25">
      <c r="C126" s="4" t="s">
        <v>731</v>
      </c>
      <c r="AB126" s="4">
        <f>AB128-AB127</f>
        <v>-119128.467825</v>
      </c>
      <c r="AC126" s="88" t="e">
        <f>AB126/AB129</f>
        <v>#DIV/0!</v>
      </c>
      <c r="AD126" s="4">
        <f>AD128-AD127</f>
        <v>-138126.37995</v>
      </c>
      <c r="AE126" s="88">
        <f>AD126/AD129</f>
        <v>-15.347375550000001</v>
      </c>
      <c r="AF126" s="4">
        <f>AF128-AF127</f>
        <v>-159529.99207499999</v>
      </c>
      <c r="AG126" s="88">
        <f>AF126/AF129</f>
        <v>-8.862777337499999</v>
      </c>
      <c r="AH126" s="4">
        <f>AH128-AH127</f>
        <v>-180181.92419999998</v>
      </c>
      <c r="AI126" s="88">
        <f>AH126/AH129</f>
        <v>-7.3543642530612239</v>
      </c>
      <c r="AJ126" s="4">
        <f>AJ128-AJ127</f>
        <v>-207019.89382499998</v>
      </c>
      <c r="AK126" s="88">
        <f>AJ126/AJ129</f>
        <v>-6.6780610911290319</v>
      </c>
      <c r="AL126" s="4">
        <f>AL128-AL127</f>
        <v>-228021.81344999996</v>
      </c>
      <c r="AM126" s="88">
        <f>AL126/AL129</f>
        <v>-6.0805816919999991</v>
      </c>
      <c r="AN126" s="4">
        <f>AN128-AN127</f>
        <v>-253682.08087499999</v>
      </c>
      <c r="AO126" s="88">
        <f>AN126/AN129</f>
        <v>-5.7655018380681815</v>
      </c>
      <c r="AP126" s="4">
        <f>AP128-AP127</f>
        <v>-270571.98419999995</v>
      </c>
      <c r="AQ126" s="88">
        <f>AP126/AP129</f>
        <v>-4.5889992401757089</v>
      </c>
      <c r="AR126" s="4">
        <f>AR128-AR127</f>
        <v>-276971.43779999996</v>
      </c>
      <c r="AS126" s="88">
        <f>AR126/AR129</f>
        <v>-4.3990952780292556</v>
      </c>
      <c r="AT126" s="121">
        <f>AT128-AT127</f>
        <v>-283917.95864999999</v>
      </c>
      <c r="AU126" s="88">
        <f>AT126/AT129</f>
        <v>-4.3822615090757546</v>
      </c>
      <c r="AV126" s="4">
        <f>AV128-AV127</f>
        <v>-278792.66407499998</v>
      </c>
      <c r="AW126" s="88">
        <f>AV126/AV129</f>
        <v>-4.0167570615669224</v>
      </c>
      <c r="AX126" s="4">
        <f>AX128-AX127</f>
        <v>-289557.58349380165</v>
      </c>
      <c r="AY126" s="88">
        <f>AX126/AX129</f>
        <v>-4.0836017608007298</v>
      </c>
      <c r="AZ126" s="4">
        <f>AZ128-AZ127</f>
        <v>-266917.68423130165</v>
      </c>
      <c r="BA126" s="88">
        <f>AZ126/AZ129</f>
        <v>-2.4686622219937928</v>
      </c>
      <c r="BB126" s="4">
        <f>BB128-BB127</f>
        <v>-274682.32701880165</v>
      </c>
      <c r="BC126" s="88">
        <f>BB126/BB129</f>
        <v>-2.6972637461168651</v>
      </c>
      <c r="BD126" s="4">
        <f>BD128-BD127</f>
        <v>-288294.88225630159</v>
      </c>
      <c r="BE126" s="88">
        <f>BD126/BD129</f>
        <v>-3.0907524744287591</v>
      </c>
      <c r="BF126" s="4">
        <f>BF128-BF127</f>
        <v>-301429.78049380163</v>
      </c>
      <c r="BG126" s="88">
        <f>BF126/BF129</f>
        <v>-3.3621228636768405</v>
      </c>
      <c r="BH126" s="4">
        <f>BH128-BH127</f>
        <v>-312359.53000630165</v>
      </c>
      <c r="BI126" s="88">
        <f>BH126/BH129</f>
        <v>-3.7563710246492881</v>
      </c>
      <c r="BJ126" s="4">
        <f>BJ128-BJ127</f>
        <v>-329996.88951880165</v>
      </c>
      <c r="BK126" s="88">
        <f>BJ126/BJ129</f>
        <v>-4.3049848217693611</v>
      </c>
      <c r="BL126" s="4">
        <f>BL128-BL127</f>
        <v>-344711.32623130165</v>
      </c>
      <c r="BM126" s="88">
        <f>BL126/BL129</f>
        <v>-4.9135954909770945</v>
      </c>
      <c r="BN126" s="4">
        <f>BN128-BN127</f>
        <v>-368601.12704380159</v>
      </c>
      <c r="BO126" s="88">
        <f>BN126/BN129</f>
        <v>-6.6783309485846472</v>
      </c>
      <c r="BP126" s="4">
        <f>BP128-BP127</f>
        <v>-383534.45005630155</v>
      </c>
      <c r="BQ126" s="88">
        <f>BP126/BP129</f>
        <v>-7.4918437081256553</v>
      </c>
      <c r="BR126" s="4">
        <f>BR128-BR127</f>
        <v>-395212.85556880158</v>
      </c>
      <c r="BS126" s="88">
        <f>BR126/BR129</f>
        <v>-8.0056729766441599</v>
      </c>
    </row>
    <row r="127" spans="1:72" s="1" customFormat="1" outlineLevel="1" x14ac:dyDescent="0.25">
      <c r="A127" s="1">
        <f>A128*0.19</f>
        <v>0</v>
      </c>
      <c r="C127" s="4" t="s">
        <v>732</v>
      </c>
      <c r="D127" s="4"/>
      <c r="E127" s="4"/>
      <c r="F127" s="4"/>
      <c r="G127" s="4"/>
      <c r="H127" s="4"/>
      <c r="I127" s="4"/>
      <c r="J127" s="4"/>
      <c r="N127" s="23"/>
      <c r="S127" s="18"/>
      <c r="U127" s="18"/>
      <c r="W127" s="18"/>
      <c r="Y127" s="18"/>
      <c r="Z127" s="1">
        <f>Z128*0.19</f>
        <v>-22181.556650000002</v>
      </c>
      <c r="AA127" s="18"/>
      <c r="AB127" s="1">
        <f>AB128*0.19</f>
        <v>-27943.714674999999</v>
      </c>
      <c r="AC127" s="89"/>
      <c r="AD127" s="1">
        <f>AD128*0.19</f>
        <v>-32400.015049999998</v>
      </c>
      <c r="AE127" s="89"/>
      <c r="AF127" s="1">
        <f>AF128*0.19</f>
        <v>-37420.615424999996</v>
      </c>
      <c r="AG127" s="89"/>
      <c r="AH127" s="1">
        <f>AH128*0.19</f>
        <v>-42264.895799999998</v>
      </c>
      <c r="AI127" s="89"/>
      <c r="AJ127" s="1">
        <f>AJ128*0.19</f>
        <v>-48560.22200833333</v>
      </c>
      <c r="AK127" s="89"/>
      <c r="AL127" s="1">
        <f>AL128*0.19</f>
        <v>-53486.598216666658</v>
      </c>
      <c r="AM127" s="89"/>
      <c r="AN127" s="1">
        <f>AN128*0.19</f>
        <v>-59505.673291666666</v>
      </c>
      <c r="AO127" s="89"/>
      <c r="AP127" s="1">
        <f>AP128*0.19</f>
        <v>-63467.502466666665</v>
      </c>
      <c r="AQ127" s="89"/>
      <c r="AR127" s="1">
        <f>AR128*0.19</f>
        <v>-64968.608866666662</v>
      </c>
      <c r="AS127" s="89"/>
      <c r="AT127" s="129">
        <f>AT128*0.19</f>
        <v>-66598.039683333322</v>
      </c>
      <c r="AU127" s="89"/>
      <c r="AV127" s="1">
        <f>AV128*0.19</f>
        <v>-65395.810091666674</v>
      </c>
      <c r="AW127" s="89"/>
      <c r="AX127" s="1">
        <f>AX128*0.19</f>
        <v>-67920.914646694218</v>
      </c>
      <c r="AY127" s="89"/>
      <c r="AZ127" s="1">
        <f>AZ128*0.19</f>
        <v>-62610.320992527559</v>
      </c>
      <c r="BA127" s="89"/>
      <c r="BB127" s="1">
        <f>BB128*0.19</f>
        <v>-64431.656955027545</v>
      </c>
      <c r="BC127" s="89"/>
      <c r="BD127" s="1">
        <f>BD128*0.19</f>
        <v>-67624.725467527547</v>
      </c>
      <c r="BE127" s="89"/>
      <c r="BF127" s="1">
        <f>BF128*0.19</f>
        <v>-70705.750980027544</v>
      </c>
      <c r="BG127" s="89"/>
      <c r="BH127" s="1">
        <f>BH128*0.19</f>
        <v>-73269.519384194209</v>
      </c>
      <c r="BI127" s="89"/>
      <c r="BJ127" s="1">
        <f>BJ128*0.19</f>
        <v>-77406.677788360874</v>
      </c>
      <c r="BK127" s="89"/>
      <c r="BL127" s="1">
        <f>BL128*0.19</f>
        <v>-80858.212325860877</v>
      </c>
      <c r="BM127" s="89"/>
      <c r="BN127" s="1">
        <f>BN128*0.19</f>
        <v>-86461.99276336086</v>
      </c>
      <c r="BO127" s="89"/>
      <c r="BP127" s="1">
        <f>BP128*0.19</f>
        <v>-89964.871000860847</v>
      </c>
      <c r="BQ127" s="89"/>
      <c r="BR127" s="1">
        <f>BR128*0.19</f>
        <v>-92704.250071694201</v>
      </c>
      <c r="BS127" s="89"/>
      <c r="BT127" s="4"/>
    </row>
    <row r="128" spans="1:72" outlineLevel="1" x14ac:dyDescent="0.25">
      <c r="C128" s="4" t="s">
        <v>734</v>
      </c>
      <c r="G128" s="4"/>
      <c r="Z128" s="4">
        <f>SUM(D$145:Z$145)</f>
        <v>-116745.035</v>
      </c>
      <c r="AB128" s="4">
        <f>SUM(F$145:AB$145)</f>
        <v>-147072.1825</v>
      </c>
      <c r="AC128" s="88" t="e">
        <f>AB128/AB129</f>
        <v>#DIV/0!</v>
      </c>
      <c r="AD128" s="4">
        <f>SUM(H$145:AD$145)</f>
        <v>-170526.39499999999</v>
      </c>
      <c r="AE128" s="88">
        <f>AD128/AD129</f>
        <v>-18.947377222222222</v>
      </c>
      <c r="AF128" s="4">
        <f>SUM(J$145:AF$145)</f>
        <v>-196950.60749999998</v>
      </c>
      <c r="AG128" s="88">
        <f>AF128/AF129</f>
        <v>-10.941700416666666</v>
      </c>
      <c r="AH128" s="4">
        <f>SUM(L$145:AH$145)</f>
        <v>-222446.81999999998</v>
      </c>
      <c r="AI128" s="88">
        <f>AH128/AH129</f>
        <v>-9.0794620408163258</v>
      </c>
      <c r="AJ128" s="4">
        <f>SUM(N$145:AJ$145)</f>
        <v>-255580.11583333332</v>
      </c>
      <c r="AK128" s="88">
        <f>AJ128/AJ129</f>
        <v>-8.244519865591398</v>
      </c>
      <c r="AL128" s="4">
        <f>SUM(P$145:AL$145)</f>
        <v>-281508.41166666662</v>
      </c>
      <c r="AM128" s="88">
        <f>AL128/AL129</f>
        <v>-7.5068909777777764</v>
      </c>
      <c r="AN128" s="4">
        <f>SUM(R$145:AN$145)</f>
        <v>-313187.75416666665</v>
      </c>
      <c r="AO128" s="88">
        <f>AN128/AN129</f>
        <v>-7.1179035037878782</v>
      </c>
      <c r="AP128" s="4">
        <f>SUM(T$145:AP$145)</f>
        <v>-334039.48666666663</v>
      </c>
      <c r="AQ128" s="88">
        <f>AP128/AP129</f>
        <v>-5.6654311607107521</v>
      </c>
      <c r="AR128" s="4">
        <f>SUM(V$145:AR$145)</f>
        <v>-341940.04666666663</v>
      </c>
      <c r="AS128" s="88">
        <f>AR128/AR129</f>
        <v>-5.4309818247274766</v>
      </c>
      <c r="AT128" s="121">
        <f>SUM(X$145:AT$145)</f>
        <v>-350515.99833333329</v>
      </c>
      <c r="AU128" s="88">
        <f>AT128/AT129</f>
        <v>-5.4101993939206841</v>
      </c>
      <c r="AV128" s="4">
        <f>SUM(Z$145:AV$145)</f>
        <v>-344188.47416666668</v>
      </c>
      <c r="AW128" s="88">
        <f>AV128/AV129</f>
        <v>-4.9589593352678056</v>
      </c>
      <c r="AX128" s="4">
        <f>SUM(AB$145:AX$145)</f>
        <v>-357478.49814049585</v>
      </c>
      <c r="AY128" s="88">
        <f>AX128/AX129</f>
        <v>-5.041483655309543</v>
      </c>
      <c r="AZ128" s="4">
        <f>SUM(AD$145:AZ$145)</f>
        <v>-329528.00522382924</v>
      </c>
      <c r="BA128" s="88">
        <f>AZ128/AZ129</f>
        <v>-3.0477311382639423</v>
      </c>
      <c r="BB128" s="4">
        <f>SUM(AF$145:BB$145)</f>
        <v>-339113.98397382919</v>
      </c>
      <c r="BC128" s="88">
        <f>BB128/BB129</f>
        <v>-3.329955242119587</v>
      </c>
      <c r="BD128" s="4">
        <f>SUM(AH$145:BD$145)</f>
        <v>-355919.60772382916</v>
      </c>
      <c r="BE128" s="88">
        <f>BD128/BD129</f>
        <v>-3.8157437955910614</v>
      </c>
      <c r="BF128" s="4">
        <f>SUM(AJ$145:BF$145)</f>
        <v>-372135.53147382918</v>
      </c>
      <c r="BG128" s="88">
        <f>BF128/BF129</f>
        <v>-4.1507689675022723</v>
      </c>
      <c r="BH128" s="4">
        <f>SUM(AL$145:BH$145)</f>
        <v>-385629.04939049587</v>
      </c>
      <c r="BI128" s="88">
        <f>BH128/BH129</f>
        <v>-4.6374950921596145</v>
      </c>
      <c r="BJ128" s="4">
        <f>SUM(AN$145:BJ$145)</f>
        <v>-407403.56730716251</v>
      </c>
      <c r="BK128" s="88">
        <f>BJ128/BJ129</f>
        <v>-5.3147960762584701</v>
      </c>
      <c r="BL128" s="4">
        <f>SUM(AP$145:BL$145)</f>
        <v>-425569.53855716251</v>
      </c>
      <c r="BM128" s="88">
        <f>BL128/BL129</f>
        <v>-6.0661672728112279</v>
      </c>
      <c r="BN128" s="4">
        <f>SUM(AR$145:BN$145)</f>
        <v>-455063.11980716244</v>
      </c>
      <c r="BO128" s="88">
        <f>BN128/BN129</f>
        <v>-8.2448530229440085</v>
      </c>
      <c r="BP128" s="4">
        <f>SUM(AT$145:BP$145)</f>
        <v>-473499.32105716236</v>
      </c>
      <c r="BQ128" s="88">
        <f>BP128/BP129</f>
        <v>-9.2491897631180926</v>
      </c>
      <c r="BR128" s="4">
        <f>SUM(AV$145:BR$145)</f>
        <v>-487917.10564049578</v>
      </c>
      <c r="BS128" s="88">
        <f>BR128/BR129</f>
        <v>-9.8835468847458774</v>
      </c>
    </row>
    <row r="129" spans="1:72" outlineLevel="1" x14ac:dyDescent="0.25">
      <c r="C129" s="4" t="s">
        <v>733</v>
      </c>
      <c r="Z129" s="4">
        <f>SUM($T190:Z$190)</f>
        <v>0</v>
      </c>
      <c r="AB129" s="4">
        <f>SUM($T190:AB$190)</f>
        <v>0</v>
      </c>
      <c r="AC129" s="89"/>
      <c r="AD129" s="4">
        <f>SUM($T190:AD$190)</f>
        <v>9000</v>
      </c>
      <c r="AE129" s="89"/>
      <c r="AF129" s="4">
        <f>SUM($T190:AF$190)</f>
        <v>18000</v>
      </c>
      <c r="AG129" s="89"/>
      <c r="AH129" s="4">
        <f>SUM($T190:AH$190)</f>
        <v>24500</v>
      </c>
      <c r="AI129" s="89"/>
      <c r="AJ129" s="4">
        <f>SUM($T190:AJ$190)</f>
        <v>31000</v>
      </c>
      <c r="AK129" s="89"/>
      <c r="AL129" s="4">
        <f>SUM($T190:AL$190)</f>
        <v>37500</v>
      </c>
      <c r="AM129" s="89"/>
      <c r="AN129" s="4">
        <f>SUM($T190:AN$190)</f>
        <v>44000</v>
      </c>
      <c r="AO129" s="89"/>
      <c r="AP129" s="4">
        <f>SUM($T190:AP$190)</f>
        <v>58961</v>
      </c>
      <c r="AQ129" s="89"/>
      <c r="AR129" s="4">
        <f>SUM($T190:AR$190)</f>
        <v>62961</v>
      </c>
      <c r="AS129" s="89"/>
      <c r="AT129" s="4">
        <f>SUM(X$190:AT$190)</f>
        <v>64788</v>
      </c>
      <c r="AU129" s="89"/>
      <c r="AV129" s="4">
        <f>SUM(Z$190:AV$190)</f>
        <v>69407.399999999994</v>
      </c>
      <c r="AW129" s="89"/>
      <c r="AX129" s="4">
        <f>SUM(AB$190:AX$190)</f>
        <v>70907.399999999994</v>
      </c>
      <c r="AY129" s="89"/>
      <c r="AZ129" s="4">
        <f>SUM(AD$190:AZ$190)</f>
        <v>108122.4</v>
      </c>
      <c r="BA129" s="89"/>
      <c r="BB129" s="4">
        <f>SUM(AF$190:BB$190)</f>
        <v>101837.4</v>
      </c>
      <c r="BC129" s="89"/>
      <c r="BD129" s="4">
        <f>SUM(AH$190:BD$190)</f>
        <v>93276.599999999991</v>
      </c>
      <c r="BE129" s="89"/>
      <c r="BF129" s="4">
        <f>SUM(AJ$190:BF$190)</f>
        <v>89654.599999999991</v>
      </c>
      <c r="BG129" s="89"/>
      <c r="BH129" s="4">
        <f>SUM(AL$190:BH$190)</f>
        <v>83154.599999999991</v>
      </c>
      <c r="BI129" s="89"/>
      <c r="BJ129" s="4">
        <f>SUM(AN$190:BJ$190)</f>
        <v>76654.599999999991</v>
      </c>
      <c r="BK129" s="89"/>
      <c r="BL129" s="4">
        <f>SUM(AP$190:BL$190)</f>
        <v>70154.599999999991</v>
      </c>
      <c r="BM129" s="89"/>
      <c r="BN129" s="4">
        <f>SUM(AR$190:BN$190)</f>
        <v>55193.599999999999</v>
      </c>
      <c r="BO129" s="89"/>
      <c r="BP129" s="4">
        <f>SUM(AT$190:BP$190)</f>
        <v>51193.599999999999</v>
      </c>
      <c r="BQ129" s="89"/>
      <c r="BR129" s="4">
        <f>SUM(AV$190:BR$190)</f>
        <v>49366.6</v>
      </c>
      <c r="BS129" s="89"/>
    </row>
    <row r="130" spans="1:72" s="84" customFormat="1" ht="4.9000000000000004" customHeight="1" outlineLevel="1" x14ac:dyDescent="0.25">
      <c r="N130" s="85"/>
      <c r="S130" s="86"/>
      <c r="U130" s="87"/>
      <c r="W130" s="87"/>
      <c r="Y130" s="87"/>
      <c r="AA130" s="87"/>
      <c r="AC130" s="90"/>
      <c r="AE130" s="90"/>
      <c r="AG130" s="90"/>
      <c r="AI130" s="90"/>
      <c r="AK130" s="90"/>
      <c r="AM130" s="90"/>
      <c r="AO130" s="90"/>
      <c r="AQ130" s="90"/>
      <c r="AS130" s="90"/>
      <c r="AT130" s="131"/>
      <c r="AU130" s="90"/>
      <c r="AW130" s="90"/>
      <c r="AY130" s="90"/>
      <c r="BA130" s="90"/>
      <c r="BC130" s="90"/>
      <c r="BE130" s="90"/>
      <c r="BG130" s="90"/>
      <c r="BI130" s="90"/>
      <c r="BK130" s="90"/>
      <c r="BM130" s="90"/>
      <c r="BO130" s="90"/>
      <c r="BQ130" s="90"/>
      <c r="BS130" s="90"/>
    </row>
    <row r="131" spans="1:72" outlineLevel="1" x14ac:dyDescent="0.25">
      <c r="C131" s="4" t="s">
        <v>164</v>
      </c>
      <c r="X131" s="4">
        <f>X133-X132</f>
        <v>-30994.712775</v>
      </c>
      <c r="Z131" s="4">
        <f>Z133-Z132</f>
        <v>-52961.773050000003</v>
      </c>
      <c r="AB131" s="4">
        <f>AB133-AB132</f>
        <v>-77526.762524999998</v>
      </c>
      <c r="AC131" s="88" t="e">
        <f>AB131/AB134</f>
        <v>#DIV/0!</v>
      </c>
      <c r="AD131" s="4">
        <f>AD133-AD132</f>
        <v>-96524.674649999986</v>
      </c>
      <c r="AE131" s="88">
        <f>AD131/AD134</f>
        <v>-10.724963849999998</v>
      </c>
      <c r="AF131" s="4">
        <f>AF133-AF132</f>
        <v>-117928.28677499999</v>
      </c>
      <c r="AG131" s="88">
        <f>AF131/AF134</f>
        <v>-6.5515714874999995</v>
      </c>
      <c r="AH131" s="4">
        <f>AH133-AH132</f>
        <v>-138580.21889999998</v>
      </c>
      <c r="AI131" s="88">
        <f>AH131/AH134</f>
        <v>-5.656335465306122</v>
      </c>
      <c r="AJ131" s="4">
        <f>AJ133-AJ132</f>
        <v>-165418.18852499998</v>
      </c>
      <c r="AK131" s="88">
        <f>AJ131/AJ134</f>
        <v>-5.3360705975806439</v>
      </c>
      <c r="AL131" s="4">
        <f>AL133-AL132</f>
        <v>-186420.10814999999</v>
      </c>
      <c r="AM131" s="88">
        <f>AL131/AL134</f>
        <v>-4.9712028839999993</v>
      </c>
      <c r="AN131" s="4">
        <f>AN133-AN132</f>
        <v>-212080.37557499998</v>
      </c>
      <c r="AO131" s="88">
        <f>AN131/AN134</f>
        <v>-4.8200085357954539</v>
      </c>
      <c r="AP131" s="4">
        <f>AP133-AP132</f>
        <v>-228970.27889999998</v>
      </c>
      <c r="AQ131" s="88">
        <f>AP131/AP134</f>
        <v>-3.883419190651447</v>
      </c>
      <c r="AR131" s="4">
        <f>AR133-AR132</f>
        <v>-254816.66002499996</v>
      </c>
      <c r="AS131" s="88">
        <f>AR131/AR134</f>
        <v>-4.0472143076666498</v>
      </c>
      <c r="AT131" s="121">
        <f>AT133-AT132</f>
        <v>-283917.95864999999</v>
      </c>
      <c r="AU131" s="88">
        <f>AT131/AT134</f>
        <v>-4.3822615090757546</v>
      </c>
      <c r="AV131" s="4">
        <f>AV133-AV132</f>
        <v>-25869.418200000004</v>
      </c>
      <c r="AW131" s="88">
        <f>AV131/AV134</f>
        <v>-5.6001684634368116</v>
      </c>
      <c r="AX131" s="4">
        <f>AX133-AX132</f>
        <v>-58601.397893801659</v>
      </c>
      <c r="AY131" s="88">
        <f>AX131/AX134</f>
        <v>-9.5763306686605976</v>
      </c>
      <c r="AZ131" s="4">
        <f>AZ133-AZ132</f>
        <v>-60526.488106301666</v>
      </c>
      <c r="BA131" s="88">
        <f>AZ131/AZ134</f>
        <v>-1.3967307290813225</v>
      </c>
      <c r="BB131" s="4">
        <f>BB133-BB132</f>
        <v>-87289.043018801662</v>
      </c>
      <c r="BC131" s="88">
        <f>BB131/BB134</f>
        <v>-1.8955522334449886</v>
      </c>
      <c r="BD131" s="4">
        <f>BD133-BD132</f>
        <v>-122305.21038130166</v>
      </c>
      <c r="BE131" s="88">
        <f>BD131/BD134</f>
        <v>-2.6308645642437427</v>
      </c>
      <c r="BF131" s="4">
        <f>BF133-BF132</f>
        <v>-156092.04074380168</v>
      </c>
      <c r="BG131" s="88">
        <f>BF131/BF134</f>
        <v>-3.1618957097268536</v>
      </c>
      <c r="BH131" s="4">
        <f>BH133-BH132</f>
        <v>-193859.75988130167</v>
      </c>
      <c r="BI131" s="88">
        <f>BH131/BH134</f>
        <v>-3.9269416950185283</v>
      </c>
      <c r="BJ131" s="4">
        <f>BJ133-BJ132</f>
        <v>-232499.03901880168</v>
      </c>
      <c r="BK131" s="88">
        <f>BJ131/BJ134</f>
        <v>-4.7096425319710429</v>
      </c>
      <c r="BL131" s="4">
        <f>BL133-BL132</f>
        <v>-272873.74315630167</v>
      </c>
      <c r="BM131" s="88">
        <f>BL131/BL134</f>
        <v>-5.5274971976255545</v>
      </c>
      <c r="BN131" s="4">
        <f>BN133-BN132</f>
        <v>-313653.44729380164</v>
      </c>
      <c r="BO131" s="88">
        <f>BN131/BN134</f>
        <v>-6.3535557906317557</v>
      </c>
      <c r="BP131" s="4">
        <f>BP133-BP132</f>
        <v>-354433.15143130161</v>
      </c>
      <c r="BQ131" s="88">
        <f>BP131/BP134</f>
        <v>-7.1796143836379578</v>
      </c>
      <c r="BR131" s="4">
        <f>BR133-BR132</f>
        <v>-395212.85556880158</v>
      </c>
      <c r="BS131" s="88">
        <f>BR131/BR134</f>
        <v>-8.0056729766441599</v>
      </c>
    </row>
    <row r="132" spans="1:72" s="1" customFormat="1" outlineLevel="1" x14ac:dyDescent="0.25">
      <c r="A132" s="1">
        <f>A133*0.19</f>
        <v>0</v>
      </c>
      <c r="C132" s="4" t="s">
        <v>165</v>
      </c>
      <c r="D132" s="4"/>
      <c r="E132" s="4"/>
      <c r="F132" s="4"/>
      <c r="G132" s="4"/>
      <c r="H132" s="4"/>
      <c r="I132" s="4"/>
      <c r="J132" s="4"/>
      <c r="N132" s="23"/>
      <c r="S132" s="18"/>
      <c r="U132" s="18"/>
      <c r="W132" s="18"/>
      <c r="X132" s="1">
        <f>X133*0.19</f>
        <v>-7270.3647250000004</v>
      </c>
      <c r="Y132" s="18"/>
      <c r="Z132" s="1">
        <f>Z133*0.19</f>
        <v>-12423.131949999999</v>
      </c>
      <c r="AA132" s="18"/>
      <c r="AB132" s="1">
        <f>AB133*0.19</f>
        <v>-18185.289975</v>
      </c>
      <c r="AC132" s="89"/>
      <c r="AD132" s="1">
        <f>AD133*0.19</f>
        <v>-22641.590349999999</v>
      </c>
      <c r="AE132" s="89"/>
      <c r="AF132" s="1">
        <f>AF133*0.19</f>
        <v>-27662.190724999997</v>
      </c>
      <c r="AG132" s="89"/>
      <c r="AH132" s="1">
        <f>AH133*0.19</f>
        <v>-32506.471099999995</v>
      </c>
      <c r="AI132" s="89"/>
      <c r="AJ132" s="1">
        <f>AJ133*0.19</f>
        <v>-38801.797308333327</v>
      </c>
      <c r="AK132" s="89"/>
      <c r="AL132" s="1">
        <f>AL133*0.19</f>
        <v>-43728.173516666662</v>
      </c>
      <c r="AM132" s="89"/>
      <c r="AN132" s="1">
        <f>AN133*0.19</f>
        <v>-49747.248591666663</v>
      </c>
      <c r="AO132" s="89"/>
      <c r="AP132" s="1">
        <f>AP133*0.19</f>
        <v>-53709.077766666662</v>
      </c>
      <c r="AQ132" s="89"/>
      <c r="AR132" s="1">
        <f>AR133*0.19</f>
        <v>-59771.809141666658</v>
      </c>
      <c r="AS132" s="89"/>
      <c r="AT132" s="129">
        <f>AT133*0.19</f>
        <v>-66598.039683333322</v>
      </c>
      <c r="AU132" s="89"/>
      <c r="AV132" s="1">
        <f>AV133*0.19</f>
        <v>-6068.1351333333341</v>
      </c>
      <c r="AW132" s="89"/>
      <c r="AX132" s="1">
        <f>AX133*0.19</f>
        <v>-13746.006913360883</v>
      </c>
      <c r="AY132" s="89"/>
      <c r="AZ132" s="1">
        <f>AZ133*0.19</f>
        <v>-14197.571284194217</v>
      </c>
      <c r="BA132" s="89"/>
      <c r="BB132" s="1">
        <f>BB133*0.19</f>
        <v>-20475.207621694219</v>
      </c>
      <c r="BC132" s="89"/>
      <c r="BD132" s="1">
        <f>BD133*0.19</f>
        <v>-28688.876509194219</v>
      </c>
      <c r="BE132" s="89"/>
      <c r="BF132" s="1">
        <f>BF133*0.19</f>
        <v>-36614.182396694217</v>
      </c>
      <c r="BG132" s="89"/>
      <c r="BH132" s="1">
        <f>BH133*0.19</f>
        <v>-45473.277009194222</v>
      </c>
      <c r="BI132" s="89"/>
      <c r="BJ132" s="1">
        <f>BJ133*0.19</f>
        <v>-54536.811621694222</v>
      </c>
      <c r="BK132" s="89"/>
      <c r="BL132" s="1">
        <f>BL133*0.19</f>
        <v>-64007.421234194211</v>
      </c>
      <c r="BM132" s="89"/>
      <c r="BN132" s="1">
        <f>BN133*0.19</f>
        <v>-73573.030846694208</v>
      </c>
      <c r="BO132" s="89"/>
      <c r="BP132" s="1">
        <f>BP133*0.19</f>
        <v>-83138.640459194197</v>
      </c>
      <c r="BQ132" s="89"/>
      <c r="BR132" s="1">
        <f>BR133*0.19</f>
        <v>-92704.250071694201</v>
      </c>
      <c r="BS132" s="89"/>
      <c r="BT132" s="4"/>
    </row>
    <row r="133" spans="1:72" outlineLevel="1" x14ac:dyDescent="0.25">
      <c r="C133" s="4" t="s">
        <v>166</v>
      </c>
      <c r="G133" s="4"/>
      <c r="X133" s="4">
        <f>SUM($X$145:X145)</f>
        <v>-38265.077499999999</v>
      </c>
      <c r="Z133" s="4">
        <f>SUM($X$145:Z145)</f>
        <v>-65384.904999999999</v>
      </c>
      <c r="AB133" s="4">
        <f>SUM($X$145:AB145)</f>
        <v>-95712.052499999991</v>
      </c>
      <c r="AC133" s="88" t="e">
        <f>AB133/AB134</f>
        <v>#DIV/0!</v>
      </c>
      <c r="AD133" s="4">
        <f>SUM($X$145:AD145)</f>
        <v>-119166.26499999998</v>
      </c>
      <c r="AE133" s="88">
        <f>AD133/AD134</f>
        <v>-13.240696111111109</v>
      </c>
      <c r="AF133" s="4">
        <f>SUM($X$145:AF145)</f>
        <v>-145590.47749999998</v>
      </c>
      <c r="AG133" s="88">
        <f>AF133/AF134</f>
        <v>-8.08835986111111</v>
      </c>
      <c r="AH133" s="4">
        <f>SUM($X$145:AH145)</f>
        <v>-171086.68999999997</v>
      </c>
      <c r="AI133" s="88">
        <f>AH133/AH134</f>
        <v>-6.9831302040816317</v>
      </c>
      <c r="AJ133" s="4">
        <f>SUM($X$145:AJ145)</f>
        <v>-204219.98583333331</v>
      </c>
      <c r="AK133" s="88">
        <f>AJ133/AJ134</f>
        <v>-6.5877414784946229</v>
      </c>
      <c r="AL133" s="4">
        <f>SUM($X$145:AL145)</f>
        <v>-230148.28166666665</v>
      </c>
      <c r="AM133" s="88">
        <f>AL133/AL134</f>
        <v>-6.1372875111111105</v>
      </c>
      <c r="AN133" s="4">
        <f>SUM($X$145:AN145)</f>
        <v>-261827.62416666665</v>
      </c>
      <c r="AO133" s="88">
        <f>AN133/AN134</f>
        <v>-5.9506278219696966</v>
      </c>
      <c r="AP133" s="4">
        <f>SUM($X$145:AP145)</f>
        <v>-282679.35666666663</v>
      </c>
      <c r="AQ133" s="88">
        <f>AP133/AP134</f>
        <v>-4.794344679816601</v>
      </c>
      <c r="AR133" s="4">
        <f>SUM($X$145:AR145)</f>
        <v>-314588.46916666662</v>
      </c>
      <c r="AS133" s="88">
        <f>AR133/AR134</f>
        <v>-4.9965608736625313</v>
      </c>
      <c r="AT133" s="121">
        <f>SUM($X$145:AT145)</f>
        <v>-350515.99833333329</v>
      </c>
      <c r="AU133" s="88">
        <f>AT133/AT134</f>
        <v>-5.4101993939206841</v>
      </c>
      <c r="AV133" s="4">
        <f>SUM($AV$145:AV145)</f>
        <v>-31937.553333333337</v>
      </c>
      <c r="AW133" s="88">
        <f>AV133/AV134</f>
        <v>-6.9137882264651989</v>
      </c>
      <c r="AX133" s="4">
        <f>SUM($AV$145:AX145)</f>
        <v>-72347.404807162544</v>
      </c>
      <c r="AY133" s="88">
        <f>AX133/AX134</f>
        <v>-11.82263045513654</v>
      </c>
      <c r="AZ133" s="4">
        <f>SUM($AV$145:AZ145)</f>
        <v>-74724.059390495881</v>
      </c>
      <c r="BA133" s="88">
        <f>AZ133/AZ134</f>
        <v>-1.7243589247917561</v>
      </c>
      <c r="BB133" s="4">
        <f>SUM($AV$145:BB145)</f>
        <v>-107764.25064049588</v>
      </c>
      <c r="BC133" s="88">
        <f>BB133/BB134</f>
        <v>-2.3401879425246772</v>
      </c>
      <c r="BD133" s="4">
        <f>SUM($AV$145:BD145)</f>
        <v>-150994.08689049588</v>
      </c>
      <c r="BE133" s="88">
        <f>BD133/BD134</f>
        <v>-3.2479809435107936</v>
      </c>
      <c r="BF133" s="4">
        <f>SUM($AV$145:BF145)</f>
        <v>-192706.22314049589</v>
      </c>
      <c r="BG133" s="88">
        <f>BF133/BF134</f>
        <v>-3.9035749502800656</v>
      </c>
      <c r="BH133" s="4">
        <f>SUM($AV$145:BH145)</f>
        <v>-239333.03689049589</v>
      </c>
      <c r="BI133" s="88">
        <f>BH133/BH134</f>
        <v>-4.8480761666895411</v>
      </c>
      <c r="BJ133" s="4">
        <f>SUM($AV$145:BJ145)</f>
        <v>-287035.85064049589</v>
      </c>
      <c r="BK133" s="88">
        <f>BJ133/BJ134</f>
        <v>-5.8143734962605462</v>
      </c>
      <c r="BL133" s="4">
        <f>SUM($AV$145:BL145)</f>
        <v>-336881.16439049586</v>
      </c>
      <c r="BM133" s="88">
        <f>BL133/BL134</f>
        <v>-6.8240706143525349</v>
      </c>
      <c r="BN133" s="4">
        <f>SUM($AV$145:BN145)</f>
        <v>-387226.47814049583</v>
      </c>
      <c r="BO133" s="88">
        <f>BN133/BN134</f>
        <v>-7.8438960378169824</v>
      </c>
      <c r="BP133" s="4">
        <f>SUM($AV$145:BP145)</f>
        <v>-437571.79189049581</v>
      </c>
      <c r="BQ133" s="88">
        <f>BP133/BP134</f>
        <v>-8.863721461281429</v>
      </c>
      <c r="BR133" s="4">
        <f>SUM($AV$145:BR145)</f>
        <v>-487917.10564049578</v>
      </c>
      <c r="BS133" s="88">
        <f>BR133/BR134</f>
        <v>-9.8835468847458774</v>
      </c>
    </row>
    <row r="134" spans="1:72" outlineLevel="1" x14ac:dyDescent="0.25">
      <c r="C134" s="4" t="s">
        <v>167</v>
      </c>
      <c r="G134" s="4"/>
      <c r="X134" s="4">
        <f>SUM($X$190:X190)</f>
        <v>0</v>
      </c>
      <c r="Z134" s="4">
        <f>SUM($X$190:Z190)</f>
        <v>0</v>
      </c>
      <c r="AB134" s="4">
        <f>SUM($X$190:AB190)</f>
        <v>0</v>
      </c>
      <c r="AC134" s="88"/>
      <c r="AD134" s="4">
        <f>SUM($X$190:AD190)</f>
        <v>9000</v>
      </c>
      <c r="AE134" s="88"/>
      <c r="AF134" s="4">
        <f>SUM($X$190:AF190)</f>
        <v>18000</v>
      </c>
      <c r="AG134" s="88"/>
      <c r="AH134" s="4">
        <f>SUM($X$190:AH190)</f>
        <v>24500</v>
      </c>
      <c r="AI134" s="88"/>
      <c r="AJ134" s="4">
        <f>SUM($X$190:AJ190)</f>
        <v>31000</v>
      </c>
      <c r="AK134" s="88"/>
      <c r="AL134" s="4">
        <f>SUM($X$190:AL190)</f>
        <v>37500</v>
      </c>
      <c r="AM134" s="88"/>
      <c r="AN134" s="4">
        <f>SUM($X$190:AN190)</f>
        <v>44000</v>
      </c>
      <c r="AO134" s="88"/>
      <c r="AP134" s="4">
        <f>SUM($X$190:AP190)</f>
        <v>58961</v>
      </c>
      <c r="AQ134" s="88"/>
      <c r="AR134" s="4">
        <f>SUM($X$190:AR190)</f>
        <v>62961</v>
      </c>
      <c r="AS134" s="88"/>
      <c r="AT134" s="121">
        <f>SUM($X$190:AT190)</f>
        <v>64788</v>
      </c>
      <c r="AU134" s="88"/>
      <c r="AV134" s="4">
        <f>SUM($AV$190:AV190)</f>
        <v>4619.3999999999996</v>
      </c>
      <c r="AW134" s="88"/>
      <c r="AX134" s="4">
        <f>SUM($AV$190:AX190)</f>
        <v>6119.4</v>
      </c>
      <c r="AY134" s="88"/>
      <c r="AZ134" s="4">
        <f>SUM($AV$190:AZ190)</f>
        <v>43334.400000000001</v>
      </c>
      <c r="BA134" s="88"/>
      <c r="BB134" s="4">
        <f>SUM($AV$190:BB190)</f>
        <v>46049.4</v>
      </c>
      <c r="BC134" s="88"/>
      <c r="BD134" s="4">
        <f>SUM($AV$190:BD190)</f>
        <v>46488.6</v>
      </c>
      <c r="BE134" s="88"/>
      <c r="BF134" s="4">
        <f>SUM($AV$190:BF190)</f>
        <v>49366.6</v>
      </c>
      <c r="BG134" s="88"/>
      <c r="BH134" s="4">
        <f>SUM($AV$190:BH190)</f>
        <v>49366.6</v>
      </c>
      <c r="BI134" s="88"/>
      <c r="BJ134" s="4">
        <f>SUM($AV$190:BJ190)</f>
        <v>49366.6</v>
      </c>
      <c r="BK134" s="88"/>
      <c r="BL134" s="4">
        <f>SUM($AV$190:BL190)</f>
        <v>49366.6</v>
      </c>
      <c r="BM134" s="88"/>
      <c r="BN134" s="4">
        <f>SUM($AV$190:BN190)</f>
        <v>49366.6</v>
      </c>
      <c r="BO134" s="88"/>
      <c r="BP134" s="4">
        <f>SUM($AV$190:BP190)</f>
        <v>49366.6</v>
      </c>
      <c r="BQ134" s="88"/>
      <c r="BR134" s="4">
        <f>SUM($AV$190:BR190)</f>
        <v>49366.6</v>
      </c>
      <c r="BS134" s="88"/>
    </row>
    <row r="135" spans="1:72" s="84" customFormat="1" ht="4.9000000000000004" customHeight="1" outlineLevel="1" x14ac:dyDescent="0.25">
      <c r="N135" s="85"/>
      <c r="S135" s="86"/>
      <c r="U135" s="87"/>
      <c r="W135" s="87"/>
      <c r="Y135" s="87"/>
      <c r="AA135" s="87"/>
      <c r="AC135" s="90"/>
      <c r="AE135" s="90"/>
      <c r="AG135" s="90"/>
      <c r="AI135" s="90"/>
      <c r="AK135" s="90"/>
      <c r="AM135" s="90"/>
      <c r="AO135" s="90"/>
      <c r="AQ135" s="90"/>
      <c r="AS135" s="90"/>
      <c r="AT135" s="131"/>
      <c r="AU135" s="90"/>
      <c r="AW135" s="90"/>
      <c r="AY135" s="90"/>
      <c r="BA135" s="90"/>
      <c r="BC135" s="90"/>
      <c r="BE135" s="90"/>
      <c r="BG135" s="90"/>
      <c r="BI135" s="90"/>
      <c r="BK135" s="90"/>
      <c r="BM135" s="90"/>
      <c r="BO135" s="90"/>
      <c r="BQ135" s="90"/>
      <c r="BS135" s="90"/>
    </row>
    <row r="136" spans="1:72" outlineLevel="1" x14ac:dyDescent="0.25">
      <c r="C136" s="4" t="s">
        <v>168</v>
      </c>
      <c r="T136" s="4">
        <f>T138-T137</f>
        <v>-19446.927524999999</v>
      </c>
      <c r="V136" s="4">
        <f>V138-V137</f>
        <v>-41601.705300000001</v>
      </c>
      <c r="X136" s="4">
        <f>X138-X137</f>
        <v>-72596.418074999994</v>
      </c>
      <c r="Z136" s="4">
        <f>Z138-Z137</f>
        <v>-94563.478350000005</v>
      </c>
      <c r="AB136" s="4">
        <f>AB138-AB137</f>
        <v>-119128.467825</v>
      </c>
      <c r="AC136" s="88" t="e">
        <f>AB136/AB139</f>
        <v>#DIV/0!</v>
      </c>
      <c r="AD136" s="4">
        <f>AD138-AD137</f>
        <v>-138126.37995</v>
      </c>
      <c r="AE136" s="88">
        <f>AD136/AD139</f>
        <v>-15.347375550000001</v>
      </c>
      <c r="AF136" s="4">
        <f>AF138-AF137</f>
        <v>-159529.99207499999</v>
      </c>
      <c r="AG136" s="88">
        <f>AF136/AF139</f>
        <v>-8.862777337499999</v>
      </c>
      <c r="AH136" s="4">
        <f>AH138-AH137</f>
        <v>-180181.92419999998</v>
      </c>
      <c r="AI136" s="88">
        <f>AH136/AH139</f>
        <v>-7.3543642530612239</v>
      </c>
      <c r="AJ136" s="4">
        <f>AJ138-AJ137</f>
        <v>-207019.89382499998</v>
      </c>
      <c r="AK136" s="88">
        <f>AJ136/AJ139</f>
        <v>-6.6780610911290319</v>
      </c>
      <c r="AL136" s="4">
        <f>AL138-AL137</f>
        <v>-228021.81344999996</v>
      </c>
      <c r="AM136" s="88">
        <f>AL136/AL139</f>
        <v>-6.0805816919999991</v>
      </c>
      <c r="AN136" s="4">
        <f>AN138-AN137</f>
        <v>-253682.08087499999</v>
      </c>
      <c r="AO136" s="88">
        <f>AN136/AN139</f>
        <v>-5.7655018380681815</v>
      </c>
      <c r="AP136" s="4">
        <f>AP138-AP137</f>
        <v>-270571.98419999995</v>
      </c>
      <c r="AQ136" s="88">
        <f>AP136/AP139</f>
        <v>-4.5889992401757089</v>
      </c>
      <c r="AR136" s="4">
        <f>AR138-AR137</f>
        <v>-296418.36532499996</v>
      </c>
      <c r="AS136" s="88">
        <f>AR136/AR139</f>
        <v>-4.707967874160194</v>
      </c>
      <c r="AT136" s="121">
        <f>AT138-AT137</f>
        <v>-325519.66394999996</v>
      </c>
      <c r="AU136" s="88">
        <f>AT136/AT139</f>
        <v>-5.0243820452861634</v>
      </c>
      <c r="AV136" s="4">
        <f>AV138-AV137</f>
        <v>-351389.08214999997</v>
      </c>
      <c r="AW136" s="88">
        <f>AV136/AV139</f>
        <v>-5.0627034314784876</v>
      </c>
      <c r="AX136" s="4">
        <f>AX138-AX137</f>
        <v>-384121.06184380164</v>
      </c>
      <c r="AY136" s="88">
        <f>AX136/AX139</f>
        <v>-5.4172210776844398</v>
      </c>
      <c r="AZ136" s="4">
        <f>AZ138-AZ137</f>
        <v>-386046.15205630165</v>
      </c>
      <c r="BA136" s="88">
        <f>AZ136/AZ139</f>
        <v>-3.5704548923840171</v>
      </c>
      <c r="BB136" s="4">
        <f>BB138-BB137</f>
        <v>-412808.70696880162</v>
      </c>
      <c r="BC136" s="88">
        <f>BB136/BB139</f>
        <v>-3.7244531806845131</v>
      </c>
      <c r="BD136" s="4">
        <f>BD138-BD137</f>
        <v>-447824.8743313016</v>
      </c>
      <c r="BE136" s="88">
        <f>BD136/BD139</f>
        <v>-4.0244298831138048</v>
      </c>
      <c r="BF136" s="4">
        <f>BF138-BF137</f>
        <v>-481611.70469380158</v>
      </c>
      <c r="BG136" s="88">
        <f>BF136/BF139</f>
        <v>-4.2189425979662811</v>
      </c>
      <c r="BH136" s="4">
        <f>BH138-BH137</f>
        <v>-519379.42383130157</v>
      </c>
      <c r="BI136" s="88">
        <f>BH136/BH139</f>
        <v>-4.5497897047626781</v>
      </c>
      <c r="BJ136" s="4">
        <f>BJ138-BJ137</f>
        <v>-558018.7029688016</v>
      </c>
      <c r="BK136" s="88">
        <f>BJ136/BJ139</f>
        <v>-4.8882717207085973</v>
      </c>
      <c r="BL136" s="4">
        <f>BL138-BL137</f>
        <v>-598393.40710630151</v>
      </c>
      <c r="BM136" s="88">
        <f>BL136/BL139</f>
        <v>-5.2419561463690609</v>
      </c>
      <c r="BN136" s="4">
        <f>BN138-BN137</f>
        <v>-639173.11124380154</v>
      </c>
      <c r="BO136" s="88">
        <f>BN136/BN139</f>
        <v>-5.5991883922662913</v>
      </c>
      <c r="BP136" s="4">
        <f>BP138-BP137</f>
        <v>-679952.81538130145</v>
      </c>
      <c r="BQ136" s="88">
        <f>BP136/BP139</f>
        <v>-5.9564206381635216</v>
      </c>
      <c r="BR136" s="4">
        <f>BR138-BR137</f>
        <v>-720732.51951880148</v>
      </c>
      <c r="BS136" s="88">
        <f>BR136/BR139</f>
        <v>-6.313652884060752</v>
      </c>
    </row>
    <row r="137" spans="1:72" s="1" customFormat="1" outlineLevel="1" x14ac:dyDescent="0.25">
      <c r="A137" s="1">
        <f>A138*0.19</f>
        <v>0</v>
      </c>
      <c r="C137" s="4" t="s">
        <v>165</v>
      </c>
      <c r="D137" s="4"/>
      <c r="E137" s="4"/>
      <c r="F137" s="4"/>
      <c r="G137" s="4"/>
      <c r="H137" s="4"/>
      <c r="I137" s="4"/>
      <c r="J137" s="4"/>
      <c r="N137" s="23"/>
      <c r="S137" s="18"/>
      <c r="T137" s="1">
        <f>T138*0.19</f>
        <v>-4561.6249750000006</v>
      </c>
      <c r="U137" s="18"/>
      <c r="V137" s="1">
        <f>V138*0.19</f>
        <v>-9758.4247000000014</v>
      </c>
      <c r="W137" s="18"/>
      <c r="X137" s="1">
        <f>X138*0.19</f>
        <v>-17028.789425000003</v>
      </c>
      <c r="Y137" s="18"/>
      <c r="Z137" s="1">
        <f>Z138*0.19</f>
        <v>-22181.556650000002</v>
      </c>
      <c r="AA137" s="18"/>
      <c r="AB137" s="1">
        <f>AB138*0.19</f>
        <v>-27943.714674999999</v>
      </c>
      <c r="AC137" s="89"/>
      <c r="AD137" s="1">
        <f>AD138*0.19</f>
        <v>-32400.015049999998</v>
      </c>
      <c r="AE137" s="89"/>
      <c r="AF137" s="1">
        <f>AF138*0.19</f>
        <v>-37420.615424999996</v>
      </c>
      <c r="AG137" s="89"/>
      <c r="AH137" s="1">
        <f>AH138*0.19</f>
        <v>-42264.895799999998</v>
      </c>
      <c r="AI137" s="89"/>
      <c r="AJ137" s="1">
        <f>AJ138*0.19</f>
        <v>-48560.22200833333</v>
      </c>
      <c r="AK137" s="89"/>
      <c r="AL137" s="1">
        <f>AL138*0.19</f>
        <v>-53486.598216666658</v>
      </c>
      <c r="AM137" s="89"/>
      <c r="AN137" s="1">
        <f>AN138*0.19</f>
        <v>-59505.673291666666</v>
      </c>
      <c r="AO137" s="89"/>
      <c r="AP137" s="1">
        <f>AP138*0.19</f>
        <v>-63467.502466666665</v>
      </c>
      <c r="AQ137" s="89"/>
      <c r="AR137" s="1">
        <f>AR138*0.19</f>
        <v>-69530.233841666661</v>
      </c>
      <c r="AS137" s="89"/>
      <c r="AT137" s="129">
        <f>AT138*0.19</f>
        <v>-76356.464383333325</v>
      </c>
      <c r="AU137" s="89"/>
      <c r="AV137" s="1">
        <f>AV138*0.19</f>
        <v>-82424.599516666669</v>
      </c>
      <c r="AW137" s="89"/>
      <c r="AX137" s="1">
        <f>AX138*0.19</f>
        <v>-90102.471296694202</v>
      </c>
      <c r="AY137" s="89"/>
      <c r="AZ137" s="1">
        <f>AZ138*0.19</f>
        <v>-90554.03566752754</v>
      </c>
      <c r="BA137" s="89"/>
      <c r="BB137" s="1">
        <f>BB138*0.19</f>
        <v>-96831.672005027547</v>
      </c>
      <c r="BC137" s="89"/>
      <c r="BD137" s="1">
        <f>BD138*0.19</f>
        <v>-105045.34089252754</v>
      </c>
      <c r="BE137" s="89"/>
      <c r="BF137" s="1">
        <f>BF138*0.19</f>
        <v>-112970.64678002754</v>
      </c>
      <c r="BG137" s="89"/>
      <c r="BH137" s="1">
        <f>BH138*0.19</f>
        <v>-121829.74139252753</v>
      </c>
      <c r="BI137" s="89"/>
      <c r="BJ137" s="1">
        <f>BJ138*0.19</f>
        <v>-130893.27600502752</v>
      </c>
      <c r="BK137" s="89"/>
      <c r="BL137" s="1">
        <f>BL138*0.19</f>
        <v>-140363.88561752753</v>
      </c>
      <c r="BM137" s="89"/>
      <c r="BN137" s="1">
        <f>BN138*0.19</f>
        <v>-149929.4952300275</v>
      </c>
      <c r="BO137" s="89"/>
      <c r="BP137" s="1">
        <f>BP138*0.19</f>
        <v>-159495.10484252751</v>
      </c>
      <c r="BQ137" s="89"/>
      <c r="BR137" s="1">
        <f>BR138*0.19</f>
        <v>-169060.71445502751</v>
      </c>
      <c r="BS137" s="89"/>
      <c r="BT137" s="4"/>
    </row>
    <row r="138" spans="1:72" outlineLevel="1" x14ac:dyDescent="0.25">
      <c r="C138" s="4" t="s">
        <v>169</v>
      </c>
      <c r="T138" s="4">
        <f>SUM($T$145:T145)</f>
        <v>-24008.552500000002</v>
      </c>
      <c r="V138" s="4">
        <f>SUM($T$145:V145)</f>
        <v>-51360.130000000005</v>
      </c>
      <c r="X138" s="4">
        <f>SUM($T$145:X145)</f>
        <v>-89625.207500000004</v>
      </c>
      <c r="Z138" s="4">
        <f>SUM($T$145:Z145)</f>
        <v>-116745.035</v>
      </c>
      <c r="AB138" s="4">
        <f>SUM($T$145:AB145)</f>
        <v>-147072.1825</v>
      </c>
      <c r="AC138" s="88" t="e">
        <f>AB138/AB139</f>
        <v>#DIV/0!</v>
      </c>
      <c r="AD138" s="4">
        <f>SUM($T$145:AD145)</f>
        <v>-170526.39499999999</v>
      </c>
      <c r="AE138" s="88">
        <f>AD138/AD139</f>
        <v>-18.947377222222222</v>
      </c>
      <c r="AF138" s="4">
        <f>SUM($T$145:AF145)</f>
        <v>-196950.60749999998</v>
      </c>
      <c r="AG138" s="88">
        <f>AF138/AF139</f>
        <v>-10.941700416666666</v>
      </c>
      <c r="AH138" s="4">
        <f>SUM($T$145:AH145)</f>
        <v>-222446.81999999998</v>
      </c>
      <c r="AI138" s="88">
        <f>AH138/AH139</f>
        <v>-9.0794620408163258</v>
      </c>
      <c r="AJ138" s="4">
        <f>SUM($T$145:AJ145)</f>
        <v>-255580.11583333332</v>
      </c>
      <c r="AK138" s="88">
        <f>AJ138/AJ139</f>
        <v>-8.244519865591398</v>
      </c>
      <c r="AL138" s="4">
        <f>SUM($T$145:AL145)</f>
        <v>-281508.41166666662</v>
      </c>
      <c r="AM138" s="88">
        <f>AL138/AL139</f>
        <v>-7.5068909777777764</v>
      </c>
      <c r="AN138" s="4">
        <f>SUM($T$145:AN145)</f>
        <v>-313187.75416666665</v>
      </c>
      <c r="AO138" s="88">
        <f>AN138/AN139</f>
        <v>-7.1179035037878782</v>
      </c>
      <c r="AP138" s="4">
        <f>SUM($T$145:AP145)</f>
        <v>-334039.48666666663</v>
      </c>
      <c r="AQ138" s="88">
        <f>AP138/AP139</f>
        <v>-5.6654311607107521</v>
      </c>
      <c r="AR138" s="4">
        <f>SUM($T$145:AR145)</f>
        <v>-365948.59916666662</v>
      </c>
      <c r="AS138" s="88">
        <f>AR138/AR139</f>
        <v>-5.8123060174817205</v>
      </c>
      <c r="AT138" s="121">
        <f>SUM($T$145:AT145)</f>
        <v>-401876.1283333333</v>
      </c>
      <c r="AU138" s="88">
        <f>AT138/AT139</f>
        <v>-6.2029407966495844</v>
      </c>
      <c r="AV138" s="4">
        <f>SUM($T$145:AV145)</f>
        <v>-433813.68166666664</v>
      </c>
      <c r="AW138" s="88">
        <f>AV138/AV139</f>
        <v>-6.2502511499734421</v>
      </c>
      <c r="AX138" s="4">
        <f>SUM($T$145:AX145)</f>
        <v>-474223.53314049583</v>
      </c>
      <c r="AY138" s="88">
        <f>AX138/AX139</f>
        <v>-6.6879272564005428</v>
      </c>
      <c r="AZ138" s="4">
        <f>SUM($T$145:AZ145)</f>
        <v>-476600.18772382918</v>
      </c>
      <c r="BA138" s="88">
        <f>AZ138/AZ139</f>
        <v>-4.407969002943231</v>
      </c>
      <c r="BB138" s="4">
        <f>SUM($T$145:BB145)</f>
        <v>-509640.37897382915</v>
      </c>
      <c r="BC138" s="88">
        <f>BB138/BB139</f>
        <v>-4.5980903465240903</v>
      </c>
      <c r="BD138" s="4">
        <f>SUM($T$145:BD145)</f>
        <v>-552870.21522382915</v>
      </c>
      <c r="BE138" s="88">
        <f>BD138/BD139</f>
        <v>-4.9684319544614874</v>
      </c>
      <c r="BF138" s="4">
        <f>SUM($T$145:BF145)</f>
        <v>-594582.35147382913</v>
      </c>
      <c r="BG138" s="88">
        <f>BF138/BF139</f>
        <v>-5.2085711086003474</v>
      </c>
      <c r="BH138" s="4">
        <f>SUM($T$145:BH145)</f>
        <v>-641209.1652238291</v>
      </c>
      <c r="BI138" s="88">
        <f>BH138/BH139</f>
        <v>-5.6170243268675035</v>
      </c>
      <c r="BJ138" s="4">
        <f>SUM($T$145:BJ145)</f>
        <v>-688911.97897382907</v>
      </c>
      <c r="BK138" s="88">
        <f>BJ138/BJ139</f>
        <v>-6.034903358899502</v>
      </c>
      <c r="BL138" s="4">
        <f>SUM($T$145:BL145)</f>
        <v>-738757.29272382904</v>
      </c>
      <c r="BM138" s="88">
        <f>BL138/BL139</f>
        <v>-6.4715507979864944</v>
      </c>
      <c r="BN138" s="4">
        <f>SUM($T$145:BN145)</f>
        <v>-789102.60647382902</v>
      </c>
      <c r="BO138" s="88">
        <f>BN138/BN139</f>
        <v>-6.9125782620571492</v>
      </c>
      <c r="BP138" s="4">
        <f>SUM($T$145:BP145)</f>
        <v>-839447.92022382899</v>
      </c>
      <c r="BQ138" s="88">
        <f>BP138/BP139</f>
        <v>-7.3536057261278041</v>
      </c>
      <c r="BR138" s="4">
        <f>SUM($T$145:BR145)</f>
        <v>-889793.23397382896</v>
      </c>
      <c r="BS138" s="88">
        <f>BR138/BR139</f>
        <v>-7.7946331901984589</v>
      </c>
    </row>
    <row r="139" spans="1:72" outlineLevel="1" x14ac:dyDescent="0.25">
      <c r="C139" s="4" t="s">
        <v>170</v>
      </c>
      <c r="G139" s="4"/>
      <c r="T139" s="4">
        <f>SUM($T$190:T190)</f>
        <v>0</v>
      </c>
      <c r="V139" s="4">
        <f>SUM($T$190:V190)</f>
        <v>0</v>
      </c>
      <c r="X139" s="4">
        <f>SUM($T$190:X190)</f>
        <v>0</v>
      </c>
      <c r="Z139" s="4">
        <f>SUM($T$190:Z190)</f>
        <v>0</v>
      </c>
      <c r="AB139" s="4">
        <f>SUM($T$190:AB190)</f>
        <v>0</v>
      </c>
      <c r="AD139" s="4">
        <f>SUM($T$190:AD190)</f>
        <v>9000</v>
      </c>
      <c r="AF139" s="4">
        <f>SUM($T$190:AF190)</f>
        <v>18000</v>
      </c>
      <c r="AH139" s="4">
        <f>SUM($T$190:AH190)</f>
        <v>24500</v>
      </c>
      <c r="AJ139" s="4">
        <f>SUM($T$190:AJ190)</f>
        <v>31000</v>
      </c>
      <c r="AL139" s="4">
        <f>SUM($T$190:AL190)</f>
        <v>37500</v>
      </c>
      <c r="AN139" s="4">
        <f>SUM($T$190:AN190)</f>
        <v>44000</v>
      </c>
      <c r="AP139" s="4">
        <f>SUM($T$190:AP190)</f>
        <v>58961</v>
      </c>
      <c r="AR139" s="4">
        <f>SUM($T$190:AR190)</f>
        <v>62961</v>
      </c>
      <c r="AT139" s="121">
        <f>SUM($T$190:AT190)</f>
        <v>64788</v>
      </c>
      <c r="AV139" s="4">
        <f>SUM($T$190:AV190)</f>
        <v>69407.399999999994</v>
      </c>
      <c r="AX139" s="4">
        <f>SUM($T$190:AX190)</f>
        <v>70907.399999999994</v>
      </c>
      <c r="AZ139" s="4">
        <f>SUM($T$190:AZ190)</f>
        <v>108122.4</v>
      </c>
      <c r="BB139" s="4">
        <f>SUM($T$190:BB190)</f>
        <v>110837.4</v>
      </c>
      <c r="BC139" s="18"/>
      <c r="BD139" s="4">
        <f>SUM($T$190:BD190)</f>
        <v>111276.59999999999</v>
      </c>
      <c r="BF139" s="4">
        <f>SUM($T$190:BF190)</f>
        <v>114154.59999999999</v>
      </c>
      <c r="BH139" s="4">
        <f>SUM($T$190:BH190)</f>
        <v>114154.59999999999</v>
      </c>
      <c r="BJ139" s="4">
        <f>SUM($T$190:BJ190)</f>
        <v>114154.59999999999</v>
      </c>
      <c r="BL139" s="4">
        <f>SUM($T$190:BL190)</f>
        <v>114154.59999999999</v>
      </c>
      <c r="BN139" s="4">
        <f>SUM($T$190:BN190)</f>
        <v>114154.59999999999</v>
      </c>
      <c r="BP139" s="4">
        <f>SUM($T$190:BP190)</f>
        <v>114154.59999999999</v>
      </c>
      <c r="BR139" s="4">
        <f>SUM($T$190:BR190)</f>
        <v>114154.59999999999</v>
      </c>
    </row>
    <row r="140" spans="1:72" s="82" customFormat="1" outlineLevel="1" x14ac:dyDescent="0.25">
      <c r="D140" s="17" t="s">
        <v>171</v>
      </c>
      <c r="G140" s="17"/>
      <c r="S140" s="16"/>
      <c r="T140" s="83" t="e">
        <f>T176/T181</f>
        <v>#DIV/0!</v>
      </c>
      <c r="U140" s="18"/>
      <c r="V140" s="83" t="e">
        <f>V176/V181</f>
        <v>#DIV/0!</v>
      </c>
      <c r="W140" s="18"/>
      <c r="X140" s="83">
        <f>X176/X181</f>
        <v>0</v>
      </c>
      <c r="Y140" s="18"/>
      <c r="Z140" s="83">
        <f>Z176/Z181</f>
        <v>0</v>
      </c>
      <c r="AA140" s="18"/>
      <c r="AB140" s="83">
        <f>AB176/AB181</f>
        <v>0</v>
      </c>
      <c r="AC140" s="18"/>
      <c r="AD140" s="83">
        <f>AD176/AD181</f>
        <v>0</v>
      </c>
      <c r="AE140" s="18"/>
      <c r="AF140" s="83">
        <f>AF176/AF181</f>
        <v>0</v>
      </c>
      <c r="AG140" s="18"/>
      <c r="AH140" s="83">
        <f>AH176/AH181</f>
        <v>0</v>
      </c>
      <c r="AI140" s="18"/>
      <c r="AJ140" s="83">
        <f>AJ176/AJ181</f>
        <v>0</v>
      </c>
      <c r="AK140" s="18"/>
      <c r="AL140" s="83">
        <f>AL176/AL181</f>
        <v>0</v>
      </c>
      <c r="AM140" s="18"/>
      <c r="AN140" s="83">
        <f>AN176/AN181</f>
        <v>0</v>
      </c>
      <c r="AO140" s="18"/>
      <c r="AP140" s="83">
        <f>AP176/AP181</f>
        <v>0</v>
      </c>
      <c r="AQ140" s="18"/>
      <c r="AR140" s="83" t="e">
        <f>AR176/AR181</f>
        <v>#DIV/0!</v>
      </c>
      <c r="AS140" s="18"/>
      <c r="AT140" s="132" t="e">
        <f>AT176/AT181</f>
        <v>#DIV/0!</v>
      </c>
      <c r="AU140" s="18"/>
      <c r="AV140" s="83">
        <f>AV176/AV181</f>
        <v>0</v>
      </c>
      <c r="AW140" s="18"/>
      <c r="AX140" s="83">
        <f>AX176/AX181</f>
        <v>0</v>
      </c>
      <c r="AY140" s="18"/>
      <c r="AZ140" s="83">
        <f>AZ176/AZ181</f>
        <v>0</v>
      </c>
      <c r="BA140" s="18"/>
      <c r="BB140" s="83">
        <f>BB176/BB181</f>
        <v>4.7619999999999996</v>
      </c>
      <c r="BC140" s="18"/>
      <c r="BD140" s="83">
        <f>BD176/BD181</f>
        <v>0</v>
      </c>
      <c r="BE140" s="18"/>
      <c r="BF140" s="83">
        <f>BF176/BF181</f>
        <v>0</v>
      </c>
      <c r="BG140" s="18"/>
      <c r="BH140" s="83">
        <f>BH176/BH181</f>
        <v>0</v>
      </c>
      <c r="BI140" s="18"/>
      <c r="BJ140" s="83">
        <f>BJ176/BJ181</f>
        <v>0</v>
      </c>
      <c r="BK140" s="18"/>
      <c r="BL140" s="83">
        <f>BL176/BL181</f>
        <v>0</v>
      </c>
      <c r="BM140" s="18"/>
      <c r="BN140" s="83" t="e">
        <f>BN176/BN181</f>
        <v>#DIV/0!</v>
      </c>
      <c r="BO140" s="18"/>
      <c r="BP140" s="83" t="e">
        <f>BP176/BP181</f>
        <v>#DIV/0!</v>
      </c>
      <c r="BQ140" s="18"/>
      <c r="BR140" s="83" t="e">
        <f>BR176/BR181</f>
        <v>#DIV/0!</v>
      </c>
      <c r="BS140" s="18"/>
    </row>
    <row r="141" spans="1:72" s="82" customFormat="1" x14ac:dyDescent="0.25">
      <c r="D141" s="17"/>
      <c r="G141" s="17"/>
      <c r="S141" s="16"/>
      <c r="U141" s="18"/>
      <c r="W141" s="18"/>
      <c r="Y141" s="18"/>
      <c r="AA141" s="18"/>
      <c r="AB141" s="83"/>
      <c r="AC141" s="18"/>
      <c r="AD141" s="83"/>
      <c r="AE141" s="18"/>
      <c r="AF141" s="83"/>
      <c r="AG141" s="18"/>
      <c r="AH141" s="83"/>
      <c r="AI141" s="18"/>
      <c r="AJ141" s="83"/>
      <c r="AK141" s="18"/>
      <c r="AL141" s="83"/>
      <c r="AM141" s="18"/>
      <c r="AN141" s="83"/>
      <c r="AO141" s="18"/>
      <c r="AP141" s="83"/>
      <c r="AQ141" s="18"/>
      <c r="AR141" s="83"/>
      <c r="AS141" s="18"/>
      <c r="AT141" s="132"/>
      <c r="AU141" s="18"/>
      <c r="AV141" s="83"/>
      <c r="AW141" s="18"/>
      <c r="AX141" s="83"/>
      <c r="AY141" s="18"/>
      <c r="AZ141" s="83"/>
      <c r="BA141" s="18"/>
      <c r="BB141" s="83"/>
      <c r="BC141" s="18"/>
      <c r="BD141" s="83"/>
      <c r="BE141" s="18"/>
      <c r="BF141" s="83"/>
      <c r="BG141" s="18"/>
      <c r="BH141" s="83"/>
      <c r="BI141" s="18"/>
      <c r="BJ141" s="83"/>
      <c r="BK141" s="18"/>
      <c r="BL141" s="83"/>
      <c r="BM141" s="18"/>
      <c r="BN141" s="83"/>
      <c r="BO141" s="18"/>
      <c r="BP141" s="83"/>
      <c r="BQ141" s="18"/>
      <c r="BR141" s="83"/>
      <c r="BS141" s="18"/>
    </row>
    <row r="142" spans="1:72" x14ac:dyDescent="0.25">
      <c r="C142" s="5" t="s">
        <v>762</v>
      </c>
      <c r="D142" s="3"/>
      <c r="E142" s="3"/>
      <c r="F142" s="3"/>
      <c r="G142" s="54"/>
      <c r="H142" s="3"/>
      <c r="I142" s="3"/>
      <c r="J142" s="3"/>
      <c r="K142" s="3"/>
      <c r="L142" s="3"/>
      <c r="M142" s="3"/>
      <c r="N142" s="2"/>
      <c r="O142" s="3"/>
      <c r="P142" s="3"/>
      <c r="Q142" s="3"/>
      <c r="S142" s="7"/>
      <c r="T142" s="33">
        <f>T91</f>
        <v>45231</v>
      </c>
      <c r="U142" s="9"/>
      <c r="V142" s="33">
        <f>V91</f>
        <v>45261</v>
      </c>
      <c r="W142" s="9"/>
      <c r="X142" s="33">
        <f>X91</f>
        <v>45292</v>
      </c>
      <c r="Y142" s="9"/>
      <c r="Z142" s="33">
        <f>Z91</f>
        <v>45323</v>
      </c>
      <c r="AA142" s="9"/>
      <c r="AB142" s="33">
        <f>AB91</f>
        <v>45352</v>
      </c>
      <c r="AC142" s="9"/>
      <c r="AD142" s="33">
        <f>AD91</f>
        <v>45383</v>
      </c>
      <c r="AE142" s="9"/>
      <c r="AF142" s="33">
        <f>AF91</f>
        <v>45413</v>
      </c>
      <c r="AG142" s="9"/>
      <c r="AH142" s="33">
        <f>AH91</f>
        <v>45444</v>
      </c>
      <c r="AI142" s="9"/>
      <c r="AJ142" s="33">
        <f>AJ91</f>
        <v>45474</v>
      </c>
      <c r="AK142" s="9"/>
      <c r="AL142" s="33">
        <f>AL91</f>
        <v>45528</v>
      </c>
      <c r="AM142" s="9"/>
      <c r="AN142" s="51">
        <f>AN91</f>
        <v>45559</v>
      </c>
      <c r="AO142" s="9"/>
      <c r="AP142" s="51" t="str">
        <f>AP91</f>
        <v>Okt-24</v>
      </c>
      <c r="AQ142" s="9"/>
      <c r="AR142" s="51">
        <f>AR91</f>
        <v>45620</v>
      </c>
      <c r="AS142" s="9"/>
      <c r="AT142" s="122">
        <f>AT91</f>
        <v>45650</v>
      </c>
      <c r="AU142" s="9"/>
      <c r="AV142" s="51">
        <f>AV91</f>
        <v>45658</v>
      </c>
      <c r="AW142" s="9"/>
      <c r="AX142" s="51">
        <f>AX91</f>
        <v>45689</v>
      </c>
      <c r="AY142" s="9"/>
      <c r="AZ142" s="51">
        <f>AZ91</f>
        <v>45719</v>
      </c>
      <c r="BA142" s="9"/>
      <c r="BB142" s="51">
        <f>BB91</f>
        <v>45749</v>
      </c>
      <c r="BC142" s="9"/>
      <c r="BD142" s="51">
        <f>BD91</f>
        <v>45779</v>
      </c>
      <c r="BE142" s="9"/>
      <c r="BF142" s="51"/>
      <c r="BG142" s="9"/>
      <c r="BH142" s="51"/>
      <c r="BI142" s="9"/>
      <c r="BJ142" s="51"/>
      <c r="BK142" s="9"/>
      <c r="BL142" s="51"/>
      <c r="BM142" s="9"/>
      <c r="BN142" s="51"/>
      <c r="BO142" s="9"/>
      <c r="BP142" s="51"/>
      <c r="BQ142" s="9"/>
      <c r="BR142" s="51"/>
      <c r="BS142" s="9"/>
    </row>
    <row r="143" spans="1:72" s="14" customFormat="1" x14ac:dyDescent="0.25">
      <c r="C143" s="10" t="s">
        <v>763</v>
      </c>
      <c r="D143" s="10"/>
      <c r="E143" s="10"/>
      <c r="F143" s="10"/>
      <c r="G143" s="56"/>
      <c r="H143" s="10"/>
      <c r="I143" s="10"/>
      <c r="J143" s="10"/>
      <c r="K143" s="10"/>
      <c r="L143" s="10"/>
      <c r="M143" s="10"/>
      <c r="N143" s="11"/>
      <c r="O143" s="10"/>
      <c r="P143" s="10"/>
      <c r="Q143" s="10"/>
      <c r="R143" s="4"/>
      <c r="S143" s="12"/>
      <c r="T143" s="10">
        <f>T148-T198</f>
        <v>119489.02249999999</v>
      </c>
      <c r="U143" s="13"/>
      <c r="V143" s="10">
        <f>V148-V198</f>
        <v>29071.972500000003</v>
      </c>
      <c r="W143" s="13"/>
      <c r="X143" s="10">
        <f>X148-X198</f>
        <v>45535.305833333332</v>
      </c>
      <c r="Y143" s="13"/>
      <c r="Z143" s="10">
        <f>Z148-Z198</f>
        <v>-22993.194166666668</v>
      </c>
      <c r="AA143" s="13"/>
      <c r="AB143" s="10">
        <f>AB148-AB198</f>
        <v>48282.650833333319</v>
      </c>
      <c r="AC143" s="13"/>
      <c r="AD143" s="10">
        <f>AD148-AD198</f>
        <v>-15432.645833333328</v>
      </c>
      <c r="AE143" s="49"/>
      <c r="AF143" s="10">
        <f>AF148-AF198</f>
        <v>-30891.675833333327</v>
      </c>
      <c r="AG143" s="13"/>
      <c r="AH143" s="10">
        <f>AH148-AH198</f>
        <v>34902.654166666674</v>
      </c>
      <c r="AI143" s="13"/>
      <c r="AJ143" s="10">
        <f>AJ148-AJ198</f>
        <v>82693.754166666651</v>
      </c>
      <c r="AK143" s="13"/>
      <c r="AL143" s="10">
        <f>AL148-AL198</f>
        <v>-15191.425833333327</v>
      </c>
      <c r="AM143" s="13"/>
      <c r="AN143" s="10">
        <f>AN148-AN198</f>
        <v>61301.624166666676</v>
      </c>
      <c r="AO143" s="13"/>
      <c r="AP143" s="10">
        <f>AP148-AP198</f>
        <v>76595.817500000005</v>
      </c>
      <c r="AQ143" s="13"/>
      <c r="AR143" s="10">
        <f>AR148-AR198</f>
        <v>56887.337499999994</v>
      </c>
      <c r="AS143" s="13"/>
      <c r="AT143" s="124">
        <f>AT148-AT198</f>
        <v>55923.860451807253</v>
      </c>
      <c r="AU143" s="13"/>
      <c r="AV143" s="10">
        <f>AV148-AV198</f>
        <v>50865.680401606427</v>
      </c>
      <c r="AW143" s="13"/>
      <c r="AX143" s="10">
        <f>AX148-AX198</f>
        <v>26593.870385674934</v>
      </c>
      <c r="AY143" s="13"/>
      <c r="AZ143" s="10">
        <f>AZ148-AZ198</f>
        <v>142996.35029398586</v>
      </c>
      <c r="BA143" s="13"/>
      <c r="BB143" s="10">
        <f>BB148-BB198</f>
        <v>107034.47926470585</v>
      </c>
      <c r="BC143" s="13"/>
      <c r="BD143" s="10">
        <f>BD148-BD198</f>
        <v>75649.744264705892</v>
      </c>
      <c r="BE143" s="13"/>
      <c r="BF143" s="10">
        <f>BF148-BF198</f>
        <v>64563.674852941185</v>
      </c>
      <c r="BG143" s="13"/>
      <c r="BH143" s="10">
        <f>BH148-BH198</f>
        <v>73813.306666666671</v>
      </c>
      <c r="BI143" s="13"/>
      <c r="BJ143" s="10">
        <f>BJ148-BJ198</f>
        <v>-35893.093333333352</v>
      </c>
      <c r="BK143" s="13"/>
      <c r="BL143" s="10">
        <f>BL148-BL198</f>
        <v>216592.63333333333</v>
      </c>
      <c r="BM143" s="13"/>
      <c r="BN143" s="10">
        <f>BN148-BN198</f>
        <v>-8300.3666666666686</v>
      </c>
      <c r="BO143" s="13"/>
      <c r="BP143" s="10">
        <f>BP148-BP198</f>
        <v>-153702.3666666667</v>
      </c>
      <c r="BQ143" s="13"/>
      <c r="BR143" s="10">
        <f>BR148-BR198</f>
        <v>-191816.35666666666</v>
      </c>
      <c r="BS143" s="13"/>
    </row>
    <row r="144" spans="1:72" s="15" customFormat="1" x14ac:dyDescent="0.25">
      <c r="D144" s="62" t="s">
        <v>764</v>
      </c>
      <c r="G144" s="23"/>
      <c r="S144" s="119"/>
      <c r="T144" s="62">
        <f>T149-T199</f>
        <v>143497.57500000001</v>
      </c>
      <c r="U144" s="120"/>
      <c r="V144" s="62">
        <f>V149-V199</f>
        <v>56423.55</v>
      </c>
      <c r="W144" s="120"/>
      <c r="X144" s="62">
        <f>X149-X199</f>
        <v>83800.383333333331</v>
      </c>
      <c r="Y144" s="120"/>
      <c r="Z144" s="62">
        <f>Z149-Z199</f>
        <v>4126.6333333333314</v>
      </c>
      <c r="AA144" s="120"/>
      <c r="AB144" s="62">
        <f>AB149-AB199</f>
        <v>78609.798333333325</v>
      </c>
      <c r="AC144" s="120"/>
      <c r="AD144" s="62">
        <f>AD149-AD199</f>
        <v>8021.5666666666657</v>
      </c>
      <c r="AE144" s="120"/>
      <c r="AF144" s="62">
        <f>AF149-AF199</f>
        <v>-4467.4633333333259</v>
      </c>
      <c r="AG144" s="19"/>
      <c r="AH144" s="62">
        <f>AH149-AH199</f>
        <v>60398.866666666654</v>
      </c>
      <c r="AI144" s="120"/>
      <c r="AJ144" s="62">
        <f>AJ149-AJ199</f>
        <v>115827.04999999999</v>
      </c>
      <c r="AK144" s="120"/>
      <c r="AL144" s="62">
        <f>AL149-AL199</f>
        <v>10736.870000000003</v>
      </c>
      <c r="AM144" s="120"/>
      <c r="AN144" s="62">
        <f>AN149-AN199</f>
        <v>92980.966666666674</v>
      </c>
      <c r="AO144" s="120"/>
      <c r="AP144" s="62">
        <f>AP149-AP199</f>
        <v>97447.549999999988</v>
      </c>
      <c r="AQ144" s="120"/>
      <c r="AR144" s="62">
        <f>AR149-AR199</f>
        <v>88796.45</v>
      </c>
      <c r="AS144" s="120"/>
      <c r="AT144" s="133">
        <f>AT149-AT199</f>
        <v>91851.389618473913</v>
      </c>
      <c r="AU144" s="120"/>
      <c r="AV144" s="62">
        <f>AV149-AV199</f>
        <v>82803.233734939771</v>
      </c>
      <c r="AW144" s="120"/>
      <c r="AX144" s="62">
        <f>AX149-AX199</f>
        <v>67003.721859504134</v>
      </c>
      <c r="AY144" s="120"/>
      <c r="AZ144" s="62">
        <f>AZ149-AZ199</f>
        <v>145373.00487731921</v>
      </c>
      <c r="BA144" s="120"/>
      <c r="BB144" s="62">
        <f>BB149-BB199</f>
        <v>140074.67051470585</v>
      </c>
      <c r="BC144" s="120"/>
      <c r="BD144" s="62">
        <f>BD149-BD199</f>
        <v>118879.58051470589</v>
      </c>
      <c r="BE144" s="120"/>
      <c r="BF144" s="62">
        <f>BF149-BF199</f>
        <v>106275.8111029412</v>
      </c>
      <c r="BG144" s="120"/>
      <c r="BH144" s="62">
        <f>BH149-BH199</f>
        <v>120440.12041666667</v>
      </c>
      <c r="BI144" s="120"/>
      <c r="BJ144" s="62">
        <f>BJ149-BJ199</f>
        <v>11809.720416666649</v>
      </c>
      <c r="BK144" s="120"/>
      <c r="BL144" s="62">
        <f>BL149-BL199</f>
        <v>266437.94708333333</v>
      </c>
      <c r="BM144" s="120"/>
      <c r="BN144" s="62">
        <f>BN149-BN199</f>
        <v>42044.947083333333</v>
      </c>
      <c r="BO144" s="120"/>
      <c r="BP144" s="62">
        <f>BP149-BP199</f>
        <v>-103357.05291666668</v>
      </c>
      <c r="BQ144" s="120"/>
      <c r="BR144" s="62">
        <f>BR149-BR199</f>
        <v>-141471.04291666666</v>
      </c>
      <c r="BS144" s="120"/>
    </row>
    <row r="145" spans="3:71" x14ac:dyDescent="0.25">
      <c r="D145" s="62" t="s">
        <v>765</v>
      </c>
      <c r="N145" s="4"/>
      <c r="S145" s="31"/>
      <c r="T145" s="62">
        <f>T190-T206</f>
        <v>-24008.552500000002</v>
      </c>
      <c r="U145" s="52"/>
      <c r="V145" s="62">
        <f>V190-V206</f>
        <v>-27351.577499999999</v>
      </c>
      <c r="W145" s="52"/>
      <c r="X145" s="62">
        <f>X190-X206</f>
        <v>-38265.077499999999</v>
      </c>
      <c r="Y145" s="52"/>
      <c r="Z145" s="62">
        <f>Z190-Z206</f>
        <v>-27119.827499999999</v>
      </c>
      <c r="AA145" s="52"/>
      <c r="AB145" s="62">
        <f>AB190-AB206</f>
        <v>-30327.147499999999</v>
      </c>
      <c r="AC145" s="52"/>
      <c r="AD145" s="62">
        <f>AD190-AD206</f>
        <v>-23454.212500000001</v>
      </c>
      <c r="AE145" s="52"/>
      <c r="AF145" s="62">
        <f>AF190-AF206</f>
        <v>-26424.212500000001</v>
      </c>
      <c r="AG145" s="14"/>
      <c r="AH145" s="62">
        <f>AH190-AH206</f>
        <v>-25496.212500000001</v>
      </c>
      <c r="AI145" s="52"/>
      <c r="AJ145" s="62">
        <f>AJ190-AJ206</f>
        <v>-33133.29583333333</v>
      </c>
      <c r="AK145" s="52"/>
      <c r="AL145" s="62">
        <f>AL190-AL206</f>
        <v>-25928.29583333333</v>
      </c>
      <c r="AM145" s="52"/>
      <c r="AN145" s="62">
        <f>AN190-AN206</f>
        <v>-31679.342499999999</v>
      </c>
      <c r="AO145" s="52"/>
      <c r="AP145" s="62">
        <f>AP190-AP206</f>
        <v>-20851.732499999998</v>
      </c>
      <c r="AQ145" s="52"/>
      <c r="AR145" s="62">
        <f>AR190-AR206</f>
        <v>-31909.112500000003</v>
      </c>
      <c r="AS145" s="52"/>
      <c r="AT145" s="133">
        <f>AT190-AT206</f>
        <v>-35927.52916666666</v>
      </c>
      <c r="AU145" s="52"/>
      <c r="AV145" s="62">
        <f>AV190-AV206</f>
        <v>-31937.553333333337</v>
      </c>
      <c r="AW145" s="52"/>
      <c r="AX145" s="62">
        <f>AX190-AX206</f>
        <v>-40409.851473829207</v>
      </c>
      <c r="AY145" s="52"/>
      <c r="AZ145" s="62">
        <f>AZ190-AZ206</f>
        <v>-2376.6545833333366</v>
      </c>
      <c r="BA145" s="52"/>
      <c r="BB145" s="62">
        <f>BB190-BB206</f>
        <v>-33040.191249999996</v>
      </c>
      <c r="BD145" s="62">
        <f>BD190-BD206</f>
        <v>-43229.83625</v>
      </c>
      <c r="BE145" s="52"/>
      <c r="BF145" s="62">
        <f>BF190-BF206</f>
        <v>-41712.136249999996</v>
      </c>
      <c r="BG145" s="52"/>
      <c r="BH145" s="62">
        <f>BH190-BH206</f>
        <v>-46626.813749999994</v>
      </c>
      <c r="BI145" s="52"/>
      <c r="BJ145" s="62">
        <f>BJ190-BJ206</f>
        <v>-47702.813749999994</v>
      </c>
      <c r="BK145" s="52"/>
      <c r="BL145" s="62">
        <f>BL190-BL206</f>
        <v>-49845.313750000001</v>
      </c>
      <c r="BM145" s="52"/>
      <c r="BN145" s="62">
        <f>BN190-BN206</f>
        <v>-50345.313750000001</v>
      </c>
      <c r="BO145" s="52"/>
      <c r="BP145" s="62">
        <f>BP190-BP206</f>
        <v>-50345.313750000001</v>
      </c>
      <c r="BQ145" s="52"/>
      <c r="BR145" s="62">
        <f>BR190-BR206</f>
        <v>-50345.313750000001</v>
      </c>
      <c r="BS145" s="52"/>
    </row>
    <row r="146" spans="3:71" x14ac:dyDescent="0.25">
      <c r="D146" s="62"/>
      <c r="N146" s="4"/>
      <c r="S146" s="31"/>
      <c r="T146" s="62"/>
      <c r="U146" s="52"/>
      <c r="V146" s="62"/>
      <c r="W146" s="52"/>
      <c r="X146" s="62"/>
      <c r="Y146" s="52"/>
      <c r="Z146" s="62"/>
      <c r="AA146" s="52"/>
      <c r="AB146" s="62"/>
      <c r="AC146" s="52"/>
      <c r="AD146" s="62"/>
      <c r="AE146" s="52"/>
      <c r="AF146" s="62"/>
      <c r="AG146" s="14"/>
      <c r="AH146" s="62"/>
      <c r="AI146" s="52"/>
      <c r="AJ146" s="62"/>
      <c r="AK146" s="52"/>
      <c r="AL146" s="62"/>
      <c r="AM146" s="52"/>
      <c r="AN146" s="62"/>
      <c r="AO146" s="52"/>
      <c r="AP146" s="62"/>
      <c r="AQ146" s="52"/>
      <c r="AR146" s="62"/>
      <c r="AS146" s="52"/>
      <c r="AT146" s="133"/>
      <c r="AU146" s="52"/>
      <c r="AV146" s="62"/>
      <c r="AW146" s="52"/>
      <c r="AX146" s="62"/>
      <c r="AY146" s="52"/>
      <c r="AZ146" s="62"/>
      <c r="BA146" s="52"/>
      <c r="BB146" s="62"/>
      <c r="BD146" s="62"/>
      <c r="BE146" s="52"/>
      <c r="BF146" s="62"/>
      <c r="BG146" s="52"/>
      <c r="BH146" s="62"/>
      <c r="BI146" s="52"/>
      <c r="BJ146" s="62"/>
      <c r="BK146" s="52"/>
      <c r="BL146" s="62"/>
      <c r="BM146" s="52"/>
      <c r="BN146" s="62"/>
      <c r="BO146" s="52"/>
      <c r="BP146" s="62"/>
      <c r="BQ146" s="52"/>
      <c r="BR146" s="62"/>
      <c r="BS146" s="52"/>
    </row>
    <row r="147" spans="3:71" x14ac:dyDescent="0.25">
      <c r="C147" s="5" t="s">
        <v>172</v>
      </c>
      <c r="D147" s="6"/>
      <c r="E147" s="3"/>
      <c r="F147" s="3"/>
      <c r="G147" s="54"/>
      <c r="H147" s="3"/>
      <c r="I147" s="3"/>
      <c r="J147" s="3"/>
      <c r="K147" s="3"/>
      <c r="L147" s="3"/>
      <c r="M147" s="3"/>
      <c r="N147" s="2"/>
      <c r="O147" s="3"/>
      <c r="P147" s="3"/>
      <c r="Q147" s="3"/>
      <c r="S147" s="7"/>
      <c r="T147" s="33">
        <v>45231</v>
      </c>
      <c r="U147" s="9"/>
      <c r="V147" s="33">
        <v>45261</v>
      </c>
      <c r="W147" s="9"/>
      <c r="X147" s="33">
        <v>45292</v>
      </c>
      <c r="Y147" s="9"/>
      <c r="Z147" s="33">
        <v>45323</v>
      </c>
      <c r="AA147" s="9"/>
      <c r="AB147" s="33">
        <v>45352</v>
      </c>
      <c r="AC147" s="9" t="s">
        <v>173</v>
      </c>
      <c r="AD147" s="33">
        <v>45383</v>
      </c>
      <c r="AE147" s="9"/>
      <c r="AF147" s="33">
        <v>45413</v>
      </c>
      <c r="AG147" s="9"/>
      <c r="AH147" s="33">
        <v>45444</v>
      </c>
      <c r="AI147" s="9"/>
      <c r="AJ147" s="33">
        <v>45474</v>
      </c>
      <c r="AK147" s="9"/>
      <c r="AL147" s="33">
        <v>45528</v>
      </c>
      <c r="AM147" s="9"/>
      <c r="AN147" s="51">
        <f>AN$2</f>
        <v>45559</v>
      </c>
      <c r="AO147" s="9"/>
      <c r="AP147" s="51" t="str">
        <f>AP$2</f>
        <v>Okt-24</v>
      </c>
      <c r="AQ147" s="9"/>
      <c r="AR147" s="51">
        <f>AR$2</f>
        <v>45620</v>
      </c>
      <c r="AS147" s="9"/>
      <c r="AT147" s="122">
        <f>AT$2</f>
        <v>45650</v>
      </c>
      <c r="AU147" s="9"/>
      <c r="AV147" s="51">
        <f>AV$2</f>
        <v>45658</v>
      </c>
      <c r="AW147" s="9"/>
      <c r="AX147" s="51">
        <f>AX$2</f>
        <v>45689</v>
      </c>
      <c r="AY147" s="9"/>
      <c r="AZ147" s="51">
        <f>AZ$2</f>
        <v>45719</v>
      </c>
      <c r="BA147" s="9"/>
      <c r="BB147" s="51">
        <f>BB$2</f>
        <v>45749</v>
      </c>
      <c r="BC147" s="9"/>
      <c r="BD147" s="51">
        <f>BD$2</f>
        <v>45779</v>
      </c>
      <c r="BE147" s="9"/>
      <c r="BF147" s="51">
        <f>BF$2</f>
        <v>45809</v>
      </c>
      <c r="BG147" s="9"/>
      <c r="BH147" s="51">
        <f>BH$2</f>
        <v>45839</v>
      </c>
      <c r="BI147" s="9"/>
      <c r="BJ147" s="51">
        <f>BJ$2</f>
        <v>45870</v>
      </c>
      <c r="BK147" s="9"/>
      <c r="BL147" s="51">
        <f>BL$2</f>
        <v>45901</v>
      </c>
      <c r="BM147" s="9"/>
      <c r="BN147" s="51">
        <f>BN$2</f>
        <v>45932</v>
      </c>
      <c r="BO147" s="9"/>
      <c r="BP147" s="51">
        <f>BP$2</f>
        <v>45963</v>
      </c>
      <c r="BQ147" s="9"/>
      <c r="BR147" s="51">
        <f>BR$2</f>
        <v>45994</v>
      </c>
      <c r="BS147" s="9"/>
    </row>
    <row r="148" spans="3:71" s="14" customFormat="1" x14ac:dyDescent="0.25">
      <c r="C148" s="10" t="s">
        <v>174</v>
      </c>
      <c r="D148" s="10"/>
      <c r="E148" s="10"/>
      <c r="F148" s="10"/>
      <c r="G148" s="56"/>
      <c r="H148" s="10"/>
      <c r="I148" s="10"/>
      <c r="J148" s="10"/>
      <c r="K148" s="10"/>
      <c r="L148" s="10"/>
      <c r="M148" s="10"/>
      <c r="N148" s="11"/>
      <c r="O148" s="10"/>
      <c r="P148" s="10"/>
      <c r="Q148" s="10"/>
      <c r="R148" s="4"/>
      <c r="S148" s="12"/>
      <c r="T148" s="10">
        <f>T149+T190</f>
        <v>172170</v>
      </c>
      <c r="U148" s="13"/>
      <c r="V148" s="10">
        <f>V149+V190</f>
        <v>64980</v>
      </c>
      <c r="W148" s="13"/>
      <c r="X148" s="10">
        <f>X149+X190</f>
        <v>113500</v>
      </c>
      <c r="Y148" s="13"/>
      <c r="Z148" s="10">
        <f>Z149+Z190</f>
        <v>32500</v>
      </c>
      <c r="AA148" s="13"/>
      <c r="AB148" s="10">
        <f>AB149+AB190</f>
        <v>125832</v>
      </c>
      <c r="AC148" s="13"/>
      <c r="AD148" s="10">
        <f>AD149+AD190</f>
        <v>97166.666666666672</v>
      </c>
      <c r="AE148" s="49"/>
      <c r="AF148" s="10">
        <f>AF149+AF190</f>
        <v>47816.666666666672</v>
      </c>
      <c r="AG148" s="13"/>
      <c r="AH148" s="10">
        <f>AH149+AH190</f>
        <v>136922.91666666669</v>
      </c>
      <c r="AI148" s="13"/>
      <c r="AJ148" s="10">
        <f>AJ149+AJ190</f>
        <v>205138</v>
      </c>
      <c r="AK148" s="13"/>
      <c r="AL148" s="10">
        <f>AL149+AL190</f>
        <v>51875</v>
      </c>
      <c r="AM148" s="13"/>
      <c r="AN148" s="10">
        <f>AN149+AN190</f>
        <v>149553</v>
      </c>
      <c r="AO148" s="13"/>
      <c r="AP148" s="10">
        <f>AP149+AP190</f>
        <v>166750</v>
      </c>
      <c r="AQ148" s="13"/>
      <c r="AR148" s="10">
        <f>AR149+AR190</f>
        <v>153811</v>
      </c>
      <c r="AS148" s="13"/>
      <c r="AT148" s="124">
        <f>AT149+AT190</f>
        <v>165806.66666666669</v>
      </c>
      <c r="AU148" s="13"/>
      <c r="AV148" s="10">
        <f>AV149+AV190</f>
        <v>188714.66104417673</v>
      </c>
      <c r="AW148" s="13"/>
      <c r="AX148" s="10">
        <f>AX149+AX190</f>
        <v>143141.33333333334</v>
      </c>
      <c r="AY148" s="13"/>
      <c r="AZ148" s="10">
        <f>AZ149+AZ190</f>
        <v>317100.93219157623</v>
      </c>
      <c r="BA148" s="13"/>
      <c r="BB148" s="10">
        <f>BB149+BB190</f>
        <v>320803.07843137253</v>
      </c>
      <c r="BC148" s="13"/>
      <c r="BD148" s="10">
        <f>BD149+BD190</f>
        <v>276307.61176470591</v>
      </c>
      <c r="BE148" s="13"/>
      <c r="BF148" s="10">
        <f>BF149+BF190</f>
        <v>268533.8823529412</v>
      </c>
      <c r="BG148" s="13"/>
      <c r="BH148" s="10">
        <f>BH149+BH190</f>
        <v>288348</v>
      </c>
      <c r="BI148" s="13"/>
      <c r="BJ148" s="10">
        <f>BJ149+BJ190</f>
        <v>146000</v>
      </c>
      <c r="BK148" s="13"/>
      <c r="BL148" s="10">
        <f>BL149+BL190</f>
        <v>430500</v>
      </c>
      <c r="BM148" s="13"/>
      <c r="BN148" s="10">
        <f>BN149+BN190</f>
        <v>191877</v>
      </c>
      <c r="BO148" s="13"/>
      <c r="BP148" s="10">
        <f>BP149+BP190</f>
        <v>20000</v>
      </c>
      <c r="BQ148" s="13"/>
      <c r="BR148" s="10">
        <f>BR149+BR190</f>
        <v>0</v>
      </c>
      <c r="BS148" s="13"/>
    </row>
    <row r="149" spans="3:71" x14ac:dyDescent="0.25">
      <c r="C149" s="14"/>
      <c r="D149" s="14" t="s">
        <v>175</v>
      </c>
      <c r="T149" s="14">
        <f>T150+T170+T177</f>
        <v>172170</v>
      </c>
      <c r="V149" s="14">
        <f>V150+V170+V177</f>
        <v>64980</v>
      </c>
      <c r="X149" s="14">
        <f>X150+X170+X177</f>
        <v>113500</v>
      </c>
      <c r="Z149" s="14">
        <f>Z150+Z170+Z177</f>
        <v>32500</v>
      </c>
      <c r="AB149" s="14">
        <f>AB150+AB170+AB177</f>
        <v>125832</v>
      </c>
      <c r="AD149" s="14">
        <f>AD150+AD170+AD177</f>
        <v>88166.666666666672</v>
      </c>
      <c r="AF149" s="14">
        <f>AF150+AF170+AF177</f>
        <v>38816.666666666672</v>
      </c>
      <c r="AH149" s="14">
        <f>AH150+AH170+AH177</f>
        <v>130422.91666666667</v>
      </c>
      <c r="AJ149" s="14">
        <f>AJ150+AJ170+AJ177</f>
        <v>198638</v>
      </c>
      <c r="AL149" s="14">
        <f>AL150+AL170+AL177</f>
        <v>45375</v>
      </c>
      <c r="AN149" s="14">
        <f>AN150+AN170+AN177</f>
        <v>143053</v>
      </c>
      <c r="AP149" s="14">
        <f>AP150+AP170+AP177</f>
        <v>151789</v>
      </c>
      <c r="AR149" s="14">
        <f>AR150+AR170+AR177</f>
        <v>149811</v>
      </c>
      <c r="AT149" s="125">
        <f>AT150+AT170+AT177</f>
        <v>163979.66666666669</v>
      </c>
      <c r="AV149" s="14">
        <f>AV150+AV170+AV177</f>
        <v>184095.26104417673</v>
      </c>
      <c r="AX149" s="14">
        <f>AX150+AX170+AX177</f>
        <v>141641.33333333334</v>
      </c>
      <c r="AZ149" s="14">
        <f>AZ150+AZ170+AZ177</f>
        <v>279885.93219157623</v>
      </c>
      <c r="BB149" s="14">
        <f>BB150+BB170+BB177</f>
        <v>318088.07843137253</v>
      </c>
      <c r="BC149" s="18"/>
      <c r="BD149" s="14">
        <f>BD150+BD170+BD177</f>
        <v>275868.4117647059</v>
      </c>
      <c r="BF149" s="14">
        <f>BF150+BF170+BF177</f>
        <v>265655.8823529412</v>
      </c>
      <c r="BH149" s="14">
        <f>BH150+BH170+BH177</f>
        <v>288348</v>
      </c>
      <c r="BJ149" s="14">
        <f>BJ150+BJ170+BJ177</f>
        <v>146000</v>
      </c>
      <c r="BL149" s="14">
        <f>BL150+BL170+BL177</f>
        <v>430500</v>
      </c>
      <c r="BN149" s="14">
        <f>BN150+BN170+BN177</f>
        <v>191877</v>
      </c>
      <c r="BP149" s="14">
        <f>BP150+BP170+BP177</f>
        <v>20000</v>
      </c>
      <c r="BR149" s="14">
        <f>BR150+BR170+BR177</f>
        <v>0</v>
      </c>
    </row>
    <row r="150" spans="3:71" s="14" customFormat="1" x14ac:dyDescent="0.25">
      <c r="E150" s="14" t="s">
        <v>176</v>
      </c>
      <c r="G150" s="21"/>
      <c r="N150" s="19"/>
      <c r="R150" s="4"/>
      <c r="S150" s="20"/>
      <c r="T150" s="21">
        <f>SUM(T151:T159)</f>
        <v>42500</v>
      </c>
      <c r="U150" s="18"/>
      <c r="V150" s="21">
        <f>SUM(V151:V159)</f>
        <v>12000</v>
      </c>
      <c r="W150" s="22"/>
      <c r="X150" s="21">
        <f>SUM(X151:X159)</f>
        <v>17500</v>
      </c>
      <c r="Y150" s="22"/>
      <c r="Z150" s="21">
        <f>SUM(Z151:Z159)</f>
        <v>17250</v>
      </c>
      <c r="AA150" s="22"/>
      <c r="AB150" s="21">
        <f>SUM(AB151:AB159)</f>
        <v>39000</v>
      </c>
      <c r="AC150" s="22"/>
      <c r="AD150" s="21">
        <f>SUM(AD151:AD159)</f>
        <v>20500</v>
      </c>
      <c r="AE150" s="18"/>
      <c r="AF150" s="21">
        <f>SUM(AF151:AF159)</f>
        <v>16750</v>
      </c>
      <c r="AG150" s="22"/>
      <c r="AH150" s="21">
        <f>SUM(AH151:AH159)</f>
        <v>63975</v>
      </c>
      <c r="AI150" s="22"/>
      <c r="AJ150" s="21">
        <f>SUM(AJ151:AJ159)</f>
        <v>26050</v>
      </c>
      <c r="AK150" s="22"/>
      <c r="AL150" s="21">
        <f>SUM(AL151:AL159)</f>
        <v>0</v>
      </c>
      <c r="AM150" s="22"/>
      <c r="AN150" s="21">
        <f>SUM(AN151:AN169)</f>
        <v>30928</v>
      </c>
      <c r="AO150" s="22"/>
      <c r="AP150" s="21">
        <f>SUM(AP151:AP169)</f>
        <v>79102.333333333343</v>
      </c>
      <c r="AQ150" s="22"/>
      <c r="AR150" s="21">
        <f>SUM(AR151:AR169)</f>
        <v>91486</v>
      </c>
      <c r="AS150" s="22"/>
      <c r="AT150" s="134">
        <f>SUM(AT151:AT169)</f>
        <v>67046.666666666672</v>
      </c>
      <c r="AU150" s="22"/>
      <c r="AV150" s="21">
        <f>SUM(AV151:AV169)</f>
        <v>147595.26104417673</v>
      </c>
      <c r="AW150" s="22"/>
      <c r="AX150" s="21">
        <f>SUM(AX151:AX169)</f>
        <v>94065.333333333343</v>
      </c>
      <c r="AY150" s="22"/>
      <c r="AZ150" s="21">
        <f>SUM(AZ151:AZ169)</f>
        <v>154214.93219157623</v>
      </c>
      <c r="BA150" s="22"/>
      <c r="BB150" s="21">
        <f>SUM(BB151:BB169)</f>
        <v>82316.666666666657</v>
      </c>
      <c r="BC150" s="22"/>
      <c r="BD150" s="21">
        <f>SUM(BD151:BD169)</f>
        <v>97668</v>
      </c>
      <c r="BE150" s="22"/>
      <c r="BF150" s="21">
        <f>SUM(BF151:BF169)</f>
        <v>95019.470588235301</v>
      </c>
      <c r="BG150" s="22"/>
      <c r="BH150" s="21">
        <f>SUM(BH151:BH169)</f>
        <v>142026</v>
      </c>
      <c r="BI150" s="22"/>
      <c r="BJ150" s="21">
        <f>SUM(BJ151:BJ169)</f>
        <v>60000</v>
      </c>
      <c r="BK150" s="22"/>
      <c r="BL150" s="21">
        <f>SUM(BL151:BL169)</f>
        <v>173500</v>
      </c>
      <c r="BM150" s="22"/>
      <c r="BN150" s="21">
        <f>SUM(BN151:BN169)</f>
        <v>114877</v>
      </c>
      <c r="BO150" s="22"/>
      <c r="BP150" s="21">
        <f>SUM(BP151:BP169)</f>
        <v>20000</v>
      </c>
      <c r="BQ150" s="22"/>
      <c r="BR150" s="21">
        <f>SUM(BR151:BR169)</f>
        <v>0</v>
      </c>
      <c r="BS150" s="22"/>
    </row>
    <row r="151" spans="3:71" s="1" customFormat="1" outlineLevel="1" x14ac:dyDescent="0.25">
      <c r="C151" s="21"/>
      <c r="E151" s="14"/>
      <c r="F151" s="4" t="s">
        <v>177</v>
      </c>
      <c r="N151" s="23"/>
      <c r="R151" s="4"/>
      <c r="S151" s="18" t="s">
        <v>101</v>
      </c>
      <c r="T151" s="45">
        <v>6000</v>
      </c>
      <c r="U151" s="18" t="s">
        <v>178</v>
      </c>
      <c r="V151" s="45">
        <v>12000</v>
      </c>
      <c r="W151" s="18" t="s">
        <v>179</v>
      </c>
      <c r="X151" s="45">
        <v>2000</v>
      </c>
      <c r="Y151" s="18" t="s">
        <v>180</v>
      </c>
      <c r="Z151" s="45">
        <v>6000</v>
      </c>
      <c r="AA151" s="18" t="s">
        <v>181</v>
      </c>
      <c r="AB151" s="45">
        <v>2000</v>
      </c>
      <c r="AC151" s="18" t="s">
        <v>182</v>
      </c>
      <c r="AD151" s="45">
        <v>6000</v>
      </c>
      <c r="AE151" s="18" t="s">
        <v>183</v>
      </c>
      <c r="AF151" s="45">
        <v>6000</v>
      </c>
      <c r="AG151" s="18" t="s">
        <v>184</v>
      </c>
      <c r="AH151" s="45">
        <v>3000</v>
      </c>
      <c r="AI151" s="18" t="s">
        <v>185</v>
      </c>
      <c r="AJ151" s="45">
        <v>6000</v>
      </c>
      <c r="AK151" s="18"/>
      <c r="AL151" s="35">
        <v>0</v>
      </c>
      <c r="AM151" s="18" t="s">
        <v>186</v>
      </c>
      <c r="AN151" s="45">
        <v>5000</v>
      </c>
      <c r="AO151" s="18" t="s">
        <v>187</v>
      </c>
      <c r="AP151" s="45">
        <v>6300</v>
      </c>
      <c r="AQ151" s="18" t="s">
        <v>188</v>
      </c>
      <c r="AR151" s="45">
        <v>8000</v>
      </c>
      <c r="AS151" s="18" t="s">
        <v>19</v>
      </c>
      <c r="AT151" s="135">
        <v>6000</v>
      </c>
      <c r="AU151" s="18" t="s">
        <v>189</v>
      </c>
      <c r="AV151" s="45">
        <v>1000</v>
      </c>
      <c r="AW151" s="18" t="s">
        <v>190</v>
      </c>
      <c r="AX151" s="45">
        <f>75000/18*7</f>
        <v>29166.666666666668</v>
      </c>
      <c r="AY151" s="18" t="s">
        <v>191</v>
      </c>
      <c r="AZ151" s="46">
        <f>14457.8313253012/2</f>
        <v>7228.9156626506001</v>
      </c>
      <c r="BA151" s="18" t="s">
        <v>192</v>
      </c>
      <c r="BB151" s="45">
        <v>15000</v>
      </c>
      <c r="BC151" s="18" t="s">
        <v>193</v>
      </c>
      <c r="BD151" s="93">
        <f>7093</f>
        <v>7093</v>
      </c>
      <c r="BE151" s="18" t="s">
        <v>194</v>
      </c>
      <c r="BF151" s="45">
        <v>6000</v>
      </c>
      <c r="BG151" s="18" t="s">
        <v>735</v>
      </c>
      <c r="BH151" s="45">
        <v>7000</v>
      </c>
      <c r="BI151" s="18"/>
      <c r="BJ151" s="35">
        <v>0</v>
      </c>
      <c r="BK151" s="18" t="s">
        <v>195</v>
      </c>
      <c r="BL151" s="35">
        <v>8000</v>
      </c>
      <c r="BM151" s="18" t="s">
        <v>696</v>
      </c>
      <c r="BN151" s="35">
        <v>2000</v>
      </c>
      <c r="BO151" s="18" t="s">
        <v>196</v>
      </c>
      <c r="BP151" s="35">
        <v>2000</v>
      </c>
      <c r="BQ151" s="18"/>
      <c r="BR151" s="35">
        <v>0</v>
      </c>
      <c r="BS151" s="18"/>
    </row>
    <row r="152" spans="3:71" s="1" customFormat="1" outlineLevel="1" x14ac:dyDescent="0.25">
      <c r="C152" s="21"/>
      <c r="E152" s="14"/>
      <c r="F152" s="4" t="s">
        <v>197</v>
      </c>
      <c r="N152" s="23"/>
      <c r="R152" s="4"/>
      <c r="S152" s="18" t="s">
        <v>198</v>
      </c>
      <c r="T152" s="45">
        <v>6000</v>
      </c>
      <c r="U152" s="18"/>
      <c r="V152" s="35">
        <v>0</v>
      </c>
      <c r="W152" s="18" t="s">
        <v>199</v>
      </c>
      <c r="X152" s="45">
        <v>4000</v>
      </c>
      <c r="Y152" s="18" t="s">
        <v>200</v>
      </c>
      <c r="Z152" s="45">
        <v>6000</v>
      </c>
      <c r="AA152" s="18" t="s">
        <v>198</v>
      </c>
      <c r="AB152" s="47">
        <v>20000</v>
      </c>
      <c r="AC152" s="18" t="s">
        <v>201</v>
      </c>
      <c r="AD152" s="45">
        <v>4000</v>
      </c>
      <c r="AE152" s="18" t="s">
        <v>202</v>
      </c>
      <c r="AF152" s="45">
        <v>3000</v>
      </c>
      <c r="AG152" s="18" t="s">
        <v>203</v>
      </c>
      <c r="AH152" s="45">
        <v>1500</v>
      </c>
      <c r="AI152" s="18" t="s">
        <v>204</v>
      </c>
      <c r="AJ152" s="45">
        <v>3000</v>
      </c>
      <c r="AK152" s="18"/>
      <c r="AL152" s="35">
        <v>0</v>
      </c>
      <c r="AM152" s="18" t="s">
        <v>18</v>
      </c>
      <c r="AN152" s="45">
        <v>3136</v>
      </c>
      <c r="AO152" s="18" t="s">
        <v>205</v>
      </c>
      <c r="AP152" s="45">
        <f>12500*1.1</f>
        <v>13750.000000000002</v>
      </c>
      <c r="AQ152" s="18" t="s">
        <v>206</v>
      </c>
      <c r="AR152" s="45">
        <v>3000</v>
      </c>
      <c r="AS152" s="18" t="s">
        <v>207</v>
      </c>
      <c r="AT152" s="135">
        <v>16000</v>
      </c>
      <c r="AU152" s="18" t="s">
        <v>208</v>
      </c>
      <c r="AV152" s="45">
        <v>9638.5542168674692</v>
      </c>
      <c r="AW152" s="18" t="s">
        <v>209</v>
      </c>
      <c r="AX152" s="47">
        <v>5400</v>
      </c>
      <c r="AY152" s="18" t="s">
        <v>210</v>
      </c>
      <c r="AZ152" s="45">
        <v>10000</v>
      </c>
      <c r="BA152" s="18" t="s">
        <v>211</v>
      </c>
      <c r="BB152" s="45">
        <v>8000</v>
      </c>
      <c r="BC152" s="18" t="s">
        <v>212</v>
      </c>
      <c r="BD152" s="45">
        <v>4000</v>
      </c>
      <c r="BE152" s="18" t="s">
        <v>213</v>
      </c>
      <c r="BF152" s="45">
        <v>8000</v>
      </c>
      <c r="BG152" s="18" t="s">
        <v>214</v>
      </c>
      <c r="BH152" s="45">
        <v>5952</v>
      </c>
      <c r="BI152" s="18" t="s">
        <v>215</v>
      </c>
      <c r="BJ152" s="39">
        <v>5000</v>
      </c>
      <c r="BK152" s="18" t="s">
        <v>783</v>
      </c>
      <c r="BL152" s="39">
        <v>2500</v>
      </c>
      <c r="BM152" s="18" t="s">
        <v>699</v>
      </c>
      <c r="BN152" s="35">
        <v>5000</v>
      </c>
      <c r="BO152" s="18" t="s">
        <v>216</v>
      </c>
      <c r="BP152" s="35">
        <v>8000</v>
      </c>
      <c r="BQ152" s="18"/>
      <c r="BR152" s="35">
        <v>0</v>
      </c>
      <c r="BS152" s="18"/>
    </row>
    <row r="153" spans="3:71" s="1" customFormat="1" outlineLevel="1" x14ac:dyDescent="0.25">
      <c r="C153" s="21"/>
      <c r="E153" s="14"/>
      <c r="F153" s="4" t="s">
        <v>217</v>
      </c>
      <c r="N153" s="23"/>
      <c r="R153" s="4"/>
      <c r="S153" s="18" t="s">
        <v>218</v>
      </c>
      <c r="T153" s="45">
        <v>6000</v>
      </c>
      <c r="U153" s="18"/>
      <c r="V153" s="35">
        <v>0</v>
      </c>
      <c r="W153" s="18" t="s">
        <v>219</v>
      </c>
      <c r="X153" s="45">
        <v>4000</v>
      </c>
      <c r="Y153" s="18" t="s">
        <v>220</v>
      </c>
      <c r="Z153" s="47">
        <v>250</v>
      </c>
      <c r="AA153" s="18" t="s">
        <v>184</v>
      </c>
      <c r="AB153" s="45">
        <v>3000</v>
      </c>
      <c r="AC153" s="18" t="s">
        <v>221</v>
      </c>
      <c r="AD153" s="45">
        <v>2000</v>
      </c>
      <c r="AE153" s="18" t="s">
        <v>222</v>
      </c>
      <c r="AF153" s="47">
        <v>6000</v>
      </c>
      <c r="AG153" s="18" t="s">
        <v>113</v>
      </c>
      <c r="AH153" s="45">
        <v>6000</v>
      </c>
      <c r="AI153" s="18" t="s">
        <v>223</v>
      </c>
      <c r="AJ153" s="45">
        <f>6000</f>
        <v>6000</v>
      </c>
      <c r="AK153" s="18"/>
      <c r="AL153" s="35">
        <v>0</v>
      </c>
      <c r="AM153" s="18" t="s">
        <v>224</v>
      </c>
      <c r="AN153" s="45">
        <v>5000</v>
      </c>
      <c r="AO153" s="18" t="s">
        <v>18</v>
      </c>
      <c r="AP153" s="45">
        <v>5557</v>
      </c>
      <c r="AQ153" s="18" t="s">
        <v>225</v>
      </c>
      <c r="AR153" s="45">
        <v>6300</v>
      </c>
      <c r="AS153" s="18" t="s">
        <v>701</v>
      </c>
      <c r="AT153" s="135">
        <v>10830</v>
      </c>
      <c r="AU153" s="18" t="s">
        <v>226</v>
      </c>
      <c r="AV153" s="45">
        <v>11228</v>
      </c>
      <c r="AW153" s="18" t="s">
        <v>227</v>
      </c>
      <c r="AX153" s="45">
        <f>2500+2500</f>
        <v>5000</v>
      </c>
      <c r="AY153" s="18" t="s">
        <v>228</v>
      </c>
      <c r="AZ153" s="45">
        <v>27500</v>
      </c>
      <c r="BA153" s="18" t="s">
        <v>229</v>
      </c>
      <c r="BB153" s="46">
        <v>10000</v>
      </c>
      <c r="BC153" s="18" t="s">
        <v>230</v>
      </c>
      <c r="BD153" s="45">
        <f>17734</f>
        <v>17734</v>
      </c>
      <c r="BE153" s="18" t="s">
        <v>231</v>
      </c>
      <c r="BF153" s="45">
        <v>3000</v>
      </c>
      <c r="BG153" s="18" t="s">
        <v>232</v>
      </c>
      <c r="BH153" s="45">
        <v>45000</v>
      </c>
      <c r="BI153" s="18" t="s">
        <v>233</v>
      </c>
      <c r="BJ153" s="35">
        <v>0</v>
      </c>
      <c r="BK153" s="18" t="s">
        <v>234</v>
      </c>
      <c r="BL153" s="35">
        <v>5000</v>
      </c>
      <c r="BM153" s="18" t="s">
        <v>695</v>
      </c>
      <c r="BN153" s="35">
        <v>10000</v>
      </c>
      <c r="BO153" s="18" t="s">
        <v>723</v>
      </c>
      <c r="BP153" s="35">
        <v>8000</v>
      </c>
      <c r="BQ153" s="18"/>
      <c r="BR153" s="35">
        <v>0</v>
      </c>
      <c r="BS153" s="18"/>
    </row>
    <row r="154" spans="3:71" s="1" customFormat="1" outlineLevel="1" x14ac:dyDescent="0.25">
      <c r="C154" s="21"/>
      <c r="E154" s="14"/>
      <c r="F154" s="4" t="s">
        <v>235</v>
      </c>
      <c r="N154" s="23"/>
      <c r="R154" s="4"/>
      <c r="S154" s="18" t="s">
        <v>236</v>
      </c>
      <c r="T154" s="45">
        <v>6000</v>
      </c>
      <c r="U154" s="18"/>
      <c r="V154" s="35">
        <v>0</v>
      </c>
      <c r="W154" s="18" t="s">
        <v>178</v>
      </c>
      <c r="X154" s="47">
        <v>6000</v>
      </c>
      <c r="Y154" s="18" t="s">
        <v>237</v>
      </c>
      <c r="Z154" s="45">
        <v>5000</v>
      </c>
      <c r="AA154" s="18" t="s">
        <v>238</v>
      </c>
      <c r="AB154" s="45">
        <v>2000</v>
      </c>
      <c r="AC154" s="18" t="s">
        <v>239</v>
      </c>
      <c r="AD154" s="45">
        <v>4500</v>
      </c>
      <c r="AE154" s="18" t="s">
        <v>240</v>
      </c>
      <c r="AF154" s="45">
        <v>1750</v>
      </c>
      <c r="AG154" s="18" t="s">
        <v>241</v>
      </c>
      <c r="AH154" s="45">
        <v>1500</v>
      </c>
      <c r="AI154" s="18" t="s">
        <v>242</v>
      </c>
      <c r="AJ154" s="45">
        <v>550</v>
      </c>
      <c r="AK154" s="18"/>
      <c r="AL154" s="35">
        <v>0</v>
      </c>
      <c r="AM154" s="18" t="s">
        <v>243</v>
      </c>
      <c r="AN154" s="45">
        <v>4592</v>
      </c>
      <c r="AO154" s="18" t="s">
        <v>244</v>
      </c>
      <c r="AP154" s="45">
        <v>2000</v>
      </c>
      <c r="AQ154" s="18" t="s">
        <v>95</v>
      </c>
      <c r="AR154" s="47">
        <v>4000</v>
      </c>
      <c r="AS154" s="18" t="s">
        <v>245</v>
      </c>
      <c r="AT154" s="135">
        <v>8550</v>
      </c>
      <c r="AU154" s="18" t="s">
        <v>246</v>
      </c>
      <c r="AV154" s="45">
        <v>4000</v>
      </c>
      <c r="AW154" s="18" t="s">
        <v>247</v>
      </c>
      <c r="AX154" s="45">
        <v>4000</v>
      </c>
      <c r="AY154" s="18" t="s">
        <v>248</v>
      </c>
      <c r="AZ154" s="45">
        <f xml:space="preserve"> 925</f>
        <v>925</v>
      </c>
      <c r="BA154" s="18" t="s">
        <v>249</v>
      </c>
      <c r="BB154" s="45">
        <v>8000</v>
      </c>
      <c r="BC154" s="18" t="s">
        <v>250</v>
      </c>
      <c r="BD154" s="45">
        <v>3000</v>
      </c>
      <c r="BE154" s="18" t="s">
        <v>251</v>
      </c>
      <c r="BF154" s="45">
        <v>5000</v>
      </c>
      <c r="BG154" s="18" t="s">
        <v>252</v>
      </c>
      <c r="BH154" s="45">
        <v>2500</v>
      </c>
      <c r="BI154" s="18" t="s">
        <v>267</v>
      </c>
      <c r="BJ154" s="35">
        <v>41000</v>
      </c>
      <c r="BK154" s="18" t="s">
        <v>253</v>
      </c>
      <c r="BL154" s="39">
        <v>18000</v>
      </c>
      <c r="BM154" s="18" t="s">
        <v>194</v>
      </c>
      <c r="BN154" s="35">
        <v>4000</v>
      </c>
      <c r="BO154" s="18" t="s">
        <v>724</v>
      </c>
      <c r="BP154" s="91">
        <v>2000</v>
      </c>
      <c r="BQ154" s="18"/>
      <c r="BR154" s="35">
        <v>0</v>
      </c>
      <c r="BS154" s="18"/>
    </row>
    <row r="155" spans="3:71" s="1" customFormat="1" outlineLevel="1" x14ac:dyDescent="0.25">
      <c r="C155" s="21"/>
      <c r="E155" s="14"/>
      <c r="F155" s="4" t="s">
        <v>254</v>
      </c>
      <c r="N155" s="23"/>
      <c r="R155" s="4"/>
      <c r="S155" s="18" t="s">
        <v>255</v>
      </c>
      <c r="T155" s="45">
        <v>6000</v>
      </c>
      <c r="U155" s="18"/>
      <c r="V155" s="35">
        <v>0</v>
      </c>
      <c r="W155" s="18" t="s">
        <v>80</v>
      </c>
      <c r="X155" s="45">
        <v>1500</v>
      </c>
      <c r="Y155" s="18"/>
      <c r="Z155" s="35">
        <v>0</v>
      </c>
      <c r="AA155" s="18" t="s">
        <v>256</v>
      </c>
      <c r="AB155" s="45">
        <v>5000</v>
      </c>
      <c r="AC155" s="18"/>
      <c r="AD155" s="35">
        <v>0</v>
      </c>
      <c r="AE155" s="18"/>
      <c r="AF155" s="35">
        <v>0</v>
      </c>
      <c r="AG155" s="18" t="s">
        <v>257</v>
      </c>
      <c r="AH155" s="45">
        <v>3000</v>
      </c>
      <c r="AI155" s="18" t="s">
        <v>199</v>
      </c>
      <c r="AJ155" s="45">
        <v>7000</v>
      </c>
      <c r="AK155" s="18"/>
      <c r="AL155" s="35">
        <v>0</v>
      </c>
      <c r="AM155" s="18" t="s">
        <v>258</v>
      </c>
      <c r="AN155" s="45">
        <v>1500</v>
      </c>
      <c r="AO155" s="18" t="s">
        <v>259</v>
      </c>
      <c r="AP155" s="45">
        <v>6000</v>
      </c>
      <c r="AQ155" s="18" t="s">
        <v>260</v>
      </c>
      <c r="AR155" s="45">
        <v>12000</v>
      </c>
      <c r="AS155" s="18" t="s">
        <v>190</v>
      </c>
      <c r="AT155" s="135">
        <f>75000/18*4</f>
        <v>16666.666666666668</v>
      </c>
      <c r="AU155" s="18" t="s">
        <v>190</v>
      </c>
      <c r="AV155" s="45">
        <f>75000/18*7</f>
        <v>29166.666666666668</v>
      </c>
      <c r="AW155" s="18" t="s">
        <v>261</v>
      </c>
      <c r="AX155" s="45">
        <f>8000/3*1</f>
        <v>2666.6666666666665</v>
      </c>
      <c r="AY155" s="18" t="s">
        <v>262</v>
      </c>
      <c r="AZ155" s="45">
        <f>9000/1.21</f>
        <v>7438.0165289256202</v>
      </c>
      <c r="BA155" s="18" t="s">
        <v>263</v>
      </c>
      <c r="BB155" s="45">
        <f>8000/3*1</f>
        <v>2666.6666666666665</v>
      </c>
      <c r="BC155" s="18" t="s">
        <v>264</v>
      </c>
      <c r="BD155" s="45">
        <v>8000</v>
      </c>
      <c r="BE155" s="18" t="s">
        <v>265</v>
      </c>
      <c r="BF155" s="45">
        <v>4000</v>
      </c>
      <c r="BG155" s="18" t="s">
        <v>266</v>
      </c>
      <c r="BH155" s="45">
        <v>14286</v>
      </c>
      <c r="BI155" s="18" t="s">
        <v>709</v>
      </c>
      <c r="BJ155" s="35">
        <v>8000</v>
      </c>
      <c r="BK155" s="18" t="s">
        <v>268</v>
      </c>
      <c r="BL155" s="35">
        <v>5000</v>
      </c>
      <c r="BM155" s="18" t="s">
        <v>705</v>
      </c>
      <c r="BN155" s="35">
        <v>3000</v>
      </c>
      <c r="BO155" s="18"/>
      <c r="BP155" s="35">
        <v>0</v>
      </c>
      <c r="BQ155" s="18"/>
      <c r="BR155" s="35">
        <v>0</v>
      </c>
      <c r="BS155" s="18"/>
    </row>
    <row r="156" spans="3:71" s="1" customFormat="1" outlineLevel="1" x14ac:dyDescent="0.25">
      <c r="C156" s="21"/>
      <c r="E156" s="14"/>
      <c r="F156" s="4" t="s">
        <v>269</v>
      </c>
      <c r="N156" s="23"/>
      <c r="R156" s="4"/>
      <c r="S156" s="18" t="s">
        <v>270</v>
      </c>
      <c r="T156" s="45">
        <v>7000</v>
      </c>
      <c r="U156" s="18"/>
      <c r="V156" s="35">
        <v>0</v>
      </c>
      <c r="W156" s="18"/>
      <c r="X156" s="39">
        <v>0</v>
      </c>
      <c r="Y156" s="18"/>
      <c r="Z156" s="35">
        <v>0</v>
      </c>
      <c r="AA156" s="18" t="s">
        <v>30</v>
      </c>
      <c r="AB156" s="45">
        <v>500</v>
      </c>
      <c r="AC156" s="18"/>
      <c r="AD156" s="35">
        <v>0</v>
      </c>
      <c r="AE156" s="18"/>
      <c r="AF156" s="35">
        <v>0</v>
      </c>
      <c r="AG156" s="18" t="s">
        <v>271</v>
      </c>
      <c r="AH156" s="45">
        <v>42975</v>
      </c>
      <c r="AI156" s="18" t="s">
        <v>18</v>
      </c>
      <c r="AJ156" s="45">
        <v>3000</v>
      </c>
      <c r="AK156" s="18"/>
      <c r="AL156" s="35">
        <v>0</v>
      </c>
      <c r="AM156" s="18" t="s">
        <v>272</v>
      </c>
      <c r="AN156" s="45">
        <v>1500</v>
      </c>
      <c r="AO156" s="18" t="s">
        <v>273</v>
      </c>
      <c r="AP156" s="45">
        <f>12500/3*2</f>
        <v>8333.3333333333339</v>
      </c>
      <c r="AQ156" s="18" t="s">
        <v>274</v>
      </c>
      <c r="AR156" s="45">
        <v>3000</v>
      </c>
      <c r="AS156" s="18" t="s">
        <v>275</v>
      </c>
      <c r="AT156" s="136">
        <v>3000</v>
      </c>
      <c r="AU156" s="18" t="s">
        <v>276</v>
      </c>
      <c r="AV156" s="45">
        <v>6000</v>
      </c>
      <c r="AW156" s="18" t="s">
        <v>210</v>
      </c>
      <c r="AX156" s="45">
        <v>10000</v>
      </c>
      <c r="AY156" s="18" t="s">
        <v>277</v>
      </c>
      <c r="AZ156" s="45">
        <v>29800</v>
      </c>
      <c r="BA156" s="18" t="s">
        <v>278</v>
      </c>
      <c r="BB156" s="45">
        <v>8000</v>
      </c>
      <c r="BC156" s="18" t="s">
        <v>279</v>
      </c>
      <c r="BD156" s="45">
        <v>2000</v>
      </c>
      <c r="BE156" s="18" t="s">
        <v>280</v>
      </c>
      <c r="BF156" s="45">
        <v>5000</v>
      </c>
      <c r="BG156" s="18" t="s">
        <v>281</v>
      </c>
      <c r="BH156" s="45">
        <v>4000</v>
      </c>
      <c r="BI156" s="18" t="s">
        <v>710</v>
      </c>
      <c r="BJ156" s="35">
        <v>6000</v>
      </c>
      <c r="BK156" s="18" t="s">
        <v>341</v>
      </c>
      <c r="BL156" s="35">
        <v>0</v>
      </c>
      <c r="BM156" s="18" t="s">
        <v>709</v>
      </c>
      <c r="BN156" s="35">
        <v>6500</v>
      </c>
      <c r="BO156" s="18"/>
      <c r="BP156" s="35">
        <v>0</v>
      </c>
      <c r="BQ156" s="18"/>
      <c r="BR156" s="35">
        <v>0</v>
      </c>
      <c r="BS156" s="18"/>
    </row>
    <row r="157" spans="3:71" s="1" customFormat="1" outlineLevel="1" x14ac:dyDescent="0.25">
      <c r="C157" s="21"/>
      <c r="E157" s="14"/>
      <c r="F157" s="4" t="s">
        <v>283</v>
      </c>
      <c r="N157" s="23"/>
      <c r="R157" s="4"/>
      <c r="S157" s="18" t="s">
        <v>284</v>
      </c>
      <c r="T157" s="45">
        <v>2000</v>
      </c>
      <c r="U157" s="18"/>
      <c r="V157" s="35">
        <v>0</v>
      </c>
      <c r="W157" s="18"/>
      <c r="X157" s="35">
        <v>0</v>
      </c>
      <c r="Z157" s="35">
        <v>0</v>
      </c>
      <c r="AA157" s="18" t="s">
        <v>285</v>
      </c>
      <c r="AB157" s="45">
        <v>6500</v>
      </c>
      <c r="AC157" s="18" t="s">
        <v>286</v>
      </c>
      <c r="AD157" s="45">
        <v>4000</v>
      </c>
      <c r="AE157" s="18"/>
      <c r="AF157" s="35">
        <v>0</v>
      </c>
      <c r="AG157" s="18" t="s">
        <v>287</v>
      </c>
      <c r="AH157" s="45">
        <v>6000</v>
      </c>
      <c r="AI157" s="18" t="s">
        <v>288</v>
      </c>
      <c r="AJ157" s="45">
        <v>500</v>
      </c>
      <c r="AK157" s="18"/>
      <c r="AL157" s="35">
        <v>0</v>
      </c>
      <c r="AM157" s="18" t="s">
        <v>126</v>
      </c>
      <c r="AN157" s="45">
        <v>6000</v>
      </c>
      <c r="AO157" s="18" t="s">
        <v>289</v>
      </c>
      <c r="AP157" s="45">
        <v>3000</v>
      </c>
      <c r="AQ157" s="18" t="s">
        <v>290</v>
      </c>
      <c r="AR157" s="47">
        <v>7000</v>
      </c>
      <c r="AS157" s="18" t="s">
        <v>291</v>
      </c>
      <c r="AT157" s="136">
        <v>6000</v>
      </c>
      <c r="AU157" s="18" t="s">
        <v>27</v>
      </c>
      <c r="AV157" s="45">
        <v>10000</v>
      </c>
      <c r="AW157" s="18" t="s">
        <v>292</v>
      </c>
      <c r="AX157" s="45">
        <v>5000</v>
      </c>
      <c r="AY157" s="18" t="s">
        <v>293</v>
      </c>
      <c r="AZ157" s="45">
        <v>6000</v>
      </c>
      <c r="BA157" s="18" t="s">
        <v>294</v>
      </c>
      <c r="BB157" s="45">
        <v>6000</v>
      </c>
      <c r="BC157" s="18" t="s">
        <v>295</v>
      </c>
      <c r="BD157" s="45">
        <v>6000</v>
      </c>
      <c r="BE157" s="18" t="s">
        <v>214</v>
      </c>
      <c r="BF157" s="45">
        <v>5843</v>
      </c>
      <c r="BG157" s="18" t="s">
        <v>726</v>
      </c>
      <c r="BH157" s="45">
        <v>6000</v>
      </c>
      <c r="BI157" s="18"/>
      <c r="BJ157" s="91"/>
      <c r="BK157" s="18" t="s">
        <v>692</v>
      </c>
      <c r="BL157" s="35">
        <v>6000</v>
      </c>
      <c r="BM157" s="18" t="s">
        <v>720</v>
      </c>
      <c r="BN157" s="35">
        <v>10000</v>
      </c>
      <c r="BO157" s="18"/>
      <c r="BP157" s="35">
        <v>0</v>
      </c>
      <c r="BQ157" s="18"/>
      <c r="BR157" s="35">
        <v>0</v>
      </c>
      <c r="BS157" s="18"/>
    </row>
    <row r="158" spans="3:71" s="1" customFormat="1" outlineLevel="1" x14ac:dyDescent="0.25">
      <c r="C158" s="21"/>
      <c r="E158" s="4"/>
      <c r="F158" s="4" t="s">
        <v>296</v>
      </c>
      <c r="N158" s="23"/>
      <c r="R158" s="4"/>
      <c r="S158" s="18" t="s">
        <v>297</v>
      </c>
      <c r="T158" s="45">
        <v>2000</v>
      </c>
      <c r="U158" s="18"/>
      <c r="V158" s="35">
        <v>0</v>
      </c>
      <c r="W158" s="18"/>
      <c r="X158" s="35">
        <v>0</v>
      </c>
      <c r="Y158" s="18"/>
      <c r="Z158" s="35">
        <v>0</v>
      </c>
      <c r="AA158" s="18"/>
      <c r="AB158" s="35">
        <v>0</v>
      </c>
      <c r="AC158" s="18"/>
      <c r="AD158" s="35">
        <v>0</v>
      </c>
      <c r="AE158" s="18"/>
      <c r="AF158" s="35">
        <v>0</v>
      </c>
      <c r="AG158" s="18"/>
      <c r="AH158" s="35">
        <v>0</v>
      </c>
      <c r="AI158" s="18"/>
      <c r="AJ158" s="35">
        <v>0</v>
      </c>
      <c r="AK158" s="18"/>
      <c r="AL158" s="35">
        <v>0</v>
      </c>
      <c r="AM158" s="18" t="s">
        <v>108</v>
      </c>
      <c r="AN158" s="45">
        <v>4200</v>
      </c>
      <c r="AO158" s="18" t="s">
        <v>237</v>
      </c>
      <c r="AP158" s="45">
        <v>3000</v>
      </c>
      <c r="AQ158" s="18" t="s">
        <v>298</v>
      </c>
      <c r="AR158" s="45">
        <v>4000</v>
      </c>
      <c r="AS158" s="18"/>
      <c r="AT158" s="137">
        <v>0</v>
      </c>
      <c r="AU158" s="18" t="s">
        <v>299</v>
      </c>
      <c r="AV158" s="45">
        <v>6000</v>
      </c>
      <c r="AW158" s="18" t="s">
        <v>300</v>
      </c>
      <c r="AX158" s="45">
        <v>6000</v>
      </c>
      <c r="AY158" s="18" t="s">
        <v>301</v>
      </c>
      <c r="AZ158" s="45">
        <v>11500</v>
      </c>
      <c r="BA158" s="18" t="s">
        <v>302</v>
      </c>
      <c r="BB158" s="45">
        <v>8000</v>
      </c>
      <c r="BC158" s="18" t="s">
        <v>303</v>
      </c>
      <c r="BD158" s="45">
        <v>5000</v>
      </c>
      <c r="BE158" s="18" t="s">
        <v>304</v>
      </c>
      <c r="BF158" s="45">
        <f>18000/0.85</f>
        <v>21176.470588235294</v>
      </c>
      <c r="BG158" s="18" t="s">
        <v>305</v>
      </c>
      <c r="BH158" s="45">
        <v>8000</v>
      </c>
      <c r="BI158" s="18"/>
      <c r="BJ158" s="35"/>
      <c r="BK158" s="18" t="s">
        <v>693</v>
      </c>
      <c r="BL158" s="35">
        <v>8000</v>
      </c>
      <c r="BM158" s="18" t="s">
        <v>721</v>
      </c>
      <c r="BN158" s="35">
        <v>5952</v>
      </c>
      <c r="BO158" s="18"/>
      <c r="BP158" s="35">
        <v>0</v>
      </c>
      <c r="BQ158" s="18"/>
      <c r="BR158" s="35">
        <v>0</v>
      </c>
      <c r="BS158" s="18"/>
    </row>
    <row r="159" spans="3:71" s="1" customFormat="1" outlineLevel="1" x14ac:dyDescent="0.25">
      <c r="C159" s="21"/>
      <c r="E159" s="14"/>
      <c r="F159" s="4" t="s">
        <v>306</v>
      </c>
      <c r="N159" s="23"/>
      <c r="R159" s="4"/>
      <c r="S159" s="18" t="s">
        <v>307</v>
      </c>
      <c r="T159" s="45">
        <v>1500</v>
      </c>
      <c r="U159" s="18"/>
      <c r="V159" s="35">
        <v>0</v>
      </c>
      <c r="W159" s="18"/>
      <c r="X159" s="35">
        <v>0</v>
      </c>
      <c r="Y159" s="18"/>
      <c r="Z159" s="35">
        <v>0</v>
      </c>
      <c r="AA159" s="18"/>
      <c r="AB159" s="35">
        <v>0</v>
      </c>
      <c r="AC159" s="18"/>
      <c r="AD159" s="35">
        <v>0</v>
      </c>
      <c r="AE159" s="18"/>
      <c r="AF159" s="35">
        <v>0</v>
      </c>
      <c r="AG159" s="18"/>
      <c r="AH159" s="35">
        <v>0</v>
      </c>
      <c r="AI159" s="18"/>
      <c r="AJ159" s="35">
        <v>0</v>
      </c>
      <c r="AK159" s="18"/>
      <c r="AL159" s="35">
        <v>0</v>
      </c>
      <c r="AM159" s="18"/>
      <c r="AN159" s="35">
        <v>0</v>
      </c>
      <c r="AO159" s="18" t="s">
        <v>26</v>
      </c>
      <c r="AP159" s="45">
        <v>3000</v>
      </c>
      <c r="AQ159" s="18" t="s">
        <v>308</v>
      </c>
      <c r="AR159" s="45">
        <v>5400</v>
      </c>
      <c r="AS159" s="18"/>
      <c r="AT159" s="137">
        <v>0</v>
      </c>
      <c r="AU159" s="18" t="s">
        <v>309</v>
      </c>
      <c r="AV159" s="45">
        <v>6000</v>
      </c>
      <c r="AW159" s="18" t="s">
        <v>310</v>
      </c>
      <c r="AX159" s="45">
        <v>6000</v>
      </c>
      <c r="AY159" s="18" t="s">
        <v>311</v>
      </c>
      <c r="AZ159" s="45">
        <v>9541</v>
      </c>
      <c r="BA159" s="18" t="s">
        <v>312</v>
      </c>
      <c r="BB159" s="47">
        <v>6000</v>
      </c>
      <c r="BC159" s="18" t="s">
        <v>111</v>
      </c>
      <c r="BD159" s="45">
        <v>2000</v>
      </c>
      <c r="BE159" s="18" t="s">
        <v>313</v>
      </c>
      <c r="BF159" s="45">
        <v>2000</v>
      </c>
      <c r="BG159" s="18" t="s">
        <v>322</v>
      </c>
      <c r="BH159" s="45">
        <v>6000</v>
      </c>
      <c r="BI159" s="18"/>
      <c r="BJ159" s="35"/>
      <c r="BK159" s="18" t="s">
        <v>695</v>
      </c>
      <c r="BL159" s="35">
        <v>10000</v>
      </c>
      <c r="BM159" s="18" t="s">
        <v>248</v>
      </c>
      <c r="BN159" s="39">
        <v>925</v>
      </c>
      <c r="BO159" s="18"/>
      <c r="BP159" s="35">
        <v>0</v>
      </c>
      <c r="BQ159" s="18"/>
      <c r="BR159" s="35">
        <v>0</v>
      </c>
      <c r="BS159" s="18"/>
    </row>
    <row r="160" spans="3:71" s="1" customFormat="1" outlineLevel="1" x14ac:dyDescent="0.25">
      <c r="C160" s="21"/>
      <c r="E160" s="14"/>
      <c r="F160" s="4" t="s">
        <v>314</v>
      </c>
      <c r="N160" s="23"/>
      <c r="R160" s="4"/>
      <c r="S160" s="18"/>
      <c r="T160" s="45"/>
      <c r="U160" s="18"/>
      <c r="V160" s="35"/>
      <c r="W160" s="18"/>
      <c r="X160" s="35"/>
      <c r="Y160" s="18"/>
      <c r="Z160" s="35"/>
      <c r="AA160" s="18"/>
      <c r="AB160" s="35"/>
      <c r="AC160" s="18"/>
      <c r="AD160" s="35"/>
      <c r="AE160" s="18"/>
      <c r="AF160" s="35"/>
      <c r="AG160" s="18"/>
      <c r="AH160" s="35"/>
      <c r="AI160" s="18"/>
      <c r="AJ160" s="35"/>
      <c r="AK160" s="18"/>
      <c r="AL160" s="35"/>
      <c r="AM160" s="18"/>
      <c r="AN160" s="35">
        <v>0</v>
      </c>
      <c r="AO160" s="18" t="s">
        <v>700</v>
      </c>
      <c r="AP160" s="45">
        <v>7162</v>
      </c>
      <c r="AQ160" s="18" t="s">
        <v>315</v>
      </c>
      <c r="AR160" s="45">
        <v>6000</v>
      </c>
      <c r="AS160" s="18"/>
      <c r="AT160" s="137"/>
      <c r="AU160" s="18" t="s">
        <v>316</v>
      </c>
      <c r="AV160" s="45">
        <v>12000</v>
      </c>
      <c r="AW160" s="18" t="s">
        <v>317</v>
      </c>
      <c r="AX160" s="45">
        <v>5400</v>
      </c>
      <c r="AY160" s="18" t="s">
        <v>318</v>
      </c>
      <c r="AZ160" s="45">
        <v>3000</v>
      </c>
      <c r="BA160" s="18" t="s">
        <v>319</v>
      </c>
      <c r="BB160" s="45">
        <v>5000</v>
      </c>
      <c r="BC160" s="18" t="s">
        <v>320</v>
      </c>
      <c r="BD160" s="45">
        <v>5000</v>
      </c>
      <c r="BE160" s="18" t="s">
        <v>321</v>
      </c>
      <c r="BF160" s="45">
        <v>8000</v>
      </c>
      <c r="BG160" s="18" t="s">
        <v>282</v>
      </c>
      <c r="BH160" s="35">
        <f>15000/2</f>
        <v>7500</v>
      </c>
      <c r="BI160" s="18"/>
      <c r="BJ160" s="35"/>
      <c r="BK160" s="18" t="s">
        <v>699</v>
      </c>
      <c r="BL160" s="35">
        <v>10000</v>
      </c>
      <c r="BM160" s="18" t="s">
        <v>282</v>
      </c>
      <c r="BN160" s="35">
        <f>15000/2</f>
        <v>7500</v>
      </c>
      <c r="BO160" s="18"/>
      <c r="BP160" s="35"/>
      <c r="BQ160" s="18"/>
      <c r="BR160" s="35"/>
      <c r="BS160" s="18"/>
    </row>
    <row r="161" spans="3:71" s="1" customFormat="1" outlineLevel="1" x14ac:dyDescent="0.25">
      <c r="C161" s="21"/>
      <c r="E161" s="14"/>
      <c r="F161" s="4" t="s">
        <v>323</v>
      </c>
      <c r="N161" s="23"/>
      <c r="R161" s="4"/>
      <c r="S161" s="18"/>
      <c r="T161" s="45"/>
      <c r="U161" s="18"/>
      <c r="V161" s="35"/>
      <c r="W161" s="18"/>
      <c r="X161" s="35"/>
      <c r="Y161" s="18"/>
      <c r="Z161" s="35"/>
      <c r="AA161" s="18"/>
      <c r="AB161" s="35"/>
      <c r="AC161" s="18"/>
      <c r="AD161" s="35"/>
      <c r="AE161" s="18"/>
      <c r="AF161" s="35"/>
      <c r="AG161" s="18"/>
      <c r="AH161" s="35"/>
      <c r="AI161" s="18"/>
      <c r="AJ161" s="35"/>
      <c r="AK161" s="18"/>
      <c r="AL161" s="35"/>
      <c r="AM161" s="18"/>
      <c r="AN161" s="35">
        <v>0</v>
      </c>
      <c r="AO161" s="18" t="s">
        <v>324</v>
      </c>
      <c r="AP161" s="45">
        <v>3000</v>
      </c>
      <c r="AQ161" s="18" t="s">
        <v>325</v>
      </c>
      <c r="AR161" s="45">
        <v>10786</v>
      </c>
      <c r="AS161" s="18"/>
      <c r="AT161" s="137"/>
      <c r="AU161" s="18" t="s">
        <v>326</v>
      </c>
      <c r="AV161" s="45">
        <v>6000</v>
      </c>
      <c r="AW161" s="18" t="s">
        <v>327</v>
      </c>
      <c r="AX161" s="45">
        <v>2000</v>
      </c>
      <c r="AY161" s="18" t="s">
        <v>328</v>
      </c>
      <c r="AZ161" s="45">
        <v>6000</v>
      </c>
      <c r="BA161" s="18" t="s">
        <v>329</v>
      </c>
      <c r="BB161" s="45">
        <v>2000</v>
      </c>
      <c r="BC161" s="18" t="s">
        <v>330</v>
      </c>
      <c r="BD161" s="45">
        <v>9339</v>
      </c>
      <c r="BE161" s="18" t="s">
        <v>331</v>
      </c>
      <c r="BF161" s="45">
        <v>3000</v>
      </c>
      <c r="BG161" s="18" t="s">
        <v>350</v>
      </c>
      <c r="BH161" s="45">
        <v>6000</v>
      </c>
      <c r="BI161" s="18"/>
      <c r="BJ161" s="35"/>
      <c r="BK161" s="18" t="s">
        <v>713</v>
      </c>
      <c r="BL161" s="35">
        <v>3000</v>
      </c>
      <c r="BM161" s="18" t="s">
        <v>722</v>
      </c>
      <c r="BN161" s="39">
        <v>8000</v>
      </c>
      <c r="BO161" s="18"/>
      <c r="BP161" s="35"/>
      <c r="BQ161" s="18"/>
      <c r="BR161" s="35"/>
      <c r="BS161" s="18"/>
    </row>
    <row r="162" spans="3:71" s="1" customFormat="1" outlineLevel="1" x14ac:dyDescent="0.25">
      <c r="C162" s="21"/>
      <c r="E162" s="14"/>
      <c r="F162" s="4" t="s">
        <v>333</v>
      </c>
      <c r="N162" s="23"/>
      <c r="R162" s="4"/>
      <c r="S162" s="18"/>
      <c r="T162" s="45"/>
      <c r="U162" s="18"/>
      <c r="V162" s="35"/>
      <c r="W162" s="18"/>
      <c r="X162" s="35"/>
      <c r="Y162" s="18"/>
      <c r="Z162" s="35"/>
      <c r="AA162" s="18"/>
      <c r="AB162" s="35"/>
      <c r="AC162" s="18"/>
      <c r="AD162" s="35"/>
      <c r="AE162" s="18"/>
      <c r="AF162" s="35"/>
      <c r="AG162" s="18"/>
      <c r="AH162" s="35"/>
      <c r="AI162" s="18"/>
      <c r="AJ162" s="35"/>
      <c r="AK162" s="18"/>
      <c r="AL162" s="35"/>
      <c r="AM162" s="18"/>
      <c r="AN162" s="35"/>
      <c r="AO162" s="18" t="s">
        <v>334</v>
      </c>
      <c r="AP162" s="45">
        <v>4000</v>
      </c>
      <c r="AQ162" s="18" t="s">
        <v>127</v>
      </c>
      <c r="AR162" s="45">
        <v>6000</v>
      </c>
      <c r="AS162" s="18"/>
      <c r="AT162" s="137"/>
      <c r="AU162" s="18" t="s">
        <v>335</v>
      </c>
      <c r="AV162" s="45">
        <v>9601</v>
      </c>
      <c r="AW162" s="18" t="s">
        <v>336</v>
      </c>
      <c r="AX162" s="45">
        <v>7432</v>
      </c>
      <c r="AY162" s="18" t="s">
        <v>337</v>
      </c>
      <c r="AZ162" s="45">
        <v>14286</v>
      </c>
      <c r="BA162" s="18" t="s">
        <v>338</v>
      </c>
      <c r="BB162" s="45">
        <v>650</v>
      </c>
      <c r="BC162" s="18" t="s">
        <v>339</v>
      </c>
      <c r="BD162" s="45">
        <v>8000</v>
      </c>
      <c r="BE162" s="18" t="s">
        <v>340</v>
      </c>
      <c r="BF162" s="45">
        <v>5000</v>
      </c>
      <c r="BG162" s="18" t="s">
        <v>706</v>
      </c>
      <c r="BH162" s="45">
        <v>9524</v>
      </c>
      <c r="BI162" s="18"/>
      <c r="BJ162" s="35"/>
      <c r="BK162" s="18" t="s">
        <v>716</v>
      </c>
      <c r="BL162" s="39">
        <v>12000</v>
      </c>
      <c r="BM162" s="18" t="s">
        <v>737</v>
      </c>
      <c r="BN162" s="91">
        <v>12000</v>
      </c>
      <c r="BO162" s="18"/>
      <c r="BP162" s="35"/>
      <c r="BQ162" s="18"/>
      <c r="BR162" s="35"/>
      <c r="BS162" s="18"/>
    </row>
    <row r="163" spans="3:71" s="1" customFormat="1" outlineLevel="1" x14ac:dyDescent="0.25">
      <c r="C163" s="21"/>
      <c r="E163" s="14"/>
      <c r="F163" s="4" t="s">
        <v>342</v>
      </c>
      <c r="N163" s="23"/>
      <c r="R163" s="4"/>
      <c r="S163" s="18"/>
      <c r="T163" s="45"/>
      <c r="U163" s="18"/>
      <c r="V163" s="35"/>
      <c r="W163" s="18"/>
      <c r="X163" s="35"/>
      <c r="Y163" s="18"/>
      <c r="Z163" s="35"/>
      <c r="AA163" s="18"/>
      <c r="AB163" s="35"/>
      <c r="AC163" s="18"/>
      <c r="AD163" s="35"/>
      <c r="AE163" s="18"/>
      <c r="AF163" s="35"/>
      <c r="AG163" s="18"/>
      <c r="AH163" s="35"/>
      <c r="AI163" s="18"/>
      <c r="AJ163" s="35"/>
      <c r="AK163" s="18"/>
      <c r="AL163" s="35"/>
      <c r="AM163" s="18"/>
      <c r="AN163" s="35"/>
      <c r="AO163" s="18" t="s">
        <v>129</v>
      </c>
      <c r="AP163" s="45">
        <v>6000</v>
      </c>
      <c r="AQ163" s="18" t="s">
        <v>343</v>
      </c>
      <c r="AR163" s="45">
        <v>4000</v>
      </c>
      <c r="AS163" s="18"/>
      <c r="AT163" s="137"/>
      <c r="AU163" s="18" t="s">
        <v>344</v>
      </c>
      <c r="AV163" s="45">
        <v>16701</v>
      </c>
      <c r="AW163" s="18" t="s">
        <v>345</v>
      </c>
      <c r="AX163" s="45">
        <v>2000</v>
      </c>
      <c r="AY163" s="18" t="s">
        <v>346</v>
      </c>
      <c r="AZ163" s="45">
        <v>6000</v>
      </c>
      <c r="BA163" s="18" t="s">
        <v>347</v>
      </c>
      <c r="BB163" s="45">
        <v>3000</v>
      </c>
      <c r="BC163" s="18" t="s">
        <v>348</v>
      </c>
      <c r="BD163" s="45">
        <v>2500</v>
      </c>
      <c r="BE163" s="18" t="s">
        <v>349</v>
      </c>
      <c r="BF163" s="45">
        <v>3000</v>
      </c>
      <c r="BG163" s="18" t="s">
        <v>267</v>
      </c>
      <c r="BH163" s="35">
        <v>10000</v>
      </c>
      <c r="BI163" s="18"/>
      <c r="BJ163" s="35"/>
      <c r="BK163" s="18" t="s">
        <v>717</v>
      </c>
      <c r="BL163" s="39">
        <v>12000</v>
      </c>
      <c r="BM163" s="18" t="s">
        <v>738</v>
      </c>
      <c r="BN163" s="35">
        <v>3000</v>
      </c>
      <c r="BO163" s="18"/>
      <c r="BP163" s="35"/>
      <c r="BQ163" s="18"/>
      <c r="BR163" s="35"/>
      <c r="BS163" s="18"/>
    </row>
    <row r="164" spans="3:71" s="1" customFormat="1" outlineLevel="1" x14ac:dyDescent="0.25">
      <c r="C164" s="21"/>
      <c r="E164" s="14"/>
      <c r="F164" s="4" t="s">
        <v>351</v>
      </c>
      <c r="N164" s="23"/>
      <c r="R164" s="4"/>
      <c r="S164" s="18"/>
      <c r="T164" s="45"/>
      <c r="U164" s="18"/>
      <c r="V164" s="35"/>
      <c r="W164" s="18"/>
      <c r="X164" s="35"/>
      <c r="Y164" s="18"/>
      <c r="Z164" s="35"/>
      <c r="AA164" s="18"/>
      <c r="AB164" s="35"/>
      <c r="AC164" s="18"/>
      <c r="AD164" s="35"/>
      <c r="AE164" s="18"/>
      <c r="AF164" s="35"/>
      <c r="AG164" s="18"/>
      <c r="AH164" s="35"/>
      <c r="AI164" s="18"/>
      <c r="AJ164" s="35"/>
      <c r="AK164" s="18"/>
      <c r="AL164" s="35"/>
      <c r="AM164" s="18"/>
      <c r="AN164" s="35"/>
      <c r="AO164" s="18" t="s">
        <v>352</v>
      </c>
      <c r="AP164" s="45">
        <v>2000</v>
      </c>
      <c r="AQ164" s="18" t="s">
        <v>353</v>
      </c>
      <c r="AR164" s="45">
        <v>12000</v>
      </c>
      <c r="AS164" s="18"/>
      <c r="AT164" s="137"/>
      <c r="AU164" s="18" t="s">
        <v>354</v>
      </c>
      <c r="AV164" s="45">
        <f>8000/3</f>
        <v>2666.6666666666665</v>
      </c>
      <c r="AW164" s="18" t="s">
        <v>355</v>
      </c>
      <c r="AX164" s="45">
        <v>4000</v>
      </c>
      <c r="AY164" s="18" t="s">
        <v>356</v>
      </c>
      <c r="AZ164" s="45">
        <v>5996</v>
      </c>
      <c r="BA164" s="18"/>
      <c r="BB164" s="45"/>
      <c r="BC164" s="18" t="s">
        <v>357</v>
      </c>
      <c r="BD164" s="45">
        <f>9502</f>
        <v>9502</v>
      </c>
      <c r="BE164" s="18" t="s">
        <v>358</v>
      </c>
      <c r="BF164" s="45">
        <v>4000</v>
      </c>
      <c r="BG164" s="18" t="s">
        <v>248</v>
      </c>
      <c r="BH164" s="45">
        <v>925</v>
      </c>
      <c r="BI164" s="18"/>
      <c r="BJ164" s="35"/>
      <c r="BK164" s="18" t="s">
        <v>265</v>
      </c>
      <c r="BL164" s="39">
        <v>3000</v>
      </c>
      <c r="BM164" s="18" t="s">
        <v>777</v>
      </c>
      <c r="BN164" s="35">
        <v>15000</v>
      </c>
      <c r="BO164" s="18"/>
      <c r="BP164" s="35"/>
      <c r="BQ164" s="18"/>
      <c r="BR164" s="35"/>
      <c r="BS164" s="18"/>
    </row>
    <row r="165" spans="3:71" s="1" customFormat="1" outlineLevel="1" x14ac:dyDescent="0.25">
      <c r="C165" s="21"/>
      <c r="E165" s="14"/>
      <c r="F165" s="4" t="s">
        <v>359</v>
      </c>
      <c r="N165" s="23"/>
      <c r="R165" s="4"/>
      <c r="S165" s="18"/>
      <c r="T165" s="45"/>
      <c r="U165" s="18"/>
      <c r="V165" s="35"/>
      <c r="W165" s="18"/>
      <c r="X165" s="35"/>
      <c r="Y165" s="18"/>
      <c r="Z165" s="35"/>
      <c r="AA165" s="18"/>
      <c r="AB165" s="35"/>
      <c r="AC165" s="18"/>
      <c r="AD165" s="35"/>
      <c r="AE165" s="18"/>
      <c r="AF165" s="35"/>
      <c r="AG165" s="18"/>
      <c r="AH165" s="35"/>
      <c r="AI165" s="18"/>
      <c r="AJ165" s="35"/>
      <c r="AK165" s="18"/>
      <c r="AL165" s="35"/>
      <c r="AM165" s="18"/>
      <c r="AN165" s="35"/>
      <c r="AO165" s="18" t="s">
        <v>360</v>
      </c>
      <c r="AP165" s="45">
        <v>6000</v>
      </c>
      <c r="AQ165" s="18"/>
      <c r="AR165" s="35"/>
      <c r="AS165" s="18"/>
      <c r="AT165" s="137"/>
      <c r="AU165" s="18" t="s">
        <v>702</v>
      </c>
      <c r="AV165" s="45">
        <v>10843.373493975903</v>
      </c>
      <c r="AW165" s="18"/>
      <c r="AX165" s="35"/>
      <c r="AY165" s="18" t="s">
        <v>361</v>
      </c>
      <c r="AZ165" s="45">
        <v>3000</v>
      </c>
      <c r="BA165" s="18"/>
      <c r="BB165" s="35"/>
      <c r="BC165" s="18" t="s">
        <v>362</v>
      </c>
      <c r="BD165" s="45">
        <v>1500</v>
      </c>
      <c r="BE165" s="18" t="s">
        <v>363</v>
      </c>
      <c r="BF165" s="45">
        <v>9000</v>
      </c>
      <c r="BG165" s="18" t="s">
        <v>330</v>
      </c>
      <c r="BH165" s="45">
        <v>9339</v>
      </c>
      <c r="BI165" s="18"/>
      <c r="BJ165" s="35"/>
      <c r="BK165" s="18" t="s">
        <v>719</v>
      </c>
      <c r="BL165" s="35">
        <v>10000</v>
      </c>
      <c r="BM165" s="18" t="s">
        <v>780</v>
      </c>
      <c r="BN165" s="35">
        <v>10000</v>
      </c>
      <c r="BO165" s="18"/>
      <c r="BP165" s="35"/>
      <c r="BQ165" s="18"/>
      <c r="BR165" s="35"/>
      <c r="BS165" s="18"/>
    </row>
    <row r="166" spans="3:71" s="1" customFormat="1" outlineLevel="1" x14ac:dyDescent="0.25">
      <c r="C166" s="21"/>
      <c r="E166" s="14"/>
      <c r="F166" s="4" t="s">
        <v>364</v>
      </c>
      <c r="N166" s="23"/>
      <c r="R166" s="4"/>
      <c r="S166" s="18"/>
      <c r="T166" s="45"/>
      <c r="U166" s="18"/>
      <c r="V166" s="35"/>
      <c r="W166" s="18"/>
      <c r="X166" s="35"/>
      <c r="Y166" s="18"/>
      <c r="Z166" s="35"/>
      <c r="AA166" s="18"/>
      <c r="AB166" s="35"/>
      <c r="AC166" s="18"/>
      <c r="AD166" s="35"/>
      <c r="AE166" s="18"/>
      <c r="AF166" s="35"/>
      <c r="AG166" s="18"/>
      <c r="AH166" s="35"/>
      <c r="AI166" s="18"/>
      <c r="AJ166" s="35"/>
      <c r="AK166" s="18"/>
      <c r="AL166" s="35"/>
      <c r="AM166" s="18"/>
      <c r="AN166" s="35"/>
      <c r="AP166" s="35">
        <v>0</v>
      </c>
      <c r="AR166" s="35"/>
      <c r="AS166" s="18"/>
      <c r="AT166" s="137"/>
      <c r="AU166" s="18" t="s">
        <v>365</v>
      </c>
      <c r="AV166" s="45">
        <v>750</v>
      </c>
      <c r="AW166" s="18"/>
      <c r="AX166" s="35"/>
      <c r="AY166" s="18" t="s">
        <v>366</v>
      </c>
      <c r="AZ166" s="45">
        <v>6000</v>
      </c>
      <c r="BA166" s="18"/>
      <c r="BB166" s="35"/>
      <c r="BC166" s="18" t="s">
        <v>367</v>
      </c>
      <c r="BD166" s="45">
        <v>4000</v>
      </c>
      <c r="BE166" s="18" t="s">
        <v>368</v>
      </c>
      <c r="BF166" s="91">
        <v>3000</v>
      </c>
      <c r="BG166" s="18"/>
      <c r="BH166" s="77"/>
      <c r="BI166" s="18"/>
      <c r="BJ166" s="35"/>
      <c r="BK166" s="18" t="s">
        <v>728</v>
      </c>
      <c r="BL166" s="35">
        <v>18000</v>
      </c>
      <c r="BM166" s="18" t="s">
        <v>786</v>
      </c>
      <c r="BN166" s="35">
        <v>12000</v>
      </c>
      <c r="BO166" s="18"/>
      <c r="BP166" s="35"/>
      <c r="BQ166" s="18"/>
      <c r="BR166" s="35"/>
      <c r="BS166" s="18"/>
    </row>
    <row r="167" spans="3:71" s="1" customFormat="1" outlineLevel="1" x14ac:dyDescent="0.25">
      <c r="C167" s="21"/>
      <c r="E167" s="14"/>
      <c r="F167" s="4" t="s">
        <v>370</v>
      </c>
      <c r="N167" s="23"/>
      <c r="R167" s="4"/>
      <c r="S167" s="18"/>
      <c r="T167" s="45"/>
      <c r="U167" s="18"/>
      <c r="V167" s="35"/>
      <c r="W167" s="18"/>
      <c r="X167" s="35"/>
      <c r="Y167" s="18"/>
      <c r="Z167" s="35"/>
      <c r="AA167" s="18"/>
      <c r="AB167" s="35"/>
      <c r="AC167" s="18"/>
      <c r="AD167" s="35"/>
      <c r="AE167" s="18"/>
      <c r="AF167" s="35"/>
      <c r="AG167" s="18"/>
      <c r="AH167" s="35"/>
      <c r="AI167" s="18"/>
      <c r="AJ167" s="35"/>
      <c r="AK167" s="18"/>
      <c r="AL167" s="35"/>
      <c r="AM167" s="18"/>
      <c r="AN167" s="35"/>
      <c r="AP167" s="35"/>
      <c r="AR167" s="35"/>
      <c r="AS167" s="18"/>
      <c r="AT167" s="137"/>
      <c r="AU167" s="18"/>
      <c r="AV167" s="45"/>
      <c r="AW167" s="18"/>
      <c r="AX167" s="35"/>
      <c r="AY167" s="18"/>
      <c r="AZ167" s="45"/>
      <c r="BA167" s="18"/>
      <c r="BB167" s="35"/>
      <c r="BC167" s="18" t="s">
        <v>369</v>
      </c>
      <c r="BD167" s="45">
        <v>3000</v>
      </c>
      <c r="BF167" s="35"/>
      <c r="BG167" s="18"/>
      <c r="BH167" s="45"/>
      <c r="BI167" s="18"/>
      <c r="BJ167" s="35"/>
      <c r="BK167" s="18" t="s">
        <v>730</v>
      </c>
      <c r="BL167" s="35">
        <v>4000</v>
      </c>
      <c r="BM167" s="18"/>
      <c r="BN167" s="35"/>
      <c r="BO167" s="18"/>
      <c r="BP167" s="35"/>
      <c r="BQ167" s="18"/>
      <c r="BR167" s="35"/>
      <c r="BS167" s="18"/>
    </row>
    <row r="168" spans="3:71" s="1" customFormat="1" outlineLevel="1" x14ac:dyDescent="0.25">
      <c r="C168" s="21"/>
      <c r="E168" s="14"/>
      <c r="F168" s="4" t="s">
        <v>756</v>
      </c>
      <c r="N168" s="23"/>
      <c r="R168" s="4"/>
      <c r="S168" s="18"/>
      <c r="T168" s="45"/>
      <c r="U168" s="18"/>
      <c r="V168" s="35"/>
      <c r="W168" s="18"/>
      <c r="X168" s="35"/>
      <c r="Y168" s="18"/>
      <c r="Z168" s="35"/>
      <c r="AA168" s="18"/>
      <c r="AB168" s="35"/>
      <c r="AC168" s="18"/>
      <c r="AD168" s="35"/>
      <c r="AE168" s="18"/>
      <c r="AF168" s="35"/>
      <c r="AG168" s="18"/>
      <c r="AH168" s="35"/>
      <c r="AI168" s="18"/>
      <c r="AJ168" s="35"/>
      <c r="AK168" s="18"/>
      <c r="AL168" s="35"/>
      <c r="AM168" s="18"/>
      <c r="AN168" s="35"/>
      <c r="AP168" s="35"/>
      <c r="AR168" s="35"/>
      <c r="AS168" s="18"/>
      <c r="AT168" s="137"/>
      <c r="AU168" s="18"/>
      <c r="AV168" s="45"/>
      <c r="AW168" s="18"/>
      <c r="AX168" s="35"/>
      <c r="AY168" s="18"/>
      <c r="AZ168" s="45"/>
      <c r="BA168" s="18"/>
      <c r="BB168" s="35"/>
      <c r="BC168" s="18"/>
      <c r="BD168" s="45"/>
      <c r="BF168" s="35"/>
      <c r="BG168" s="18"/>
      <c r="BH168" s="35"/>
      <c r="BI168" s="18"/>
      <c r="BJ168" s="35"/>
      <c r="BK168" s="18" t="s">
        <v>332</v>
      </c>
      <c r="BL168" s="91">
        <v>24000</v>
      </c>
      <c r="BM168" s="18"/>
      <c r="BN168" s="35"/>
      <c r="BO168" s="18"/>
      <c r="BP168" s="35"/>
      <c r="BQ168" s="18"/>
      <c r="BR168" s="35"/>
      <c r="BS168" s="18"/>
    </row>
    <row r="169" spans="3:71" s="1" customFormat="1" outlineLevel="1" x14ac:dyDescent="0.25">
      <c r="C169" s="21"/>
      <c r="E169" s="14"/>
      <c r="F169" s="4" t="s">
        <v>757</v>
      </c>
      <c r="N169" s="23"/>
      <c r="R169" s="4"/>
      <c r="S169" s="18"/>
      <c r="T169" s="45"/>
      <c r="U169" s="18"/>
      <c r="V169" s="35"/>
      <c r="W169" s="18"/>
      <c r="X169" s="35"/>
      <c r="Y169" s="18"/>
      <c r="Z169" s="35"/>
      <c r="AA169" s="18"/>
      <c r="AB169" s="35"/>
      <c r="AC169" s="18"/>
      <c r="AD169" s="35"/>
      <c r="AE169" s="18"/>
      <c r="AF169" s="35"/>
      <c r="AG169" s="18"/>
      <c r="AH169" s="35"/>
      <c r="AI169" s="18"/>
      <c r="AJ169" s="35"/>
      <c r="AK169" s="18"/>
      <c r="AL169" s="35"/>
      <c r="AM169" s="18"/>
      <c r="AN169" s="35">
        <v>0</v>
      </c>
      <c r="AP169" s="35">
        <v>0</v>
      </c>
      <c r="AQ169" s="18"/>
      <c r="AR169" s="35"/>
      <c r="AS169" s="18"/>
      <c r="AT169" s="137"/>
      <c r="AU169" s="18" t="s">
        <v>371</v>
      </c>
      <c r="AV169" s="45">
        <v>6000</v>
      </c>
      <c r="AW169" s="18"/>
      <c r="AX169" s="35"/>
      <c r="AY169" s="18"/>
      <c r="AZ169" s="35"/>
      <c r="BA169" s="18"/>
      <c r="BB169" s="35"/>
      <c r="BC169" s="18"/>
      <c r="BD169" s="35"/>
      <c r="BF169" s="35"/>
      <c r="BG169" s="18"/>
      <c r="BH169" s="35"/>
      <c r="BI169" s="18"/>
      <c r="BJ169" s="35"/>
      <c r="BK169" s="18" t="s">
        <v>779</v>
      </c>
      <c r="BL169" s="35">
        <v>15000</v>
      </c>
      <c r="BM169" s="18"/>
      <c r="BN169" s="35"/>
      <c r="BO169" s="18"/>
      <c r="BP169" s="35"/>
      <c r="BQ169" s="18"/>
      <c r="BR169" s="35"/>
      <c r="BS169" s="18"/>
    </row>
    <row r="170" spans="3:71" s="14" customFormat="1" x14ac:dyDescent="0.25">
      <c r="E170" s="14" t="s">
        <v>372</v>
      </c>
      <c r="G170" s="21"/>
      <c r="N170" s="19" t="s">
        <v>373</v>
      </c>
      <c r="S170" s="20"/>
      <c r="T170" s="14">
        <f>SUM(T171:T175)</f>
        <v>11000</v>
      </c>
      <c r="U170" s="22"/>
      <c r="V170" s="14">
        <f>SUM(V171:V175)</f>
        <v>0</v>
      </c>
      <c r="W170" s="22"/>
      <c r="X170" s="14">
        <f>SUM(X171:X175)</f>
        <v>0</v>
      </c>
      <c r="Y170" s="22"/>
      <c r="Z170" s="14">
        <f>SUM(Z171:Z175)</f>
        <v>13000</v>
      </c>
      <c r="AA170" s="22"/>
      <c r="AB170" s="14">
        <f>SUM(AB171:AB175)</f>
        <v>32502</v>
      </c>
      <c r="AC170" s="22"/>
      <c r="AD170" s="14">
        <f>SUM(AD171:AD175)</f>
        <v>8000</v>
      </c>
      <c r="AE170" s="18"/>
      <c r="AF170" s="14">
        <f>SUM(AF171:AF175)</f>
        <v>0</v>
      </c>
      <c r="AG170" s="22"/>
      <c r="AH170" s="14">
        <f>SUM(AH171:AH175)</f>
        <v>0</v>
      </c>
      <c r="AI170" s="22"/>
      <c r="AJ170" s="14">
        <f>SUM(AJ171:AJ175)</f>
        <v>0</v>
      </c>
      <c r="AK170" s="22"/>
      <c r="AL170" s="14">
        <f>SUM(AL171:AL175)</f>
        <v>8000</v>
      </c>
      <c r="AM170" s="22"/>
      <c r="AN170" s="14">
        <f>SUM(AN171:AN175)</f>
        <v>15000</v>
      </c>
      <c r="AO170" s="22"/>
      <c r="AP170" s="14">
        <f>SUM(AP171:AP175)</f>
        <v>4166.666666666667</v>
      </c>
      <c r="AQ170" s="22"/>
      <c r="AR170" s="14">
        <f>SUM(AR171:AR175)</f>
        <v>22000</v>
      </c>
      <c r="AS170" s="22"/>
      <c r="AT170" s="125">
        <f>SUM(AT171:AT175)</f>
        <v>91600</v>
      </c>
      <c r="AU170" s="22"/>
      <c r="AV170" s="14">
        <f>SUM(AV171:AV175)</f>
        <v>33500</v>
      </c>
      <c r="AW170" s="22"/>
      <c r="AX170" s="14">
        <f>SUM(AX171:AX175)</f>
        <v>33500</v>
      </c>
      <c r="AY170" s="22"/>
      <c r="AZ170" s="14">
        <f>SUM(AZ171:AZ175)</f>
        <v>20000</v>
      </c>
      <c r="BA170" s="22"/>
      <c r="BB170" s="14">
        <f>SUM(BB171:BB176)</f>
        <v>113786</v>
      </c>
      <c r="BC170" s="22"/>
      <c r="BD170" s="14">
        <f>SUM(BD171:BD175)</f>
        <v>78000</v>
      </c>
      <c r="BE170" s="22"/>
      <c r="BF170" s="14">
        <f>SUM(BF171:BF176)</f>
        <v>25000</v>
      </c>
      <c r="BG170" s="22"/>
      <c r="BH170" s="14">
        <f>SUM(BH171:BH176)</f>
        <v>20000</v>
      </c>
      <c r="BI170" s="22"/>
      <c r="BJ170" s="14">
        <f>SUM(BJ171:BJ176)</f>
        <v>48000</v>
      </c>
      <c r="BK170" s="22" t="s">
        <v>132</v>
      </c>
      <c r="BL170" s="14">
        <f>SUM(BL171:BL176)</f>
        <v>158000</v>
      </c>
      <c r="BM170" s="22"/>
      <c r="BN170" s="14">
        <f>SUM(BN171:BN176)</f>
        <v>57000</v>
      </c>
      <c r="BO170" s="22"/>
      <c r="BP170" s="14">
        <f>SUM(BP171:BP175)</f>
        <v>0</v>
      </c>
      <c r="BQ170" s="22"/>
      <c r="BR170" s="14">
        <f>SUM(BR171:BR175)</f>
        <v>0</v>
      </c>
      <c r="BS170" s="22"/>
    </row>
    <row r="171" spans="3:71" outlineLevel="1" x14ac:dyDescent="0.25">
      <c r="C171" s="14"/>
      <c r="E171" s="14"/>
      <c r="F171" s="4" t="s">
        <v>374</v>
      </c>
      <c r="S171" s="16" t="s">
        <v>375</v>
      </c>
      <c r="T171" s="46">
        <v>11000</v>
      </c>
      <c r="V171" s="34">
        <v>0</v>
      </c>
      <c r="X171" s="34">
        <v>0</v>
      </c>
      <c r="Y171" s="18" t="s">
        <v>376</v>
      </c>
      <c r="Z171" s="46">
        <v>10000</v>
      </c>
      <c r="AA171" s="18" t="s">
        <v>75</v>
      </c>
      <c r="AB171" s="45">
        <v>16502</v>
      </c>
      <c r="AC171" s="18" t="s">
        <v>116</v>
      </c>
      <c r="AD171" s="45">
        <v>8000</v>
      </c>
      <c r="AF171" s="34">
        <v>0</v>
      </c>
      <c r="AH171" s="35">
        <v>0</v>
      </c>
      <c r="AJ171" s="35">
        <v>0</v>
      </c>
      <c r="AK171" s="18" t="s">
        <v>287</v>
      </c>
      <c r="AL171" s="45">
        <v>8000</v>
      </c>
      <c r="AM171" s="18" t="s">
        <v>377</v>
      </c>
      <c r="AN171" s="45">
        <v>10000</v>
      </c>
      <c r="AO171" s="18" t="s">
        <v>378</v>
      </c>
      <c r="AP171" s="45">
        <f>12500/3</f>
        <v>4166.666666666667</v>
      </c>
      <c r="AR171" s="35">
        <v>0</v>
      </c>
      <c r="AS171" s="18" t="s">
        <v>379</v>
      </c>
      <c r="AT171" s="138">
        <v>8000</v>
      </c>
      <c r="AU171" s="18" t="s">
        <v>310</v>
      </c>
      <c r="AV171" s="45">
        <v>8000</v>
      </c>
      <c r="AW171" s="18" t="s">
        <v>324</v>
      </c>
      <c r="AX171" s="45">
        <v>8000</v>
      </c>
      <c r="AY171" s="18" t="s">
        <v>380</v>
      </c>
      <c r="AZ171" s="45">
        <v>20000</v>
      </c>
      <c r="BA171" s="18" t="s">
        <v>381</v>
      </c>
      <c r="BB171" s="45">
        <v>8000</v>
      </c>
      <c r="BC171" s="18"/>
      <c r="BD171" s="35"/>
      <c r="BE171" s="18" t="s">
        <v>382</v>
      </c>
      <c r="BF171" s="46">
        <v>2000</v>
      </c>
      <c r="BG171" s="18" t="s">
        <v>383</v>
      </c>
      <c r="BH171" s="35">
        <v>20000</v>
      </c>
      <c r="BI171" s="18" t="s">
        <v>690</v>
      </c>
      <c r="BJ171" s="35">
        <f>50000/2</f>
        <v>25000</v>
      </c>
      <c r="BK171" s="18" t="s">
        <v>384</v>
      </c>
      <c r="BL171" s="34">
        <v>80000</v>
      </c>
      <c r="BM171" s="18" t="s">
        <v>253</v>
      </c>
      <c r="BN171" s="39">
        <v>7000</v>
      </c>
      <c r="BP171" s="34">
        <v>0</v>
      </c>
      <c r="BR171" s="34">
        <v>0</v>
      </c>
    </row>
    <row r="172" spans="3:71" outlineLevel="1" x14ac:dyDescent="0.25">
      <c r="C172" s="14"/>
      <c r="E172" s="14"/>
      <c r="F172" s="4" t="s">
        <v>177</v>
      </c>
      <c r="T172" s="35">
        <v>0</v>
      </c>
      <c r="V172" s="35">
        <v>0</v>
      </c>
      <c r="X172" s="35">
        <v>0</v>
      </c>
      <c r="Y172" s="18" t="s">
        <v>88</v>
      </c>
      <c r="Z172" s="46">
        <v>3000</v>
      </c>
      <c r="AA172" s="18" t="s">
        <v>237</v>
      </c>
      <c r="AB172" s="45">
        <v>8000</v>
      </c>
      <c r="AD172" s="35">
        <v>0</v>
      </c>
      <c r="AF172" s="35">
        <v>0</v>
      </c>
      <c r="AH172" s="35">
        <v>0</v>
      </c>
      <c r="AJ172" s="35">
        <v>0</v>
      </c>
      <c r="AL172" s="35">
        <v>0</v>
      </c>
      <c r="AM172" s="18" t="s">
        <v>186</v>
      </c>
      <c r="AN172" s="45">
        <v>5000</v>
      </c>
      <c r="AP172" s="35">
        <v>0</v>
      </c>
      <c r="AR172" s="35">
        <v>0</v>
      </c>
      <c r="AS172" s="18" t="s">
        <v>385</v>
      </c>
      <c r="AT172" s="138">
        <v>9600</v>
      </c>
      <c r="AU172" s="18" t="s">
        <v>386</v>
      </c>
      <c r="AV172" s="45">
        <v>8000</v>
      </c>
      <c r="AW172" s="18" t="s">
        <v>387</v>
      </c>
      <c r="AX172" s="45">
        <v>17500</v>
      </c>
      <c r="AZ172" s="35">
        <v>0</v>
      </c>
      <c r="BA172" s="18" t="s">
        <v>380</v>
      </c>
      <c r="BB172" s="45">
        <v>30000</v>
      </c>
      <c r="BC172" s="18" t="s">
        <v>380</v>
      </c>
      <c r="BD172" s="45">
        <v>40000</v>
      </c>
      <c r="BE172" s="18" t="s">
        <v>388</v>
      </c>
      <c r="BF172" s="45">
        <v>5000</v>
      </c>
      <c r="BH172" s="35">
        <v>0</v>
      </c>
      <c r="BI172" s="18" t="s">
        <v>712</v>
      </c>
      <c r="BJ172" s="91">
        <v>8000</v>
      </c>
      <c r="BK172" s="18" t="s">
        <v>690</v>
      </c>
      <c r="BL172" s="35">
        <f>50000/2</f>
        <v>25000</v>
      </c>
      <c r="BM172" s="18" t="s">
        <v>384</v>
      </c>
      <c r="BN172" s="34">
        <v>40000</v>
      </c>
      <c r="BP172" s="35">
        <v>0</v>
      </c>
      <c r="BR172" s="35">
        <v>0</v>
      </c>
    </row>
    <row r="173" spans="3:71" outlineLevel="1" x14ac:dyDescent="0.25">
      <c r="C173" s="14"/>
      <c r="E173" s="14"/>
      <c r="F173" s="4" t="s">
        <v>197</v>
      </c>
      <c r="T173" s="35">
        <v>0</v>
      </c>
      <c r="V173" s="35">
        <v>0</v>
      </c>
      <c r="X173" s="35">
        <v>0</v>
      </c>
      <c r="Z173" s="35">
        <v>0</v>
      </c>
      <c r="AA173" s="18" t="s">
        <v>200</v>
      </c>
      <c r="AB173" s="47">
        <v>8000</v>
      </c>
      <c r="AD173" s="35">
        <v>0</v>
      </c>
      <c r="AF173" s="35">
        <v>0</v>
      </c>
      <c r="AH173" s="35">
        <v>0</v>
      </c>
      <c r="AJ173" s="35">
        <v>0</v>
      </c>
      <c r="AL173" s="35">
        <v>0</v>
      </c>
      <c r="AN173" s="35">
        <v>0</v>
      </c>
      <c r="AP173" s="35">
        <v>0</v>
      </c>
      <c r="AQ173" s="18" t="s">
        <v>102</v>
      </c>
      <c r="AR173" s="45">
        <v>8000</v>
      </c>
      <c r="AS173" s="18" t="s">
        <v>259</v>
      </c>
      <c r="AT173" s="135">
        <v>9000</v>
      </c>
      <c r="AU173" s="18" t="s">
        <v>389</v>
      </c>
      <c r="AV173" s="45">
        <v>17500</v>
      </c>
      <c r="AW173" s="18" t="s">
        <v>390</v>
      </c>
      <c r="AX173" s="45">
        <v>8000</v>
      </c>
      <c r="AY173" s="22"/>
      <c r="AZ173" s="35">
        <v>0</v>
      </c>
      <c r="BA173" s="18" t="s">
        <v>291</v>
      </c>
      <c r="BB173" s="45">
        <v>30000</v>
      </c>
      <c r="BC173" s="18" t="s">
        <v>312</v>
      </c>
      <c r="BD173" s="47">
        <v>8000</v>
      </c>
      <c r="BE173" s="18" t="s">
        <v>391</v>
      </c>
      <c r="BF173" s="45">
        <v>10000</v>
      </c>
      <c r="BH173" s="35">
        <v>0</v>
      </c>
      <c r="BI173" s="18" t="s">
        <v>736</v>
      </c>
      <c r="BJ173" s="35">
        <v>15000</v>
      </c>
      <c r="BK173" s="18" t="s">
        <v>709</v>
      </c>
      <c r="BL173" s="35">
        <v>8000</v>
      </c>
      <c r="BM173" s="18" t="s">
        <v>718</v>
      </c>
      <c r="BN173" s="35">
        <v>10000</v>
      </c>
      <c r="BP173" s="35">
        <v>0</v>
      </c>
      <c r="BR173" s="35">
        <v>0</v>
      </c>
    </row>
    <row r="174" spans="3:71" outlineLevel="1" x14ac:dyDescent="0.25">
      <c r="C174" s="14"/>
      <c r="E174" s="14"/>
      <c r="F174" s="4" t="s">
        <v>197</v>
      </c>
      <c r="T174" s="35">
        <v>0</v>
      </c>
      <c r="V174" s="35">
        <v>0</v>
      </c>
      <c r="X174" s="35">
        <v>0</v>
      </c>
      <c r="Z174" s="35">
        <v>0</v>
      </c>
      <c r="AB174" s="35">
        <v>0</v>
      </c>
      <c r="AD174" s="35">
        <v>0</v>
      </c>
      <c r="AF174" s="35">
        <v>0</v>
      </c>
      <c r="AH174" s="35">
        <v>0</v>
      </c>
      <c r="AJ174" s="35">
        <v>0</v>
      </c>
      <c r="AL174" s="35">
        <v>0</v>
      </c>
      <c r="AN174" s="35">
        <v>0</v>
      </c>
      <c r="AP174" s="35">
        <v>0</v>
      </c>
      <c r="AQ174" s="18" t="s">
        <v>127</v>
      </c>
      <c r="AR174" s="45">
        <v>4000</v>
      </c>
      <c r="AS174" s="18" t="s">
        <v>271</v>
      </c>
      <c r="AT174" s="135">
        <v>65000</v>
      </c>
      <c r="AV174" s="35">
        <v>0</v>
      </c>
      <c r="AW174" s="22"/>
      <c r="AX174" s="35">
        <v>0</v>
      </c>
      <c r="AY174" s="22"/>
      <c r="AZ174" s="35">
        <v>0</v>
      </c>
      <c r="BA174" s="18" t="s">
        <v>392</v>
      </c>
      <c r="BB174" s="45">
        <v>11500</v>
      </c>
      <c r="BC174" s="18" t="s">
        <v>291</v>
      </c>
      <c r="BD174" s="45">
        <v>30000</v>
      </c>
      <c r="BE174" s="18" t="s">
        <v>393</v>
      </c>
      <c r="BF174" s="45">
        <v>8000</v>
      </c>
      <c r="BH174" s="35">
        <v>0</v>
      </c>
      <c r="BJ174" s="35">
        <v>0</v>
      </c>
      <c r="BK174" s="18" t="s">
        <v>714</v>
      </c>
      <c r="BL174" s="35">
        <v>30000</v>
      </c>
      <c r="BN174" s="35">
        <v>0</v>
      </c>
      <c r="BP174" s="35">
        <v>0</v>
      </c>
      <c r="BR174" s="35">
        <v>0</v>
      </c>
    </row>
    <row r="175" spans="3:71" outlineLevel="1" x14ac:dyDescent="0.25">
      <c r="C175" s="14"/>
      <c r="E175" s="14"/>
      <c r="F175" s="4" t="s">
        <v>197</v>
      </c>
      <c r="T175" s="35">
        <v>0</v>
      </c>
      <c r="V175" s="35">
        <v>0</v>
      </c>
      <c r="X175" s="35">
        <v>0</v>
      </c>
      <c r="Z175" s="35">
        <v>0</v>
      </c>
      <c r="AB175" s="35">
        <v>0</v>
      </c>
      <c r="AD175" s="35">
        <v>0</v>
      </c>
      <c r="AF175" s="35">
        <v>0</v>
      </c>
      <c r="AH175" s="35">
        <v>0</v>
      </c>
      <c r="AJ175" s="35">
        <v>0</v>
      </c>
      <c r="AL175" s="35">
        <v>0</v>
      </c>
      <c r="AN175" s="35">
        <v>0</v>
      </c>
      <c r="AP175" s="35">
        <v>0</v>
      </c>
      <c r="AQ175" s="18" t="s">
        <v>394</v>
      </c>
      <c r="AR175" s="45">
        <v>10000</v>
      </c>
      <c r="AT175" s="137">
        <v>0</v>
      </c>
      <c r="AV175" s="35">
        <v>0</v>
      </c>
      <c r="AW175" s="22"/>
      <c r="AX175" s="35">
        <v>0</v>
      </c>
      <c r="AY175" s="22"/>
      <c r="AZ175" s="35">
        <v>0</v>
      </c>
      <c r="BA175" s="18" t="s">
        <v>335</v>
      </c>
      <c r="BB175" s="45">
        <v>20000</v>
      </c>
      <c r="BC175" s="22"/>
      <c r="BD175" s="35">
        <v>0</v>
      </c>
      <c r="BE175" s="22"/>
      <c r="BF175" s="35">
        <v>0</v>
      </c>
      <c r="BG175" s="22"/>
      <c r="BH175" s="35">
        <v>0</v>
      </c>
      <c r="BI175" s="22"/>
      <c r="BJ175" s="35">
        <v>0</v>
      </c>
      <c r="BK175" s="18" t="s">
        <v>736</v>
      </c>
      <c r="BL175" s="35">
        <v>15000</v>
      </c>
      <c r="BM175" s="22"/>
      <c r="BN175" s="35">
        <v>0</v>
      </c>
      <c r="BO175" s="22"/>
      <c r="BP175" s="35">
        <v>0</v>
      </c>
      <c r="BQ175" s="22"/>
      <c r="BR175" s="35">
        <v>0</v>
      </c>
      <c r="BS175" s="22"/>
    </row>
    <row r="176" spans="3:71" outlineLevel="1" x14ac:dyDescent="0.25">
      <c r="C176" s="14"/>
      <c r="E176" s="14"/>
      <c r="T176" s="35"/>
      <c r="V176" s="35"/>
      <c r="X176" s="35"/>
      <c r="Z176" s="35"/>
      <c r="AB176" s="35"/>
      <c r="AD176" s="35"/>
      <c r="AF176" s="35"/>
      <c r="AH176" s="35"/>
      <c r="AJ176" s="35"/>
      <c r="AL176" s="35"/>
      <c r="AN176" s="35"/>
      <c r="AP176" s="35"/>
      <c r="AR176" s="45"/>
      <c r="AT176" s="137"/>
      <c r="AV176" s="35"/>
      <c r="AW176" s="22"/>
      <c r="AX176" s="35"/>
      <c r="AY176" s="22"/>
      <c r="AZ176" s="35"/>
      <c r="BA176" s="18" t="s">
        <v>337</v>
      </c>
      <c r="BB176" s="45">
        <v>14286</v>
      </c>
      <c r="BC176" s="22"/>
      <c r="BD176" s="35"/>
      <c r="BE176" s="22"/>
      <c r="BF176" s="35"/>
      <c r="BG176" s="22"/>
      <c r="BH176" s="35"/>
      <c r="BI176" s="22"/>
      <c r="BJ176" s="35"/>
      <c r="BK176" s="22"/>
      <c r="BL176" s="35"/>
      <c r="BM176" s="22"/>
      <c r="BN176" s="35"/>
      <c r="BO176" s="22"/>
      <c r="BP176" s="35"/>
      <c r="BQ176" s="22"/>
      <c r="BR176" s="35"/>
      <c r="BS176" s="22"/>
    </row>
    <row r="177" spans="3:71" x14ac:dyDescent="0.25">
      <c r="C177" s="14"/>
      <c r="D177" s="14"/>
      <c r="E177" s="14" t="s">
        <v>395</v>
      </c>
      <c r="T177" s="14">
        <f>SUM(T178:T181)</f>
        <v>118670</v>
      </c>
      <c r="V177" s="14">
        <f>SUM(V178:V181)</f>
        <v>52980</v>
      </c>
      <c r="X177" s="14">
        <f>SUM(X178:X181)</f>
        <v>96000</v>
      </c>
      <c r="Z177" s="14">
        <f>SUM(Z178:Z181)</f>
        <v>2250</v>
      </c>
      <c r="AB177" s="14">
        <f>SUM(AB178:AB181)</f>
        <v>54330</v>
      </c>
      <c r="AD177" s="14">
        <f>SUM(AD178:AD181)</f>
        <v>59666.666666666672</v>
      </c>
      <c r="AF177" s="14">
        <f>SUM(AF178:AF181)</f>
        <v>22066.666666666668</v>
      </c>
      <c r="AH177" s="14">
        <f>SUM(AH178:AH181)</f>
        <v>66447.916666666672</v>
      </c>
      <c r="AJ177" s="14">
        <f>SUM(AJ178:AJ181)</f>
        <v>172588</v>
      </c>
      <c r="AL177" s="14">
        <f>SUM(AL178:AL181)</f>
        <v>37375</v>
      </c>
      <c r="AN177" s="14">
        <f>SUM(AN178:AN181)</f>
        <v>97125</v>
      </c>
      <c r="AP177" s="14">
        <f>SUM(AP178:AP181)</f>
        <v>68520</v>
      </c>
      <c r="AR177" s="14">
        <f>SUM(AR178:AR181)</f>
        <v>36325</v>
      </c>
      <c r="AT177" s="125">
        <f>SUM(AT178:AT184)</f>
        <v>5333</v>
      </c>
      <c r="AU177" s="22"/>
      <c r="AV177" s="14">
        <f>SUM(AV178:AV184)</f>
        <v>3000</v>
      </c>
      <c r="AW177" s="22"/>
      <c r="AX177" s="14">
        <f>SUM(AX178:AX184)</f>
        <v>14076</v>
      </c>
      <c r="AY177" s="22"/>
      <c r="AZ177" s="14">
        <f>SUM(AZ178:AZ189)</f>
        <v>105671</v>
      </c>
      <c r="BA177" s="22"/>
      <c r="BB177" s="14">
        <f>SUM(BB178:BB189)</f>
        <v>121985.41176470589</v>
      </c>
      <c r="BC177" s="22"/>
      <c r="BD177" s="14">
        <f>SUM(BD178:BD189)</f>
        <v>100200.41176470589</v>
      </c>
      <c r="BE177" s="22"/>
      <c r="BF177" s="14">
        <f>SUM(BF178:BF189)</f>
        <v>145636.4117647059</v>
      </c>
      <c r="BG177" s="22"/>
      <c r="BH177" s="14">
        <f>SUM(BH178:BH189)</f>
        <v>126322</v>
      </c>
      <c r="BI177" s="22"/>
      <c r="BJ177" s="14">
        <f>SUM(BJ178:BJ189)</f>
        <v>38000</v>
      </c>
      <c r="BK177" s="22"/>
      <c r="BL177" s="14">
        <f>SUM(BL178:BL184)</f>
        <v>99000</v>
      </c>
      <c r="BM177" s="22"/>
      <c r="BN177" s="14">
        <f>SUM(BN178:BN184)</f>
        <v>20000</v>
      </c>
      <c r="BO177" s="22"/>
      <c r="BP177" s="14">
        <f>SUM(BP178:BP184)</f>
        <v>0</v>
      </c>
      <c r="BQ177" s="22"/>
      <c r="BR177" s="14">
        <f>SUM(BR178:BR184)</f>
        <v>0</v>
      </c>
      <c r="BS177" s="22"/>
    </row>
    <row r="178" spans="3:71" s="1" customFormat="1" outlineLevel="1" x14ac:dyDescent="0.25">
      <c r="E178" s="4"/>
      <c r="F178" s="4" t="s">
        <v>374</v>
      </c>
      <c r="N178" s="23"/>
      <c r="R178" s="4"/>
      <c r="S178" s="16" t="s">
        <v>396</v>
      </c>
      <c r="T178" s="45">
        <v>63010</v>
      </c>
      <c r="U178" s="16" t="s">
        <v>397</v>
      </c>
      <c r="V178" s="45">
        <v>52980</v>
      </c>
      <c r="W178" s="18" t="s">
        <v>81</v>
      </c>
      <c r="X178" s="45">
        <v>52000</v>
      </c>
      <c r="Y178" s="18"/>
      <c r="Z178" s="35">
        <v>0</v>
      </c>
      <c r="AA178" s="18" t="s">
        <v>89</v>
      </c>
      <c r="AB178" s="45">
        <v>20000</v>
      </c>
      <c r="AC178" s="18" t="s">
        <v>111</v>
      </c>
      <c r="AD178" s="45">
        <v>40000</v>
      </c>
      <c r="AE178" s="18" t="s">
        <v>398</v>
      </c>
      <c r="AF178" s="45">
        <f>50000/3</f>
        <v>16666.666666666668</v>
      </c>
      <c r="AG178" s="18" t="s">
        <v>398</v>
      </c>
      <c r="AH178" s="45">
        <f>50000/3</f>
        <v>16666.666666666668</v>
      </c>
      <c r="AI178" s="18" t="s">
        <v>398</v>
      </c>
      <c r="AJ178" s="45">
        <v>6000</v>
      </c>
      <c r="AK178" s="18" t="s">
        <v>398</v>
      </c>
      <c r="AL178" s="45">
        <v>20000</v>
      </c>
      <c r="AM178" s="18" t="s">
        <v>398</v>
      </c>
      <c r="AN178" s="45">
        <v>20000</v>
      </c>
      <c r="AO178" s="18" t="s">
        <v>398</v>
      </c>
      <c r="AP178" s="45">
        <v>20000</v>
      </c>
      <c r="AQ178" s="18" t="s">
        <v>199</v>
      </c>
      <c r="AR178" s="45">
        <v>2575</v>
      </c>
      <c r="AS178" s="18" t="s">
        <v>199</v>
      </c>
      <c r="AT178" s="135">
        <f>3333</f>
        <v>3333</v>
      </c>
      <c r="AU178" s="22"/>
      <c r="AV178" s="35">
        <v>0</v>
      </c>
      <c r="AW178" s="18" t="s">
        <v>399</v>
      </c>
      <c r="AX178" s="45">
        <v>11076</v>
      </c>
      <c r="AY178" s="18" t="s">
        <v>271</v>
      </c>
      <c r="AZ178" s="45">
        <v>68671</v>
      </c>
      <c r="BA178" s="18" t="s">
        <v>271</v>
      </c>
      <c r="BB178" s="45">
        <v>66456</v>
      </c>
      <c r="BC178" s="18" t="s">
        <v>271</v>
      </c>
      <c r="BD178" s="45">
        <v>68671</v>
      </c>
      <c r="BE178" s="18" t="s">
        <v>271</v>
      </c>
      <c r="BF178" s="45">
        <v>66456</v>
      </c>
      <c r="BG178" s="18" t="s">
        <v>271</v>
      </c>
      <c r="BH178" s="45">
        <v>68671</v>
      </c>
      <c r="BI178" s="18"/>
      <c r="BJ178" s="91"/>
      <c r="BK178" s="18" t="s">
        <v>400</v>
      </c>
      <c r="BL178" s="91">
        <v>2000</v>
      </c>
      <c r="BM178" s="18" t="s">
        <v>697</v>
      </c>
      <c r="BN178" s="35">
        <v>20000</v>
      </c>
      <c r="BO178" s="22"/>
      <c r="BP178" s="35">
        <v>0</v>
      </c>
      <c r="BQ178" s="22"/>
      <c r="BR178" s="35">
        <v>0</v>
      </c>
      <c r="BS178" s="22"/>
    </row>
    <row r="179" spans="3:71" s="1" customFormat="1" outlineLevel="1" x14ac:dyDescent="0.25">
      <c r="E179" s="4"/>
      <c r="F179" s="4" t="s">
        <v>177</v>
      </c>
      <c r="N179" s="23"/>
      <c r="R179" s="4"/>
      <c r="S179" s="16" t="s">
        <v>401</v>
      </c>
      <c r="T179" s="45">
        <v>44160</v>
      </c>
      <c r="U179" s="18"/>
      <c r="V179" s="35">
        <v>0</v>
      </c>
      <c r="W179" s="18" t="s">
        <v>402</v>
      </c>
      <c r="X179" s="45">
        <v>36000</v>
      </c>
      <c r="Y179" s="18"/>
      <c r="Z179" s="35">
        <v>0</v>
      </c>
      <c r="AA179" s="18" t="s">
        <v>403</v>
      </c>
      <c r="AB179" s="45">
        <v>2080</v>
      </c>
      <c r="AC179" s="18"/>
      <c r="AD179" s="35">
        <v>0</v>
      </c>
      <c r="AE179" s="18"/>
      <c r="AF179" s="35"/>
      <c r="AG179" s="18"/>
      <c r="AH179" s="35">
        <v>0</v>
      </c>
      <c r="AI179" s="18" t="s">
        <v>404</v>
      </c>
      <c r="AJ179" s="45">
        <v>10000</v>
      </c>
      <c r="AK179" s="18" t="s">
        <v>75</v>
      </c>
      <c r="AL179" s="45">
        <v>14375</v>
      </c>
      <c r="AM179" s="18" t="s">
        <v>75</v>
      </c>
      <c r="AN179" s="45">
        <f>88500-AL179</f>
        <v>74125</v>
      </c>
      <c r="AO179" s="18" t="s">
        <v>75</v>
      </c>
      <c r="AP179" s="45">
        <v>42187</v>
      </c>
      <c r="AQ179" s="18" t="s">
        <v>75</v>
      </c>
      <c r="AR179" s="45">
        <f>21600+12150</f>
        <v>33750</v>
      </c>
      <c r="AS179" s="18" t="s">
        <v>116</v>
      </c>
      <c r="AT179" s="135">
        <v>2000</v>
      </c>
      <c r="AU179" s="22"/>
      <c r="AV179" s="35">
        <v>0</v>
      </c>
      <c r="AW179" s="22"/>
      <c r="AX179" s="35">
        <v>0</v>
      </c>
      <c r="AY179" s="18" t="s">
        <v>405</v>
      </c>
      <c r="AZ179" s="45">
        <v>10000</v>
      </c>
      <c r="BA179" s="18" t="s">
        <v>405</v>
      </c>
      <c r="BB179" s="45">
        <v>10000</v>
      </c>
      <c r="BC179" s="18" t="s">
        <v>335</v>
      </c>
      <c r="BD179" s="45">
        <v>10000</v>
      </c>
      <c r="BE179" s="18" t="s">
        <v>335</v>
      </c>
      <c r="BF179" s="45">
        <v>20000</v>
      </c>
      <c r="BG179" s="22"/>
      <c r="BH179" s="35">
        <v>0</v>
      </c>
      <c r="BI179" s="22"/>
      <c r="BJ179" s="35">
        <v>0</v>
      </c>
      <c r="BK179" s="18" t="s">
        <v>406</v>
      </c>
      <c r="BL179" s="34">
        <v>25000</v>
      </c>
      <c r="BM179" s="22"/>
      <c r="BN179" s="35">
        <v>0</v>
      </c>
      <c r="BO179" s="22"/>
      <c r="BP179" s="35">
        <v>0</v>
      </c>
      <c r="BQ179" s="22"/>
      <c r="BR179" s="35">
        <v>0</v>
      </c>
      <c r="BS179" s="22"/>
    </row>
    <row r="180" spans="3:71" s="1" customFormat="1" outlineLevel="1" x14ac:dyDescent="0.25">
      <c r="E180" s="4"/>
      <c r="F180" s="4" t="s">
        <v>197</v>
      </c>
      <c r="N180" s="23"/>
      <c r="R180" s="4"/>
      <c r="S180" s="16" t="s">
        <v>407</v>
      </c>
      <c r="T180" s="45">
        <v>11500</v>
      </c>
      <c r="U180" s="18"/>
      <c r="V180" s="35">
        <v>0</v>
      </c>
      <c r="W180" s="18" t="s">
        <v>104</v>
      </c>
      <c r="X180" s="45">
        <v>5000</v>
      </c>
      <c r="Y180" s="18"/>
      <c r="Z180" s="35">
        <v>0</v>
      </c>
      <c r="AA180" s="18" t="s">
        <v>408</v>
      </c>
      <c r="AB180" s="45">
        <v>30000</v>
      </c>
      <c r="AC180" s="18" t="s">
        <v>398</v>
      </c>
      <c r="AD180" s="45">
        <f>50000/3</f>
        <v>16666.666666666668</v>
      </c>
      <c r="AE180" s="18" t="s">
        <v>409</v>
      </c>
      <c r="AF180" s="47">
        <f>150*16</f>
        <v>2400</v>
      </c>
      <c r="AG180" s="18" t="s">
        <v>75</v>
      </c>
      <c r="AH180" s="45">
        <v>46781.25</v>
      </c>
      <c r="AI180" s="18" t="s">
        <v>75</v>
      </c>
      <c r="AJ180" s="45">
        <v>153588</v>
      </c>
      <c r="AK180" s="18"/>
      <c r="AL180" s="35">
        <v>0</v>
      </c>
      <c r="AM180" s="18" t="s">
        <v>199</v>
      </c>
      <c r="AN180" s="35">
        <v>0</v>
      </c>
      <c r="AO180" s="18" t="s">
        <v>199</v>
      </c>
      <c r="AP180" s="45">
        <f>3333</f>
        <v>3333</v>
      </c>
      <c r="AQ180" s="18"/>
      <c r="AR180" s="35">
        <v>0</v>
      </c>
      <c r="AS180" s="18"/>
      <c r="AT180" s="137">
        <v>0</v>
      </c>
      <c r="AU180" s="22"/>
      <c r="AV180" s="35">
        <v>0</v>
      </c>
      <c r="AW180" s="22"/>
      <c r="AX180" s="35">
        <v>0</v>
      </c>
      <c r="AY180" s="18" t="s">
        <v>410</v>
      </c>
      <c r="AZ180" s="45">
        <f>48000/2</f>
        <v>24000</v>
      </c>
      <c r="BA180" s="18" t="s">
        <v>411</v>
      </c>
      <c r="BB180" s="45">
        <f>48000/2</f>
        <v>24000</v>
      </c>
      <c r="BC180" s="22"/>
      <c r="BD180" s="35">
        <v>0</v>
      </c>
      <c r="BE180" s="18" t="s">
        <v>412</v>
      </c>
      <c r="BF180" s="45">
        <v>4000</v>
      </c>
      <c r="BG180" s="22"/>
      <c r="BH180" s="35">
        <v>0</v>
      </c>
      <c r="BI180" s="22"/>
      <c r="BJ180" s="35">
        <v>0</v>
      </c>
      <c r="BK180" s="18" t="s">
        <v>688</v>
      </c>
      <c r="BL180" s="35">
        <v>15000</v>
      </c>
      <c r="BM180" s="22"/>
      <c r="BN180" s="35">
        <v>0</v>
      </c>
      <c r="BO180" s="22"/>
      <c r="BP180" s="35">
        <v>0</v>
      </c>
      <c r="BQ180" s="22"/>
      <c r="BR180" s="35">
        <v>0</v>
      </c>
      <c r="BS180" s="22"/>
    </row>
    <row r="181" spans="3:71" s="1" customFormat="1" outlineLevel="1" x14ac:dyDescent="0.25">
      <c r="E181" s="4"/>
      <c r="F181" s="4" t="s">
        <v>217</v>
      </c>
      <c r="N181" s="23"/>
      <c r="R181" s="4"/>
      <c r="S181" s="16"/>
      <c r="T181" s="35">
        <v>0</v>
      </c>
      <c r="U181" s="18"/>
      <c r="V181" s="35">
        <v>0</v>
      </c>
      <c r="W181" s="18" t="s">
        <v>402</v>
      </c>
      <c r="X181" s="45">
        <v>3000</v>
      </c>
      <c r="Y181" s="18" t="s">
        <v>402</v>
      </c>
      <c r="Z181" s="45">
        <v>2250</v>
      </c>
      <c r="AA181" s="18" t="s">
        <v>402</v>
      </c>
      <c r="AB181" s="47">
        <v>2250</v>
      </c>
      <c r="AC181" s="18" t="s">
        <v>402</v>
      </c>
      <c r="AD181" s="45">
        <v>3000</v>
      </c>
      <c r="AE181" s="18" t="s">
        <v>402</v>
      </c>
      <c r="AF181" s="45">
        <v>3000</v>
      </c>
      <c r="AG181" s="18" t="s">
        <v>402</v>
      </c>
      <c r="AH181" s="45">
        <v>3000</v>
      </c>
      <c r="AI181" s="18" t="s">
        <v>402</v>
      </c>
      <c r="AJ181" s="45">
        <v>3000</v>
      </c>
      <c r="AK181" s="18" t="s">
        <v>402</v>
      </c>
      <c r="AL181" s="45">
        <v>3000</v>
      </c>
      <c r="AM181" s="18" t="s">
        <v>402</v>
      </c>
      <c r="AN181" s="45">
        <v>3000</v>
      </c>
      <c r="AO181" s="18" t="s">
        <v>402</v>
      </c>
      <c r="AP181" s="45">
        <v>3000</v>
      </c>
      <c r="AQ181" s="18"/>
      <c r="AR181" s="35">
        <v>0</v>
      </c>
      <c r="AT181" s="137">
        <v>0</v>
      </c>
      <c r="AU181" s="18" t="s">
        <v>413</v>
      </c>
      <c r="AV181" s="45">
        <v>3000</v>
      </c>
      <c r="AW181" s="18" t="s">
        <v>413</v>
      </c>
      <c r="AX181" s="45">
        <v>3000</v>
      </c>
      <c r="AY181" s="18" t="s">
        <v>413</v>
      </c>
      <c r="AZ181" s="45">
        <v>3000</v>
      </c>
      <c r="BA181" s="18" t="s">
        <v>413</v>
      </c>
      <c r="BB181" s="45">
        <v>3000</v>
      </c>
      <c r="BC181" s="18" t="s">
        <v>413</v>
      </c>
      <c r="BD181" s="45">
        <v>3000</v>
      </c>
      <c r="BE181" s="18" t="s">
        <v>413</v>
      </c>
      <c r="BF181" s="45">
        <v>3000</v>
      </c>
      <c r="BG181" s="18" t="s">
        <v>413</v>
      </c>
      <c r="BH181" s="45">
        <v>3000</v>
      </c>
      <c r="BI181" s="18" t="s">
        <v>413</v>
      </c>
      <c r="BJ181" s="35">
        <v>3000</v>
      </c>
      <c r="BK181" s="18" t="s">
        <v>697</v>
      </c>
      <c r="BL181" s="35">
        <v>20000</v>
      </c>
      <c r="BM181" s="22"/>
      <c r="BN181" s="35">
        <v>0</v>
      </c>
      <c r="BO181" s="22"/>
      <c r="BP181" s="35">
        <v>0</v>
      </c>
      <c r="BQ181" s="22"/>
      <c r="BR181" s="35">
        <v>0</v>
      </c>
      <c r="BS181" s="22"/>
    </row>
    <row r="182" spans="3:71" s="1" customFormat="1" outlineLevel="1" x14ac:dyDescent="0.25">
      <c r="E182" s="4"/>
      <c r="F182" s="4" t="s">
        <v>235</v>
      </c>
      <c r="N182" s="23"/>
      <c r="R182" s="4"/>
      <c r="S182" s="16"/>
      <c r="T182" s="35"/>
      <c r="U182" s="18"/>
      <c r="V182" s="35"/>
      <c r="W182" s="18"/>
      <c r="X182" s="45"/>
      <c r="Y182" s="18"/>
      <c r="Z182" s="45"/>
      <c r="AA182" s="18"/>
      <c r="AB182" s="47"/>
      <c r="AC182" s="18"/>
      <c r="AD182" s="45"/>
      <c r="AE182" s="18"/>
      <c r="AF182" s="45"/>
      <c r="AG182" s="18"/>
      <c r="AH182" s="45"/>
      <c r="AI182" s="18"/>
      <c r="AJ182" s="45"/>
      <c r="AK182" s="18"/>
      <c r="AL182" s="45"/>
      <c r="AM182" s="18"/>
      <c r="AN182" s="45"/>
      <c r="AO182" s="18"/>
      <c r="AP182" s="45"/>
      <c r="AQ182" s="18"/>
      <c r="AR182" s="35"/>
      <c r="AT182" s="137"/>
      <c r="AU182" s="18"/>
      <c r="AV182" s="45"/>
      <c r="AX182" s="45"/>
      <c r="AY182" s="18"/>
      <c r="AZ182" s="45"/>
      <c r="BA182" s="18" t="s">
        <v>414</v>
      </c>
      <c r="BB182" s="47">
        <v>15000</v>
      </c>
      <c r="BC182" s="18" t="s">
        <v>415</v>
      </c>
      <c r="BD182" s="45">
        <v>15000</v>
      </c>
      <c r="BE182" s="18" t="s">
        <v>415</v>
      </c>
      <c r="BF182" s="45">
        <v>15000</v>
      </c>
      <c r="BG182" s="18" t="s">
        <v>416</v>
      </c>
      <c r="BH182" s="45">
        <v>12500</v>
      </c>
      <c r="BI182" s="18"/>
      <c r="BJ182" s="35"/>
      <c r="BK182" s="18" t="s">
        <v>715</v>
      </c>
      <c r="BL182" s="35">
        <v>17000</v>
      </c>
      <c r="BM182" s="22"/>
      <c r="BN182" s="35"/>
      <c r="BO182" s="22"/>
      <c r="BP182" s="35"/>
      <c r="BQ182" s="22"/>
      <c r="BR182" s="35"/>
      <c r="BS182" s="22"/>
    </row>
    <row r="183" spans="3:71" s="1" customFormat="1" outlineLevel="1" x14ac:dyDescent="0.25">
      <c r="E183" s="4"/>
      <c r="F183" s="4" t="s">
        <v>254</v>
      </c>
      <c r="N183" s="23"/>
      <c r="R183" s="4"/>
      <c r="S183" s="16"/>
      <c r="T183" s="35"/>
      <c r="U183" s="18"/>
      <c r="V183" s="35"/>
      <c r="W183" s="18"/>
      <c r="X183" s="45"/>
      <c r="Y183" s="18"/>
      <c r="Z183" s="45"/>
      <c r="AA183" s="18"/>
      <c r="AB183" s="47"/>
      <c r="AC183" s="18"/>
      <c r="AD183" s="45"/>
      <c r="AE183" s="18"/>
      <c r="AF183" s="45"/>
      <c r="AG183" s="18"/>
      <c r="AH183" s="45"/>
      <c r="AI183" s="18"/>
      <c r="AJ183" s="45"/>
      <c r="AK183" s="18"/>
      <c r="AL183" s="45"/>
      <c r="AM183" s="18"/>
      <c r="AN183" s="45"/>
      <c r="AO183" s="18"/>
      <c r="AP183" s="45"/>
      <c r="AQ183" s="18"/>
      <c r="AR183" s="35"/>
      <c r="AT183" s="137"/>
      <c r="AU183" s="18"/>
      <c r="AV183" s="45"/>
      <c r="AW183" s="18"/>
      <c r="AX183" s="45"/>
      <c r="AY183" s="18"/>
      <c r="AZ183" s="45"/>
      <c r="BA183" s="18" t="s">
        <v>418</v>
      </c>
      <c r="BB183" s="45">
        <f>3000/0.85</f>
        <v>3529.4117647058824</v>
      </c>
      <c r="BC183" s="18" t="s">
        <v>418</v>
      </c>
      <c r="BD183" s="45">
        <f>3000/0.85</f>
        <v>3529.4117647058824</v>
      </c>
      <c r="BE183" s="18" t="s">
        <v>418</v>
      </c>
      <c r="BF183" s="45">
        <f>3000/0.85</f>
        <v>3529.4117647058824</v>
      </c>
      <c r="BG183" s="18" t="s">
        <v>419</v>
      </c>
      <c r="BH183" s="45">
        <v>10000</v>
      </c>
      <c r="BI183" s="18" t="s">
        <v>688</v>
      </c>
      <c r="BJ183" s="35">
        <v>15000</v>
      </c>
      <c r="BK183" s="18" t="s">
        <v>417</v>
      </c>
      <c r="BL183" s="45">
        <v>20000</v>
      </c>
      <c r="BM183" s="22"/>
      <c r="BN183" s="35"/>
      <c r="BO183" s="22"/>
      <c r="BP183" s="35"/>
      <c r="BQ183" s="22"/>
      <c r="BR183" s="35"/>
      <c r="BS183" s="22"/>
    </row>
    <row r="184" spans="3:71" s="1" customFormat="1" outlineLevel="1" x14ac:dyDescent="0.25">
      <c r="E184" s="4"/>
      <c r="F184" s="4" t="s">
        <v>269</v>
      </c>
      <c r="N184" s="23"/>
      <c r="R184" s="4"/>
      <c r="S184" s="16"/>
      <c r="T184" s="35"/>
      <c r="U184" s="18"/>
      <c r="V184" s="35"/>
      <c r="W184" s="18"/>
      <c r="X184" s="45"/>
      <c r="Y184" s="18"/>
      <c r="Z184" s="45"/>
      <c r="AA184" s="18"/>
      <c r="AB184" s="47"/>
      <c r="AC184" s="18"/>
      <c r="AD184" s="45"/>
      <c r="AE184" s="18"/>
      <c r="AF184" s="45"/>
      <c r="AG184" s="18"/>
      <c r="AH184" s="45"/>
      <c r="AI184" s="18"/>
      <c r="AJ184" s="45"/>
      <c r="AK184" s="18"/>
      <c r="AL184" s="45"/>
      <c r="AM184" s="18"/>
      <c r="AN184" s="45"/>
      <c r="AO184" s="18"/>
      <c r="AP184" s="45"/>
      <c r="AQ184" s="18"/>
      <c r="AR184" s="35"/>
      <c r="AT184" s="137"/>
      <c r="AU184" s="18"/>
      <c r="AV184" s="45"/>
      <c r="AW184" s="18"/>
      <c r="AX184" s="45"/>
      <c r="AY184" s="18"/>
      <c r="AZ184" s="45"/>
      <c r="BA184" s="18"/>
      <c r="BB184" s="35"/>
      <c r="BC184" s="18"/>
      <c r="BD184" s="35"/>
      <c r="BE184" s="18" t="s">
        <v>416</v>
      </c>
      <c r="BF184" s="45">
        <v>12500</v>
      </c>
      <c r="BG184" s="18" t="s">
        <v>420</v>
      </c>
      <c r="BH184" s="45">
        <v>10000</v>
      </c>
      <c r="BI184" s="18" t="s">
        <v>697</v>
      </c>
      <c r="BJ184" s="35">
        <v>20000</v>
      </c>
      <c r="BK184" s="22"/>
      <c r="BL184" s="35"/>
      <c r="BM184" s="22"/>
      <c r="BN184" s="35"/>
      <c r="BO184" s="22"/>
      <c r="BP184" s="35"/>
      <c r="BQ184" s="22"/>
      <c r="BR184" s="35"/>
      <c r="BS184" s="22"/>
    </row>
    <row r="185" spans="3:71" s="1" customFormat="1" outlineLevel="1" x14ac:dyDescent="0.25">
      <c r="E185" s="4"/>
      <c r="F185" s="4" t="s">
        <v>283</v>
      </c>
      <c r="N185" s="23"/>
      <c r="R185" s="4"/>
      <c r="S185" s="16"/>
      <c r="T185" s="35"/>
      <c r="U185" s="18"/>
      <c r="V185" s="35"/>
      <c r="W185" s="18"/>
      <c r="X185" s="45"/>
      <c r="Y185" s="18"/>
      <c r="Z185" s="45"/>
      <c r="AA185" s="18"/>
      <c r="AB185" s="47"/>
      <c r="AC185" s="18"/>
      <c r="AD185" s="45"/>
      <c r="AE185" s="18"/>
      <c r="AF185" s="45"/>
      <c r="AG185" s="18"/>
      <c r="AH185" s="45"/>
      <c r="AI185" s="18"/>
      <c r="AJ185" s="45"/>
      <c r="AK185" s="18"/>
      <c r="AL185" s="45"/>
      <c r="AM185" s="18"/>
      <c r="AN185" s="45"/>
      <c r="AO185" s="18"/>
      <c r="AP185" s="45"/>
      <c r="AQ185" s="18"/>
      <c r="AR185" s="35"/>
      <c r="AT185" s="137"/>
      <c r="AU185" s="18"/>
      <c r="AV185" s="45"/>
      <c r="AW185" s="18"/>
      <c r="AX185" s="45"/>
      <c r="AY185" s="18"/>
      <c r="AZ185" s="45"/>
      <c r="BA185" s="18"/>
      <c r="BB185" s="35"/>
      <c r="BC185" s="18"/>
      <c r="BD185" s="35"/>
      <c r="BE185" s="18" t="s">
        <v>419</v>
      </c>
      <c r="BF185" s="45">
        <v>10000</v>
      </c>
      <c r="BG185" s="18"/>
      <c r="BH185" s="91"/>
      <c r="BI185" s="18"/>
      <c r="BJ185" s="35"/>
      <c r="BK185" s="22"/>
      <c r="BL185" s="35"/>
      <c r="BM185" s="22"/>
      <c r="BN185" s="35"/>
      <c r="BO185" s="22"/>
      <c r="BP185" s="35"/>
      <c r="BQ185" s="22"/>
      <c r="BR185" s="35"/>
      <c r="BS185" s="22"/>
    </row>
    <row r="186" spans="3:71" s="1" customFormat="1" outlineLevel="1" x14ac:dyDescent="0.25">
      <c r="E186" s="4"/>
      <c r="F186" s="4" t="s">
        <v>296</v>
      </c>
      <c r="N186" s="23"/>
      <c r="R186" s="4"/>
      <c r="S186" s="16"/>
      <c r="T186" s="35"/>
      <c r="U186" s="18"/>
      <c r="V186" s="35"/>
      <c r="W186" s="18"/>
      <c r="X186" s="45"/>
      <c r="Y186" s="18"/>
      <c r="Z186" s="45"/>
      <c r="AA186" s="18"/>
      <c r="AB186" s="47"/>
      <c r="AC186" s="18"/>
      <c r="AD186" s="45"/>
      <c r="AE186" s="18"/>
      <c r="AF186" s="45"/>
      <c r="AG186" s="18"/>
      <c r="AH186" s="45"/>
      <c r="AI186" s="18"/>
      <c r="AJ186" s="45"/>
      <c r="AK186" s="18"/>
      <c r="AL186" s="45"/>
      <c r="AM186" s="18"/>
      <c r="AN186" s="45"/>
      <c r="AO186" s="18"/>
      <c r="AP186" s="45"/>
      <c r="AQ186" s="18"/>
      <c r="AR186" s="35"/>
      <c r="AT186" s="137"/>
      <c r="AU186" s="18"/>
      <c r="AV186" s="45"/>
      <c r="AW186" s="18"/>
      <c r="AX186" s="45"/>
      <c r="AY186" s="18"/>
      <c r="AZ186" s="45"/>
      <c r="BA186" s="18"/>
      <c r="BB186" s="35"/>
      <c r="BC186" s="18"/>
      <c r="BD186" s="35"/>
      <c r="BE186" s="18" t="s">
        <v>420</v>
      </c>
      <c r="BF186" s="45">
        <v>10000</v>
      </c>
      <c r="BG186" s="18" t="s">
        <v>421</v>
      </c>
      <c r="BH186" s="45">
        <v>20000</v>
      </c>
      <c r="BI186" s="18"/>
      <c r="BJ186" s="35"/>
      <c r="BK186" s="22"/>
      <c r="BL186" s="35"/>
      <c r="BM186" s="22"/>
      <c r="BN186" s="35"/>
      <c r="BO186" s="22"/>
      <c r="BP186" s="35"/>
      <c r="BQ186" s="22"/>
      <c r="BR186" s="35"/>
      <c r="BS186" s="22"/>
    </row>
    <row r="187" spans="3:71" s="1" customFormat="1" outlineLevel="1" x14ac:dyDescent="0.25">
      <c r="E187" s="4"/>
      <c r="F187" s="4" t="s">
        <v>306</v>
      </c>
      <c r="N187" s="23"/>
      <c r="R187" s="4"/>
      <c r="S187" s="16"/>
      <c r="T187" s="35"/>
      <c r="U187" s="18"/>
      <c r="V187" s="35"/>
      <c r="W187" s="18"/>
      <c r="X187" s="45"/>
      <c r="Y187" s="18"/>
      <c r="Z187" s="45"/>
      <c r="AA187" s="18"/>
      <c r="AB187" s="47"/>
      <c r="AC187" s="18"/>
      <c r="AD187" s="45"/>
      <c r="AE187" s="18"/>
      <c r="AF187" s="45"/>
      <c r="AG187" s="18"/>
      <c r="AH187" s="45"/>
      <c r="AI187" s="18"/>
      <c r="AJ187" s="45"/>
      <c r="AK187" s="18"/>
      <c r="AL187" s="45"/>
      <c r="AM187" s="18"/>
      <c r="AN187" s="45"/>
      <c r="AO187" s="18"/>
      <c r="AP187" s="45"/>
      <c r="AQ187" s="18"/>
      <c r="AR187" s="35"/>
      <c r="AT187" s="137"/>
      <c r="AU187" s="18"/>
      <c r="AV187" s="45"/>
      <c r="AW187" s="18"/>
      <c r="AX187" s="45"/>
      <c r="AY187" s="18"/>
      <c r="AZ187" s="45"/>
      <c r="BA187" s="18"/>
      <c r="BB187" s="35"/>
      <c r="BC187" s="18"/>
      <c r="BD187" s="35"/>
      <c r="BE187" s="18"/>
      <c r="BF187" s="91"/>
      <c r="BG187" s="18" t="s">
        <v>727</v>
      </c>
      <c r="BH187" s="45">
        <v>1000</v>
      </c>
      <c r="BI187" s="18"/>
      <c r="BJ187" s="35"/>
      <c r="BK187" s="22"/>
      <c r="BL187" s="35"/>
      <c r="BM187" s="22"/>
      <c r="BN187" s="35"/>
      <c r="BO187" s="22"/>
      <c r="BP187" s="35"/>
      <c r="BQ187" s="22"/>
      <c r="BR187" s="35"/>
      <c r="BS187" s="22"/>
    </row>
    <row r="188" spans="3:71" s="1" customFormat="1" outlineLevel="1" x14ac:dyDescent="0.25">
      <c r="E188" s="4"/>
      <c r="F188" s="4" t="s">
        <v>314</v>
      </c>
      <c r="N188" s="23"/>
      <c r="R188" s="4"/>
      <c r="S188" s="16"/>
      <c r="T188" s="35"/>
      <c r="U188" s="18"/>
      <c r="V188" s="35"/>
      <c r="W188" s="18"/>
      <c r="X188" s="45"/>
      <c r="Y188" s="18"/>
      <c r="Z188" s="45"/>
      <c r="AA188" s="18"/>
      <c r="AB188" s="47"/>
      <c r="AC188" s="18"/>
      <c r="AD188" s="45"/>
      <c r="AE188" s="18"/>
      <c r="AF188" s="45"/>
      <c r="AG188" s="18"/>
      <c r="AH188" s="45"/>
      <c r="AI188" s="18"/>
      <c r="AJ188" s="45"/>
      <c r="AK188" s="18"/>
      <c r="AL188" s="45"/>
      <c r="AM188" s="18"/>
      <c r="AN188" s="45"/>
      <c r="AO188" s="18"/>
      <c r="AP188" s="45"/>
      <c r="AQ188" s="18"/>
      <c r="AR188" s="35"/>
      <c r="AT188" s="137"/>
      <c r="AU188" s="18"/>
      <c r="AV188" s="45"/>
      <c r="AW188" s="18"/>
      <c r="AX188" s="45"/>
      <c r="AY188" s="18"/>
      <c r="AZ188" s="45"/>
      <c r="BA188" s="18"/>
      <c r="BB188" s="35"/>
      <c r="BC188" s="18"/>
      <c r="BD188" s="35"/>
      <c r="BE188" s="18" t="s">
        <v>707</v>
      </c>
      <c r="BF188" s="45">
        <v>1151</v>
      </c>
      <c r="BG188" s="18" t="s">
        <v>707</v>
      </c>
      <c r="BH188" s="45">
        <v>1151</v>
      </c>
      <c r="BI188" s="18"/>
      <c r="BJ188" s="35"/>
      <c r="BK188" s="22"/>
      <c r="BL188" s="35"/>
      <c r="BM188" s="22"/>
      <c r="BN188" s="35"/>
      <c r="BO188" s="22"/>
      <c r="BP188" s="35"/>
      <c r="BQ188" s="22"/>
      <c r="BR188" s="35"/>
      <c r="BS188" s="22"/>
    </row>
    <row r="189" spans="3:71" s="1" customFormat="1" outlineLevel="1" x14ac:dyDescent="0.25">
      <c r="E189" s="4"/>
      <c r="F189" s="4" t="s">
        <v>323</v>
      </c>
      <c r="N189" s="23"/>
      <c r="R189" s="4"/>
      <c r="S189" s="16"/>
      <c r="T189" s="35"/>
      <c r="U189" s="18"/>
      <c r="V189" s="35"/>
      <c r="W189" s="18"/>
      <c r="X189" s="45"/>
      <c r="Y189" s="18"/>
      <c r="Z189" s="45"/>
      <c r="AA189" s="18"/>
      <c r="AB189" s="47"/>
      <c r="AC189" s="18"/>
      <c r="AD189" s="45"/>
      <c r="AE189" s="18"/>
      <c r="AF189" s="45"/>
      <c r="AG189" s="18"/>
      <c r="AH189" s="45"/>
      <c r="AI189" s="18"/>
      <c r="AJ189" s="45"/>
      <c r="AK189" s="18"/>
      <c r="AL189" s="45"/>
      <c r="AM189" s="18"/>
      <c r="AN189" s="45"/>
      <c r="AO189" s="18"/>
      <c r="AP189" s="45"/>
      <c r="AQ189" s="18"/>
      <c r="AR189" s="35"/>
      <c r="AT189" s="137"/>
      <c r="AU189" s="18"/>
      <c r="AV189" s="45"/>
      <c r="AW189" s="18"/>
      <c r="AX189" s="45"/>
      <c r="AY189" s="18"/>
      <c r="AZ189" s="45"/>
      <c r="BA189" s="18"/>
      <c r="BB189" s="35"/>
      <c r="BC189" s="18"/>
      <c r="BD189" s="35"/>
      <c r="BE189" s="18"/>
      <c r="BF189" s="35"/>
      <c r="BG189" s="18" t="s">
        <v>704</v>
      </c>
      <c r="BH189" s="91"/>
      <c r="BI189" s="18"/>
      <c r="BJ189" s="35"/>
      <c r="BK189" s="22"/>
      <c r="BL189" s="35"/>
      <c r="BM189" s="22"/>
      <c r="BN189" s="35"/>
      <c r="BO189" s="22"/>
      <c r="BP189" s="35"/>
      <c r="BQ189" s="22"/>
      <c r="BR189" s="35"/>
      <c r="BS189" s="22"/>
    </row>
    <row r="190" spans="3:71" x14ac:dyDescent="0.25">
      <c r="C190" s="14"/>
      <c r="D190" s="14" t="s">
        <v>422</v>
      </c>
      <c r="T190" s="14">
        <f>SUM(T191:T195)</f>
        <v>0</v>
      </c>
      <c r="V190" s="14">
        <f>SUM(V191:V195)</f>
        <v>0</v>
      </c>
      <c r="X190" s="14">
        <f>SUM(X191:X195)</f>
        <v>0</v>
      </c>
      <c r="Z190" s="14">
        <f>SUM(Z191:Z195)</f>
        <v>0</v>
      </c>
      <c r="AB190" s="14">
        <f>SUM(AB191:AB195)</f>
        <v>0</v>
      </c>
      <c r="AD190" s="14">
        <f>SUM(AD191:AD195)</f>
        <v>9000</v>
      </c>
      <c r="AF190" s="14">
        <f>SUM(AF191:AF195)</f>
        <v>9000</v>
      </c>
      <c r="AH190" s="14">
        <f>SUM(AH191:AH195)</f>
        <v>6500</v>
      </c>
      <c r="AJ190" s="14">
        <f>SUM(AJ191:AJ195)</f>
        <v>6500</v>
      </c>
      <c r="AL190" s="14">
        <f>SUM(AL191:AL195)</f>
        <v>6500</v>
      </c>
      <c r="AN190" s="14">
        <f>SUM(AN191:AN195)</f>
        <v>6500</v>
      </c>
      <c r="AP190" s="14">
        <f>SUM(AP191:AP195)</f>
        <v>14961</v>
      </c>
      <c r="AR190" s="14">
        <f>SUM(AR191:AR195)</f>
        <v>4000</v>
      </c>
      <c r="AT190" s="125">
        <f>SUM(AT191:AT195)</f>
        <v>1827</v>
      </c>
      <c r="AU190" s="22"/>
      <c r="AV190" s="14">
        <f>SUM(AV191:AV195)</f>
        <v>4619.3999999999996</v>
      </c>
      <c r="AW190" s="22"/>
      <c r="AX190" s="14">
        <f>SUM(AX191:AX195)</f>
        <v>1500</v>
      </c>
      <c r="AY190" s="22"/>
      <c r="AZ190" s="14">
        <f>SUM(AZ191:AZ195)</f>
        <v>37215</v>
      </c>
      <c r="BA190" s="22"/>
      <c r="BB190" s="14">
        <f>SUM(BB191:BB195)</f>
        <v>2715</v>
      </c>
      <c r="BC190" s="22"/>
      <c r="BD190" s="14">
        <f>SUM(BD191:BD195)</f>
        <v>439.2</v>
      </c>
      <c r="BE190" s="22"/>
      <c r="BF190" s="14">
        <f>SUM(BF191:BF195)</f>
        <v>2878</v>
      </c>
      <c r="BG190" s="22"/>
      <c r="BH190" s="14">
        <f>SUM(BH191:BH195)</f>
        <v>0</v>
      </c>
      <c r="BI190" s="22"/>
      <c r="BJ190" s="14">
        <f>SUM(BJ191:BJ195)</f>
        <v>0</v>
      </c>
      <c r="BK190" s="22"/>
      <c r="BL190" s="14">
        <f>SUM(BL191:BL195)</f>
        <v>0</v>
      </c>
      <c r="BM190" s="22"/>
      <c r="BN190" s="14">
        <f>SUM(BN191:BN195)</f>
        <v>0</v>
      </c>
      <c r="BO190" s="22"/>
      <c r="BP190" s="14">
        <f>SUM(BP191:BP195)</f>
        <v>0</v>
      </c>
      <c r="BQ190" s="22"/>
      <c r="BR190" s="14">
        <f>SUM(BR191:BR195)</f>
        <v>0</v>
      </c>
      <c r="BS190" s="22"/>
    </row>
    <row r="191" spans="3:71" outlineLevel="1" x14ac:dyDescent="0.25">
      <c r="C191" s="14"/>
      <c r="D191" s="14"/>
      <c r="F191" s="4" t="s">
        <v>374</v>
      </c>
      <c r="T191" s="35">
        <v>0</v>
      </c>
      <c r="V191" s="35">
        <v>0</v>
      </c>
      <c r="X191" s="35">
        <v>0</v>
      </c>
      <c r="Z191" s="35">
        <v>0</v>
      </c>
      <c r="AB191" s="35">
        <v>0</v>
      </c>
      <c r="AC191" s="18" t="s">
        <v>423</v>
      </c>
      <c r="AD191" s="45">
        <v>1000</v>
      </c>
      <c r="AE191" s="18" t="s">
        <v>424</v>
      </c>
      <c r="AF191" s="45">
        <v>9000</v>
      </c>
      <c r="AG191" s="18" t="s">
        <v>101</v>
      </c>
      <c r="AH191" s="45">
        <v>1500</v>
      </c>
      <c r="AI191" s="18" t="s">
        <v>101</v>
      </c>
      <c r="AJ191" s="45">
        <v>1500</v>
      </c>
      <c r="AK191" s="18" t="s">
        <v>101</v>
      </c>
      <c r="AL191" s="45">
        <v>1500</v>
      </c>
      <c r="AM191" s="18" t="s">
        <v>101</v>
      </c>
      <c r="AN191" s="45">
        <v>1500</v>
      </c>
      <c r="AO191" s="18" t="s">
        <v>101</v>
      </c>
      <c r="AP191" s="45">
        <v>1500</v>
      </c>
      <c r="AQ191" s="18" t="s">
        <v>101</v>
      </c>
      <c r="AR191" s="45">
        <v>1500</v>
      </c>
      <c r="AS191" s="18" t="s">
        <v>101</v>
      </c>
      <c r="AT191" s="135">
        <v>1500</v>
      </c>
      <c r="AU191" s="18" t="s">
        <v>101</v>
      </c>
      <c r="AV191" s="45">
        <v>1500</v>
      </c>
      <c r="AW191" s="18" t="s">
        <v>101</v>
      </c>
      <c r="AX191" s="45">
        <v>1500</v>
      </c>
      <c r="AY191" s="18" t="s">
        <v>101</v>
      </c>
      <c r="AZ191" s="45">
        <v>1500</v>
      </c>
      <c r="BA191" s="18" t="s">
        <v>101</v>
      </c>
      <c r="BB191" s="45">
        <v>1500</v>
      </c>
      <c r="BC191" s="18" t="s">
        <v>425</v>
      </c>
      <c r="BD191" s="45">
        <v>439.2</v>
      </c>
      <c r="BE191" s="18" t="s">
        <v>708</v>
      </c>
      <c r="BF191" s="45">
        <v>2878</v>
      </c>
      <c r="BG191" s="22"/>
      <c r="BH191" s="35">
        <v>0</v>
      </c>
      <c r="BI191" s="22"/>
      <c r="BJ191" s="35">
        <v>0</v>
      </c>
      <c r="BK191" s="22"/>
      <c r="BL191" s="35">
        <v>0</v>
      </c>
      <c r="BM191" s="22"/>
      <c r="BN191" s="35">
        <v>0</v>
      </c>
      <c r="BO191" s="22"/>
      <c r="BP191" s="35">
        <v>0</v>
      </c>
      <c r="BQ191" s="22"/>
      <c r="BR191" s="35">
        <v>0</v>
      </c>
      <c r="BS191" s="22"/>
    </row>
    <row r="192" spans="3:71" outlineLevel="1" x14ac:dyDescent="0.25">
      <c r="C192" s="14"/>
      <c r="D192" s="14"/>
      <c r="F192" s="4" t="s">
        <v>177</v>
      </c>
      <c r="T192" s="35">
        <v>0</v>
      </c>
      <c r="V192" s="35">
        <v>0</v>
      </c>
      <c r="X192" s="35">
        <v>0</v>
      </c>
      <c r="Z192" s="35">
        <v>0</v>
      </c>
      <c r="AB192" s="35">
        <v>0</v>
      </c>
      <c r="AD192" s="35">
        <v>0</v>
      </c>
      <c r="AE192" s="18" t="s">
        <v>101</v>
      </c>
      <c r="AF192" s="35">
        <v>0</v>
      </c>
      <c r="AG192" s="18" t="s">
        <v>101</v>
      </c>
      <c r="AH192" s="45">
        <v>5000</v>
      </c>
      <c r="AI192" s="18" t="s">
        <v>426</v>
      </c>
      <c r="AJ192" s="45">
        <v>5000</v>
      </c>
      <c r="AK192" s="18" t="s">
        <v>426</v>
      </c>
      <c r="AL192" s="45">
        <v>5000</v>
      </c>
      <c r="AM192" s="18" t="s">
        <v>426</v>
      </c>
      <c r="AN192" s="47">
        <v>5000</v>
      </c>
      <c r="AO192" s="18" t="s">
        <v>426</v>
      </c>
      <c r="AP192" s="45">
        <v>961</v>
      </c>
      <c r="AQ192" s="18" t="s">
        <v>427</v>
      </c>
      <c r="AR192" s="45">
        <v>2500</v>
      </c>
      <c r="AS192" s="18" t="s">
        <v>114</v>
      </c>
      <c r="AT192" s="137">
        <v>0</v>
      </c>
      <c r="AU192" s="18" t="s">
        <v>428</v>
      </c>
      <c r="AV192" s="45">
        <v>1832.4</v>
      </c>
      <c r="AX192" s="35">
        <v>0</v>
      </c>
      <c r="AY192" s="18" t="s">
        <v>429</v>
      </c>
      <c r="AZ192" s="45">
        <v>17715</v>
      </c>
      <c r="BA192" s="18" t="s">
        <v>430</v>
      </c>
      <c r="BB192" s="45">
        <v>186</v>
      </c>
      <c r="BC192" s="22"/>
      <c r="BD192" s="35">
        <v>0</v>
      </c>
      <c r="BE192" s="22"/>
      <c r="BF192" s="35">
        <v>0</v>
      </c>
      <c r="BG192" s="22"/>
      <c r="BH192" s="35">
        <v>0</v>
      </c>
      <c r="BI192" s="22"/>
      <c r="BJ192" s="35">
        <v>0</v>
      </c>
      <c r="BK192" s="22"/>
      <c r="BL192" s="35">
        <v>0</v>
      </c>
      <c r="BM192" s="22"/>
      <c r="BN192" s="35">
        <v>0</v>
      </c>
      <c r="BO192" s="22"/>
      <c r="BP192" s="35">
        <v>0</v>
      </c>
      <c r="BQ192" s="22"/>
      <c r="BR192" s="35">
        <v>0</v>
      </c>
      <c r="BS192" s="22"/>
    </row>
    <row r="193" spans="3:71" outlineLevel="1" x14ac:dyDescent="0.25">
      <c r="C193" s="14"/>
      <c r="D193" s="14"/>
      <c r="F193" s="4" t="s">
        <v>197</v>
      </c>
      <c r="T193" s="35"/>
      <c r="V193" s="35"/>
      <c r="X193" s="35"/>
      <c r="Z193" s="35"/>
      <c r="AB193" s="35"/>
      <c r="AD193" s="35"/>
      <c r="AF193" s="35"/>
      <c r="AH193" s="45"/>
      <c r="AJ193" s="35">
        <v>0</v>
      </c>
      <c r="AL193" s="35">
        <v>0</v>
      </c>
      <c r="AN193" s="35">
        <v>0</v>
      </c>
      <c r="AO193" s="18" t="s">
        <v>100</v>
      </c>
      <c r="AP193" s="47">
        <v>12500</v>
      </c>
      <c r="AR193" s="35">
        <v>0</v>
      </c>
      <c r="AT193" s="137">
        <v>0</v>
      </c>
      <c r="AU193" s="18" t="s">
        <v>431</v>
      </c>
      <c r="AV193" s="45">
        <v>1287</v>
      </c>
      <c r="AX193" s="35">
        <v>0</v>
      </c>
      <c r="AY193" s="18" t="s">
        <v>114</v>
      </c>
      <c r="AZ193" s="45">
        <v>8000</v>
      </c>
      <c r="BA193" s="18" t="s">
        <v>425</v>
      </c>
      <c r="BB193" s="45">
        <v>1029</v>
      </c>
      <c r="BC193" s="18"/>
      <c r="BD193" s="35">
        <v>0</v>
      </c>
      <c r="BE193" s="22"/>
      <c r="BF193" s="35">
        <v>0</v>
      </c>
      <c r="BG193" s="22"/>
      <c r="BH193" s="35">
        <v>0</v>
      </c>
      <c r="BI193" s="22"/>
      <c r="BJ193" s="35">
        <v>0</v>
      </c>
      <c r="BK193" s="22"/>
      <c r="BL193" s="35">
        <v>0</v>
      </c>
      <c r="BM193" s="22"/>
      <c r="BN193" s="35">
        <v>0</v>
      </c>
      <c r="BO193" s="22"/>
      <c r="BP193" s="35">
        <v>0</v>
      </c>
      <c r="BQ193" s="22"/>
      <c r="BR193" s="35">
        <v>0</v>
      </c>
      <c r="BS193" s="22"/>
    </row>
    <row r="194" spans="3:71" outlineLevel="1" x14ac:dyDescent="0.25">
      <c r="C194" s="14"/>
      <c r="D194" s="14"/>
      <c r="F194" s="4" t="s">
        <v>217</v>
      </c>
      <c r="T194" s="35">
        <v>0</v>
      </c>
      <c r="V194" s="35">
        <v>0</v>
      </c>
      <c r="X194" s="35">
        <v>0</v>
      </c>
      <c r="Z194" s="35">
        <v>0</v>
      </c>
      <c r="AB194" s="35">
        <v>0</v>
      </c>
      <c r="AD194" s="35">
        <v>0</v>
      </c>
      <c r="AF194" s="35">
        <v>0</v>
      </c>
      <c r="AH194" s="35">
        <v>0</v>
      </c>
      <c r="AJ194" s="35">
        <v>0</v>
      </c>
      <c r="AL194" s="35">
        <v>0</v>
      </c>
      <c r="AN194" s="35">
        <v>0</v>
      </c>
      <c r="AP194" s="35">
        <v>0</v>
      </c>
      <c r="AR194" s="35">
        <v>0</v>
      </c>
      <c r="AS194" s="18" t="s">
        <v>432</v>
      </c>
      <c r="AT194" s="135">
        <v>327</v>
      </c>
      <c r="AV194" s="35">
        <v>0</v>
      </c>
      <c r="AX194" s="35">
        <v>0</v>
      </c>
      <c r="AY194" s="18" t="s">
        <v>426</v>
      </c>
      <c r="AZ194" s="45">
        <v>10000</v>
      </c>
      <c r="BB194" s="35">
        <v>0</v>
      </c>
      <c r="BC194" s="18"/>
      <c r="BD194" s="35">
        <v>0</v>
      </c>
      <c r="BF194" s="35">
        <v>0</v>
      </c>
      <c r="BH194" s="35">
        <v>0</v>
      </c>
      <c r="BJ194" s="35">
        <v>0</v>
      </c>
      <c r="BL194" s="35">
        <v>0</v>
      </c>
      <c r="BN194" s="35">
        <v>0</v>
      </c>
      <c r="BP194" s="35">
        <v>0</v>
      </c>
      <c r="BR194" s="35">
        <v>0</v>
      </c>
    </row>
    <row r="195" spans="3:71" outlineLevel="1" x14ac:dyDescent="0.25">
      <c r="C195" s="14"/>
      <c r="D195" s="14"/>
      <c r="F195" s="4" t="s">
        <v>235</v>
      </c>
      <c r="T195" s="35">
        <v>0</v>
      </c>
      <c r="V195" s="35">
        <v>0</v>
      </c>
      <c r="X195" s="35">
        <v>0</v>
      </c>
      <c r="Z195" s="35">
        <v>0</v>
      </c>
      <c r="AB195" s="35">
        <v>0</v>
      </c>
      <c r="AC195" s="18" t="s">
        <v>433</v>
      </c>
      <c r="AD195" s="45">
        <v>8000</v>
      </c>
      <c r="AF195" s="35">
        <v>0</v>
      </c>
      <c r="AH195" s="35">
        <v>0</v>
      </c>
      <c r="AJ195" s="35">
        <v>0</v>
      </c>
      <c r="AL195" s="35">
        <v>0</v>
      </c>
      <c r="AN195" s="35">
        <v>0</v>
      </c>
      <c r="AP195" s="35">
        <v>0</v>
      </c>
      <c r="AR195" s="35">
        <v>0</v>
      </c>
      <c r="AT195" s="137">
        <v>0</v>
      </c>
      <c r="AV195" s="35">
        <v>0</v>
      </c>
      <c r="AX195" s="35">
        <v>0</v>
      </c>
      <c r="AZ195" s="35">
        <v>0</v>
      </c>
      <c r="BB195" s="35">
        <v>0</v>
      </c>
      <c r="BC195" s="18"/>
      <c r="BD195" s="35">
        <v>0</v>
      </c>
      <c r="BF195" s="35">
        <v>0</v>
      </c>
      <c r="BH195" s="35">
        <v>0</v>
      </c>
      <c r="BJ195" s="35">
        <v>0</v>
      </c>
      <c r="BL195" s="35">
        <v>0</v>
      </c>
      <c r="BN195" s="35">
        <v>0</v>
      </c>
      <c r="BP195" s="35">
        <v>0</v>
      </c>
      <c r="BR195" s="35">
        <v>0</v>
      </c>
    </row>
    <row r="196" spans="3:71" x14ac:dyDescent="0.25">
      <c r="C196" s="14"/>
      <c r="D196" s="14"/>
      <c r="T196" s="14"/>
      <c r="V196" s="14"/>
      <c r="X196" s="14"/>
      <c r="Z196" s="14"/>
      <c r="AB196" s="14"/>
      <c r="AD196" s="14"/>
      <c r="AF196" s="14"/>
      <c r="AH196" s="14"/>
      <c r="AJ196" s="14"/>
      <c r="AL196" s="14"/>
      <c r="AN196" s="14"/>
      <c r="AP196" s="14"/>
      <c r="AR196" s="14"/>
      <c r="AT196" s="125"/>
      <c r="AV196" s="14"/>
      <c r="AX196" s="14"/>
      <c r="AZ196" s="14"/>
      <c r="BB196" s="14"/>
      <c r="BC196" s="18"/>
      <c r="BD196" s="14"/>
      <c r="BF196" s="14"/>
      <c r="BH196" s="14"/>
      <c r="BJ196" s="14"/>
      <c r="BL196" s="14"/>
      <c r="BN196" s="14"/>
      <c r="BP196" s="14"/>
      <c r="BR196" s="14"/>
    </row>
    <row r="197" spans="3:71" x14ac:dyDescent="0.25">
      <c r="C197" s="5" t="s">
        <v>434</v>
      </c>
      <c r="D197" s="6"/>
      <c r="E197" s="3"/>
      <c r="F197" s="3"/>
      <c r="G197" s="54"/>
      <c r="H197" s="3"/>
      <c r="I197" s="3"/>
      <c r="J197" s="3"/>
      <c r="K197" s="3"/>
      <c r="L197" s="3"/>
      <c r="M197" s="3"/>
      <c r="N197" s="8" t="s">
        <v>435</v>
      </c>
      <c r="O197" s="3"/>
      <c r="P197" s="24" t="s">
        <v>436</v>
      </c>
      <c r="Q197" s="24" t="s">
        <v>437</v>
      </c>
      <c r="S197" s="7"/>
      <c r="T197" s="33">
        <v>45231</v>
      </c>
      <c r="U197" s="9"/>
      <c r="V197" s="33">
        <v>45261</v>
      </c>
      <c r="W197" s="9"/>
      <c r="X197" s="33">
        <v>45292</v>
      </c>
      <c r="Y197" s="9"/>
      <c r="Z197" s="33">
        <v>45323</v>
      </c>
      <c r="AA197" s="9"/>
      <c r="AB197" s="33">
        <v>45352</v>
      </c>
      <c r="AC197" s="9"/>
      <c r="AD197" s="33">
        <v>45383</v>
      </c>
      <c r="AE197" s="9"/>
      <c r="AF197" s="33">
        <v>45413</v>
      </c>
      <c r="AG197" s="9"/>
      <c r="AH197" s="33">
        <v>45444</v>
      </c>
      <c r="AI197" s="9"/>
      <c r="AJ197" s="33">
        <v>45474</v>
      </c>
      <c r="AK197" s="9"/>
      <c r="AL197" s="33">
        <v>45528</v>
      </c>
      <c r="AM197" s="9"/>
      <c r="AN197" s="51">
        <f>AN$2</f>
        <v>45559</v>
      </c>
      <c r="AO197" s="9"/>
      <c r="AP197" s="51" t="str">
        <f>AP$2</f>
        <v>Okt-24</v>
      </c>
      <c r="AQ197" s="9"/>
      <c r="AR197" s="51">
        <f>AR$2</f>
        <v>45620</v>
      </c>
      <c r="AS197" s="9"/>
      <c r="AT197" s="122">
        <f>AT$2</f>
        <v>45650</v>
      </c>
      <c r="AU197" s="9"/>
      <c r="AV197" s="51">
        <f>AV$2</f>
        <v>45658</v>
      </c>
      <c r="AW197" s="9"/>
      <c r="AX197" s="51">
        <f>AX$2</f>
        <v>45689</v>
      </c>
      <c r="AY197" s="9"/>
      <c r="AZ197" s="51">
        <f>AZ$2</f>
        <v>45719</v>
      </c>
      <c r="BA197" s="9"/>
      <c r="BB197" s="51">
        <f>BB$2</f>
        <v>45749</v>
      </c>
      <c r="BC197" s="9"/>
      <c r="BD197" s="51">
        <f>BD$2</f>
        <v>45779</v>
      </c>
      <c r="BE197" s="9"/>
      <c r="BF197" s="51">
        <f>BF$2</f>
        <v>45809</v>
      </c>
      <c r="BG197" s="9"/>
      <c r="BH197" s="51">
        <f>BH$2</f>
        <v>45839</v>
      </c>
      <c r="BI197" s="9"/>
      <c r="BJ197" s="51">
        <f>BJ$2</f>
        <v>45870</v>
      </c>
      <c r="BK197" s="9"/>
      <c r="BL197" s="51">
        <f>BL$2</f>
        <v>45901</v>
      </c>
      <c r="BM197" s="9"/>
      <c r="BN197" s="51">
        <f>BN$2</f>
        <v>45932</v>
      </c>
      <c r="BO197" s="9"/>
      <c r="BP197" s="51">
        <f>BP$2</f>
        <v>45963</v>
      </c>
      <c r="BQ197" s="9"/>
      <c r="BR197" s="51">
        <f>BR$2</f>
        <v>45994</v>
      </c>
      <c r="BS197" s="9"/>
    </row>
    <row r="198" spans="3:71" s="14" customFormat="1" x14ac:dyDescent="0.25">
      <c r="C198" s="10" t="s">
        <v>438</v>
      </c>
      <c r="D198" s="10"/>
      <c r="E198" s="10"/>
      <c r="F198" s="10"/>
      <c r="G198" s="56"/>
      <c r="H198" s="10"/>
      <c r="I198" s="10"/>
      <c r="J198" s="10"/>
      <c r="K198" s="10"/>
      <c r="L198" s="10"/>
      <c r="M198" s="10"/>
      <c r="N198" s="11"/>
      <c r="O198" s="10"/>
      <c r="P198" s="10"/>
      <c r="Q198" s="10"/>
      <c r="R198" s="4"/>
      <c r="S198" s="12"/>
      <c r="T198" s="10">
        <f>T199+T206</f>
        <v>52680.977500000001</v>
      </c>
      <c r="U198" s="13"/>
      <c r="V198" s="10">
        <f>V199+V206</f>
        <v>35908.027499999997</v>
      </c>
      <c r="W198" s="13"/>
      <c r="X198" s="10">
        <f>X199+X206</f>
        <v>67964.694166666668</v>
      </c>
      <c r="Y198" s="13"/>
      <c r="Z198" s="10">
        <f>Z199+Z206</f>
        <v>55493.194166666668</v>
      </c>
      <c r="AA198" s="13"/>
      <c r="AB198" s="10">
        <f>AB199+AB206</f>
        <v>77549.349166666681</v>
      </c>
      <c r="AC198" s="13"/>
      <c r="AD198" s="10">
        <f>AD199+AD206</f>
        <v>112599.3125</v>
      </c>
      <c r="AE198" s="49"/>
      <c r="AF198" s="10">
        <f>AF199+AF206</f>
        <v>78708.342499999999</v>
      </c>
      <c r="AG198" s="13"/>
      <c r="AH198" s="10">
        <f>AH199+AH206</f>
        <v>102020.26250000001</v>
      </c>
      <c r="AI198" s="13"/>
      <c r="AJ198" s="10">
        <f>AJ199+AJ206</f>
        <v>122444.24583333335</v>
      </c>
      <c r="AK198" s="13"/>
      <c r="AL198" s="10">
        <f>AL199+AL206</f>
        <v>67066.425833333327</v>
      </c>
      <c r="AM198" s="13"/>
      <c r="AN198" s="10">
        <f>AN199+AN206</f>
        <v>88251.375833333324</v>
      </c>
      <c r="AO198" s="13"/>
      <c r="AP198" s="10">
        <f>AP199+AP206</f>
        <v>90154.182499999995</v>
      </c>
      <c r="AQ198" s="13"/>
      <c r="AR198" s="10">
        <f>AR199+AR206</f>
        <v>96923.662500000006</v>
      </c>
      <c r="AS198" s="13"/>
      <c r="AT198" s="124">
        <f>AT199+AT206</f>
        <v>109882.80621485943</v>
      </c>
      <c r="AU198" s="13"/>
      <c r="AV198" s="10">
        <f>AV199+AV206</f>
        <v>137848.9806425703</v>
      </c>
      <c r="AW198" s="13"/>
      <c r="AX198" s="10">
        <f>AX199+AX206</f>
        <v>116547.46294765841</v>
      </c>
      <c r="AY198" s="13"/>
      <c r="AZ198" s="10">
        <f>AZ199+AZ206</f>
        <v>174104.58189759037</v>
      </c>
      <c r="BA198" s="13"/>
      <c r="BB198" s="10">
        <f>BB199+BB206</f>
        <v>213768.59916666668</v>
      </c>
      <c r="BC198" s="13"/>
      <c r="BD198" s="10">
        <f>BD199+BD206</f>
        <v>200657.86750000002</v>
      </c>
      <c r="BE198" s="13"/>
      <c r="BF198" s="10">
        <f>BF199+BF206</f>
        <v>203970.20750000002</v>
      </c>
      <c r="BG198" s="13"/>
      <c r="BH198" s="10">
        <f>BH199+BH206</f>
        <v>214534.69333333333</v>
      </c>
      <c r="BI198" s="13"/>
      <c r="BJ198" s="10">
        <f>BJ199+BJ206</f>
        <v>181893.09333333335</v>
      </c>
      <c r="BK198" s="13"/>
      <c r="BL198" s="10">
        <f>BL199+BL206</f>
        <v>213907.36666666667</v>
      </c>
      <c r="BM198" s="13"/>
      <c r="BN198" s="10">
        <f>BN199+BN206</f>
        <v>200177.36666666667</v>
      </c>
      <c r="BO198" s="13"/>
      <c r="BP198" s="10">
        <f>BP199+BP206</f>
        <v>173702.3666666667</v>
      </c>
      <c r="BQ198" s="13"/>
      <c r="BR198" s="10">
        <f>BR199+BR206</f>
        <v>191816.35666666666</v>
      </c>
      <c r="BS198" s="13"/>
    </row>
    <row r="199" spans="3:71" s="14" customFormat="1" x14ac:dyDescent="0.25">
      <c r="C199" s="14" t="s">
        <v>749</v>
      </c>
      <c r="T199" s="14">
        <f>SUM(T200:T202)</f>
        <v>28672.424999999999</v>
      </c>
      <c r="V199" s="14">
        <f>SUM(V200:V202)</f>
        <v>8556.4500000000007</v>
      </c>
      <c r="X199" s="14">
        <f>SUM(X200:X202)</f>
        <v>29699.616666666669</v>
      </c>
      <c r="Z199" s="14">
        <f>SUM(Z200:Z202)</f>
        <v>28373.366666666669</v>
      </c>
      <c r="AB199" s="14">
        <f>SUM(AB200:AB202)</f>
        <v>47222.201666666675</v>
      </c>
      <c r="AD199" s="14">
        <f>SUM(AD200:AD202)</f>
        <v>80145.100000000006</v>
      </c>
      <c r="AF199" s="14">
        <f>SUM(AF200:AF202)</f>
        <v>43284.13</v>
      </c>
      <c r="AH199" s="14">
        <f>SUM(AH200:AH202)</f>
        <v>70024.050000000017</v>
      </c>
      <c r="AJ199" s="14">
        <f>SUM(AJ200:AJ202)</f>
        <v>82810.950000000012</v>
      </c>
      <c r="AL199" s="14">
        <f>SUM(AL200:AL202)</f>
        <v>34638.129999999997</v>
      </c>
      <c r="AN199" s="14">
        <f>SUM(AN200:AN202)</f>
        <v>50072.033333333333</v>
      </c>
      <c r="AP199" s="14">
        <f>SUM(AP200:AP202)</f>
        <v>54341.450000000004</v>
      </c>
      <c r="AR199" s="14">
        <f>SUM(AR200:AR202)</f>
        <v>61014.55</v>
      </c>
      <c r="AT199" s="125">
        <f>SUM(AT200:AT202)</f>
        <v>72128.277048192773</v>
      </c>
      <c r="AV199" s="14">
        <f>SUM(AV200:AV202)</f>
        <v>101292.02730923696</v>
      </c>
      <c r="AX199" s="14">
        <f>SUM(AX200:AX202)</f>
        <v>74637.611473829209</v>
      </c>
      <c r="AZ199" s="14">
        <f>SUM(AZ200:AZ202)</f>
        <v>134512.92731425702</v>
      </c>
      <c r="BB199" s="14">
        <f>SUM(BB200:BB202)</f>
        <v>178013.40791666668</v>
      </c>
      <c r="BD199" s="14">
        <f>SUM(BD200:BD202)</f>
        <v>156988.83125000002</v>
      </c>
      <c r="BF199" s="14">
        <f>SUM(BF200:BF202)</f>
        <v>159380.07125000001</v>
      </c>
      <c r="BH199" s="14">
        <f>SUM(BH200:BH202)</f>
        <v>167907.87958333333</v>
      </c>
      <c r="BJ199" s="14">
        <f>SUM(BJ200:BJ202)</f>
        <v>134190.27958333335</v>
      </c>
      <c r="BL199" s="14">
        <f>SUM(BL200:BL202)</f>
        <v>164062.05291666667</v>
      </c>
      <c r="BN199" s="14">
        <f>SUM(BN200:BN202)</f>
        <v>149832.05291666667</v>
      </c>
      <c r="BP199" s="14">
        <f>SUM(BP200:BP202)</f>
        <v>123357.05291666668</v>
      </c>
      <c r="BR199" s="14">
        <f>SUM(BR200:BR202)</f>
        <v>141471.04291666666</v>
      </c>
    </row>
    <row r="200" spans="3:71" s="14" customFormat="1" x14ac:dyDescent="0.25">
      <c r="D200" s="107" t="s">
        <v>752</v>
      </c>
      <c r="T200" s="4">
        <f>T216</f>
        <v>25120</v>
      </c>
      <c r="V200" s="4">
        <f>V216</f>
        <v>1968</v>
      </c>
      <c r="X200" s="4">
        <f>X216</f>
        <v>20134.666666666668</v>
      </c>
      <c r="Z200" s="4">
        <f>Z216</f>
        <v>21926.666666666668</v>
      </c>
      <c r="AB200" s="4">
        <f>AB216</f>
        <v>40666.666666666672</v>
      </c>
      <c r="AD200" s="4">
        <f>AD216</f>
        <v>71222.666666666672</v>
      </c>
      <c r="AF200" s="4">
        <f>AF216</f>
        <v>26624.666666666668</v>
      </c>
      <c r="AH200" s="4">
        <f>AH216</f>
        <v>56714.666666666672</v>
      </c>
      <c r="AJ200" s="4">
        <f>AJ216</f>
        <v>69557.466666666674</v>
      </c>
      <c r="AL200" s="4">
        <f>AL216</f>
        <v>23002.666666666668</v>
      </c>
      <c r="AN200" s="4">
        <f>AN216</f>
        <v>37966.236666666664</v>
      </c>
      <c r="AP200" s="4">
        <f>AP216</f>
        <v>42006.666666666672</v>
      </c>
      <c r="AR200" s="4">
        <f>AR216</f>
        <v>47233.466666666667</v>
      </c>
      <c r="AT200" s="121">
        <f>AT216</f>
        <v>46305.678714859438</v>
      </c>
      <c r="AV200" s="4">
        <f>AV216</f>
        <v>86519.943975903632</v>
      </c>
      <c r="AX200" s="4">
        <f>AX216</f>
        <v>55919.53</v>
      </c>
      <c r="AZ200" s="4">
        <f>AZ216</f>
        <v>117530.4527309237</v>
      </c>
      <c r="BB200" s="4">
        <f>BB216</f>
        <v>157912.87666666668</v>
      </c>
      <c r="BD200" s="4">
        <f>BD216</f>
        <v>134322.33333333334</v>
      </c>
      <c r="BF200" s="4">
        <f>BF216</f>
        <v>130108.93333333333</v>
      </c>
      <c r="BH200" s="4">
        <f>BH216</f>
        <v>124381.93333333333</v>
      </c>
      <c r="BJ200" s="4">
        <f>BJ216</f>
        <v>74389.333333333343</v>
      </c>
      <c r="BL200" s="4">
        <f>BL216</f>
        <v>84955.333333333343</v>
      </c>
      <c r="BN200" s="4">
        <f>BN216</f>
        <v>70239.333333333343</v>
      </c>
      <c r="BP200" s="4">
        <f>BP216</f>
        <v>43764.333333333336</v>
      </c>
      <c r="BR200" s="4">
        <f>BR216</f>
        <v>41764.333333333336</v>
      </c>
    </row>
    <row r="201" spans="3:71" s="14" customFormat="1" x14ac:dyDescent="0.25">
      <c r="D201" s="4" t="s">
        <v>753</v>
      </c>
      <c r="T201" s="4">
        <f>T300</f>
        <v>1255.9949999999999</v>
      </c>
      <c r="V201" s="4">
        <f>V300</f>
        <v>1255.9949999999999</v>
      </c>
      <c r="X201" s="4">
        <f>X300</f>
        <v>2399.9949999999999</v>
      </c>
      <c r="Z201" s="4">
        <f>Z300</f>
        <v>2399.9949999999999</v>
      </c>
      <c r="AB201" s="4">
        <f>AB300</f>
        <v>2572.08</v>
      </c>
      <c r="AD201" s="4">
        <f>AD300</f>
        <v>4355.7300000000005</v>
      </c>
      <c r="AF201" s="4">
        <f>AF300</f>
        <v>12542.76</v>
      </c>
      <c r="AH201" s="4">
        <f>AH300</f>
        <v>8942.68</v>
      </c>
      <c r="AJ201" s="4">
        <f>AJ300</f>
        <v>8686.7799999999988</v>
      </c>
      <c r="AL201" s="4">
        <f>AL300</f>
        <v>7518.76</v>
      </c>
      <c r="AN201" s="4">
        <f>AN300</f>
        <v>7540.32</v>
      </c>
      <c r="AP201" s="4">
        <f>AP300</f>
        <v>7513.0600000000013</v>
      </c>
      <c r="AR201" s="4">
        <f>AR300</f>
        <v>8190.96</v>
      </c>
      <c r="AT201" s="121">
        <f>AT300</f>
        <v>20273.438333333332</v>
      </c>
      <c r="AV201" s="4">
        <f>AV300</f>
        <v>9209.8533333333344</v>
      </c>
      <c r="AX201" s="4">
        <f>AX300</f>
        <v>12405.843333333334</v>
      </c>
      <c r="AZ201" s="4">
        <f>AZ300</f>
        <v>11394.943333333331</v>
      </c>
      <c r="BB201" s="4">
        <f>BB300</f>
        <v>13809.01</v>
      </c>
      <c r="BD201" s="4">
        <f>BD300</f>
        <v>15389.281666666666</v>
      </c>
      <c r="BF201" s="4">
        <f>BF300</f>
        <v>23359.141666666666</v>
      </c>
      <c r="BH201" s="4">
        <f>BH300</f>
        <v>37256.925000000003</v>
      </c>
      <c r="BJ201" s="4">
        <f>BJ300</f>
        <v>51598.925000000003</v>
      </c>
      <c r="BL201" s="4">
        <f>BL300</f>
        <v>73337.198333333334</v>
      </c>
      <c r="BN201" s="4">
        <f>BN300</f>
        <v>73323.198333333334</v>
      </c>
      <c r="BP201" s="4">
        <f>BP300</f>
        <v>73323.198333333334</v>
      </c>
      <c r="BR201" s="4">
        <f>BR300</f>
        <v>93437.188333333339</v>
      </c>
    </row>
    <row r="202" spans="3:71" s="14" customFormat="1" x14ac:dyDescent="0.25">
      <c r="D202" s="4" t="s">
        <v>755</v>
      </c>
      <c r="T202" s="4">
        <f>T203+T204</f>
        <v>2296.4300000000003</v>
      </c>
      <c r="V202" s="4">
        <f>V203+V204</f>
        <v>5332.4549999999999</v>
      </c>
      <c r="X202" s="4">
        <f>X203+X204</f>
        <v>7164.9549999999999</v>
      </c>
      <c r="Z202" s="4">
        <f>Z203+Z204</f>
        <v>4046.7049999999999</v>
      </c>
      <c r="AB202" s="4">
        <f>AB203+AB204</f>
        <v>3983.4549999999999</v>
      </c>
      <c r="AD202" s="4">
        <f>AD203+AD204</f>
        <v>4566.7033333333329</v>
      </c>
      <c r="AF202" s="4">
        <f>AF203+AF204</f>
        <v>4116.7033333333329</v>
      </c>
      <c r="AH202" s="4">
        <f>AH203+AH204</f>
        <v>4366.7033333333329</v>
      </c>
      <c r="AJ202" s="4">
        <f>AJ203+AJ204</f>
        <v>4566.7033333333329</v>
      </c>
      <c r="AL202" s="4">
        <f>AL203+AL204</f>
        <v>4116.7033333333329</v>
      </c>
      <c r="AN202" s="4">
        <f>AN203+AN204</f>
        <v>4565.4766666666665</v>
      </c>
      <c r="AP202" s="4">
        <f>AP203+AP204</f>
        <v>4821.7233333333334</v>
      </c>
      <c r="AR202" s="4">
        <f>AR203+AR204</f>
        <v>5590.123333333333</v>
      </c>
      <c r="AT202" s="121">
        <f>AT203+AT204</f>
        <v>5549.16</v>
      </c>
      <c r="AV202" s="4">
        <f>AV203+AV204</f>
        <v>5562.23</v>
      </c>
      <c r="AX202" s="4">
        <f>AX203+AX204</f>
        <v>6312.2381404958678</v>
      </c>
      <c r="AZ202" s="4">
        <f>AZ203+AZ204</f>
        <v>5587.53125</v>
      </c>
      <c r="BB202" s="4">
        <f>BB203+BB204</f>
        <v>6291.5212499999998</v>
      </c>
      <c r="BD202" s="4">
        <f>BD203+BD204</f>
        <v>7277.2162500000004</v>
      </c>
      <c r="BF202" s="4">
        <f>BF203+BF204</f>
        <v>5911.9962499999992</v>
      </c>
      <c r="BH202" s="4">
        <f>BH203+BH204</f>
        <v>6269.0212499999989</v>
      </c>
      <c r="BJ202" s="4">
        <f>BJ203+BJ204</f>
        <v>8202.021249999998</v>
      </c>
      <c r="BL202" s="4">
        <f>BL203+BL204</f>
        <v>5769.5212499999989</v>
      </c>
      <c r="BN202" s="4">
        <f>BN203+BN204</f>
        <v>6269.5212499999989</v>
      </c>
      <c r="BP202" s="4">
        <f>BP203+BP204</f>
        <v>6269.5212499999989</v>
      </c>
      <c r="BR202" s="4">
        <f>BR203+BR204</f>
        <v>6269.5212499999989</v>
      </c>
    </row>
    <row r="203" spans="3:71" s="21" customFormat="1" outlineLevel="1" x14ac:dyDescent="0.25">
      <c r="E203" s="1" t="s">
        <v>754</v>
      </c>
      <c r="T203" s="1">
        <f>T290/2</f>
        <v>1500</v>
      </c>
      <c r="V203" s="1">
        <f>V290/2</f>
        <v>1500</v>
      </c>
      <c r="X203" s="1">
        <f>X290/2</f>
        <v>3154.5</v>
      </c>
      <c r="Z203" s="1">
        <f>Z290/2</f>
        <v>150</v>
      </c>
      <c r="AB203" s="1">
        <f>AB290/2</f>
        <v>150</v>
      </c>
      <c r="AD203" s="1">
        <f>AD290/2</f>
        <v>600</v>
      </c>
      <c r="AF203" s="1">
        <f>AF290/2</f>
        <v>150</v>
      </c>
      <c r="AH203" s="1">
        <f>AH290/2</f>
        <v>400</v>
      </c>
      <c r="AJ203" s="1">
        <f>AJ290/2</f>
        <v>600</v>
      </c>
      <c r="AL203" s="1">
        <f>AL290/2</f>
        <v>150</v>
      </c>
      <c r="AN203" s="1">
        <f>AN290/2</f>
        <v>0</v>
      </c>
      <c r="AP203" s="1">
        <f>AP290/2</f>
        <v>150</v>
      </c>
      <c r="AR203" s="1">
        <f>AR290/2</f>
        <v>900</v>
      </c>
      <c r="AT203" s="129">
        <f>AT290/2</f>
        <v>800</v>
      </c>
      <c r="AV203" s="1">
        <f>AV290/2</f>
        <v>988.63499999999999</v>
      </c>
      <c r="AX203" s="1">
        <f>AX290/2</f>
        <v>1702.1131404958678</v>
      </c>
      <c r="AZ203" s="1">
        <f>AZ290/2</f>
        <v>599.6</v>
      </c>
      <c r="BB203" s="1">
        <f>BB290/2</f>
        <v>1448.35</v>
      </c>
      <c r="BD203" s="1">
        <f>BD290/2</f>
        <v>852.5</v>
      </c>
      <c r="BF203" s="1">
        <f>BF290/2</f>
        <v>650</v>
      </c>
      <c r="BH203" s="1">
        <f>BH290/2</f>
        <v>717</v>
      </c>
      <c r="BJ203" s="1">
        <f>BJ290/2</f>
        <v>150</v>
      </c>
      <c r="BL203" s="1">
        <f>BL290/2</f>
        <v>150</v>
      </c>
      <c r="BN203" s="1">
        <f>BN290/2</f>
        <v>150</v>
      </c>
      <c r="BP203" s="1">
        <f>BP290/2</f>
        <v>150</v>
      </c>
      <c r="BR203" s="1">
        <f>BR290/2</f>
        <v>150</v>
      </c>
    </row>
    <row r="204" spans="3:71" s="21" customFormat="1" outlineLevel="1" x14ac:dyDescent="0.25">
      <c r="E204" s="1" t="s">
        <v>751</v>
      </c>
      <c r="T204" s="1">
        <f>T456/2</f>
        <v>796.43000000000006</v>
      </c>
      <c r="V204" s="1">
        <f>V456/2</f>
        <v>3832.4549999999999</v>
      </c>
      <c r="X204" s="1">
        <f>X456/2</f>
        <v>4010.4549999999999</v>
      </c>
      <c r="Z204" s="1">
        <f>Z456/2</f>
        <v>3896.7049999999999</v>
      </c>
      <c r="AB204" s="1">
        <f>AB456/2</f>
        <v>3833.4549999999999</v>
      </c>
      <c r="AD204" s="1">
        <f>AD456/2</f>
        <v>3966.7033333333334</v>
      </c>
      <c r="AF204" s="1">
        <f>AF456/2</f>
        <v>3966.7033333333334</v>
      </c>
      <c r="AH204" s="1">
        <f>AH456/2</f>
        <v>3966.7033333333334</v>
      </c>
      <c r="AJ204" s="1">
        <f>AJ456/2</f>
        <v>3966.7033333333334</v>
      </c>
      <c r="AL204" s="1">
        <f>AL456/2</f>
        <v>3966.7033333333334</v>
      </c>
      <c r="AN204" s="1">
        <f>AN456/2</f>
        <v>4565.4766666666665</v>
      </c>
      <c r="AP204" s="1">
        <f>AP456/2</f>
        <v>4671.7233333333334</v>
      </c>
      <c r="AR204" s="1">
        <f>AR456/2</f>
        <v>4690.123333333333</v>
      </c>
      <c r="AT204" s="129">
        <f>AT456/2</f>
        <v>4749.16</v>
      </c>
      <c r="AV204" s="1">
        <f>AV456/2</f>
        <v>4573.5949999999993</v>
      </c>
      <c r="AX204" s="1">
        <f>AX456/2</f>
        <v>4610.125</v>
      </c>
      <c r="AZ204" s="1">
        <f>AZ456/2</f>
        <v>4987.9312499999996</v>
      </c>
      <c r="BB204" s="1">
        <f>BB456/2</f>
        <v>4843.1712500000003</v>
      </c>
      <c r="BD204" s="1">
        <f>BD456/2</f>
        <v>6424.7162500000004</v>
      </c>
      <c r="BF204" s="1">
        <f>BF456/2</f>
        <v>5261.9962499999992</v>
      </c>
      <c r="BH204" s="1">
        <f>BH456/2</f>
        <v>5552.0212499999989</v>
      </c>
      <c r="BJ204" s="1">
        <f>BJ456/2</f>
        <v>8052.0212499999989</v>
      </c>
      <c r="BL204" s="1">
        <f>BL456/2</f>
        <v>5619.5212499999989</v>
      </c>
      <c r="BN204" s="1">
        <f>BN456/2</f>
        <v>6119.5212499999989</v>
      </c>
      <c r="BP204" s="1">
        <f>BP456/2</f>
        <v>6119.5212499999989</v>
      </c>
      <c r="BR204" s="1">
        <f>BR456/2</f>
        <v>6119.5212499999989</v>
      </c>
    </row>
    <row r="205" spans="3:71" s="14" customFormat="1" x14ac:dyDescent="0.25">
      <c r="D205" s="4"/>
      <c r="AT205" s="125"/>
    </row>
    <row r="206" spans="3:71" s="14" customFormat="1" x14ac:dyDescent="0.25">
      <c r="C206" s="14" t="s">
        <v>759</v>
      </c>
      <c r="T206" s="14">
        <f>SUM(T207:T209)</f>
        <v>24008.552500000002</v>
      </c>
      <c r="V206" s="14">
        <f>SUM(V207:V209)</f>
        <v>27351.577499999999</v>
      </c>
      <c r="X206" s="14">
        <f>SUM(X207:X209)</f>
        <v>38265.077499999999</v>
      </c>
      <c r="Z206" s="14">
        <f>SUM(Z207:Z209)</f>
        <v>27119.827499999999</v>
      </c>
      <c r="AB206" s="14">
        <f>SUM(AB207:AB209)</f>
        <v>30327.147499999999</v>
      </c>
      <c r="AD206" s="14">
        <f>SUM(AD207:AD209)</f>
        <v>32454.212500000001</v>
      </c>
      <c r="AF206" s="14">
        <f>SUM(AF207:AF209)</f>
        <v>35424.212500000001</v>
      </c>
      <c r="AH206" s="14">
        <f>SUM(AH207:AH209)</f>
        <v>31996.212500000001</v>
      </c>
      <c r="AJ206" s="14">
        <f>SUM(AJ207:AJ209)</f>
        <v>39633.29583333333</v>
      </c>
      <c r="AL206" s="14">
        <f>SUM(AL207:AL209)</f>
        <v>32428.29583333333</v>
      </c>
      <c r="AN206" s="14">
        <f>SUM(AN207:AN209)</f>
        <v>38179.342499999999</v>
      </c>
      <c r="AP206" s="14">
        <f>SUM(AP207:AP209)</f>
        <v>35812.732499999998</v>
      </c>
      <c r="AR206" s="14">
        <f>SUM(AR207:AR209)</f>
        <v>35909.112500000003</v>
      </c>
      <c r="AT206" s="125">
        <f>SUM(AT207:AT209)</f>
        <v>37754.52916666666</v>
      </c>
      <c r="AV206" s="14">
        <f>SUM(AV207:AV209)</f>
        <v>36556.953333333338</v>
      </c>
      <c r="AX206" s="14">
        <f>SUM(AX207:AX209)</f>
        <v>41909.851473829207</v>
      </c>
      <c r="AZ206" s="14">
        <f>SUM(AZ207:AZ209)</f>
        <v>39591.654583333337</v>
      </c>
      <c r="BB206" s="14">
        <f>SUM(BB207:BB209)</f>
        <v>35755.191249999996</v>
      </c>
      <c r="BD206" s="14">
        <f>SUM(BD207:BD209)</f>
        <v>43669.036249999997</v>
      </c>
      <c r="BF206" s="14">
        <f>SUM(BF207:BF209)</f>
        <v>44590.136249999996</v>
      </c>
      <c r="BH206" s="14">
        <f>SUM(BH207:BH209)</f>
        <v>46626.813749999994</v>
      </c>
      <c r="BJ206" s="14">
        <f>SUM(BJ207:BJ209)</f>
        <v>47702.813749999994</v>
      </c>
      <c r="BL206" s="14">
        <f>SUM(BL207:BL209)</f>
        <v>49845.313750000001</v>
      </c>
      <c r="BN206" s="14">
        <f>SUM(BN207:BN209)</f>
        <v>50345.313750000001</v>
      </c>
      <c r="BP206" s="14">
        <f>SUM(BP207:BP209)</f>
        <v>50345.313750000001</v>
      </c>
      <c r="BR206" s="14">
        <f>SUM(BR207:BR209)</f>
        <v>50345.313750000001</v>
      </c>
    </row>
    <row r="207" spans="3:71" s="14" customFormat="1" x14ac:dyDescent="0.25">
      <c r="D207" s="107" t="s">
        <v>740</v>
      </c>
      <c r="T207" s="4">
        <f>T271</f>
        <v>15146</v>
      </c>
      <c r="V207" s="4">
        <f>V271</f>
        <v>9131</v>
      </c>
      <c r="X207" s="4">
        <f>X271</f>
        <v>18212</v>
      </c>
      <c r="Z207" s="4">
        <f>Z271</f>
        <v>9860</v>
      </c>
      <c r="AB207" s="4">
        <f>AB271</f>
        <v>9664</v>
      </c>
      <c r="AD207" s="4">
        <f>AD271</f>
        <v>9746</v>
      </c>
      <c r="AF207" s="4">
        <f>AF271</f>
        <v>13102</v>
      </c>
      <c r="AH207" s="4">
        <f>AH271</f>
        <v>9525</v>
      </c>
      <c r="AJ207" s="4">
        <f>AJ271</f>
        <v>16273</v>
      </c>
      <c r="AL207" s="4">
        <f>AL271</f>
        <v>13421</v>
      </c>
      <c r="AN207" s="4">
        <f>AN271</f>
        <v>18584</v>
      </c>
      <c r="AP207" s="4">
        <f>AP271</f>
        <v>13994</v>
      </c>
      <c r="AR207" s="4">
        <f>AR271</f>
        <v>13348</v>
      </c>
      <c r="AT207" s="121">
        <f>AT271</f>
        <v>15163</v>
      </c>
      <c r="AV207" s="4">
        <f>AV271</f>
        <v>12581.51</v>
      </c>
      <c r="AX207" s="4">
        <f>AX271</f>
        <v>18004.440000000002</v>
      </c>
      <c r="AZ207" s="4">
        <f>AZ271</f>
        <v>16648.47</v>
      </c>
      <c r="BB207" s="4">
        <f>BB271</f>
        <v>11846.87</v>
      </c>
      <c r="BD207" s="4">
        <f>BD271</f>
        <v>11794.77</v>
      </c>
      <c r="BF207" s="4">
        <f>BF271</f>
        <v>14215.6</v>
      </c>
      <c r="BH207" s="4">
        <f>BH271</f>
        <v>14369</v>
      </c>
      <c r="BJ207" s="4">
        <f>BJ271</f>
        <v>13640</v>
      </c>
      <c r="BL207" s="4">
        <f>BL271</f>
        <v>8840</v>
      </c>
      <c r="BN207" s="4">
        <f>BN271</f>
        <v>8840</v>
      </c>
      <c r="BP207" s="4">
        <f>BP271</f>
        <v>8840</v>
      </c>
      <c r="BR207" s="4">
        <f>BR271</f>
        <v>8840</v>
      </c>
    </row>
    <row r="208" spans="3:71" s="14" customFormat="1" x14ac:dyDescent="0.25">
      <c r="D208" s="4" t="s">
        <v>750</v>
      </c>
      <c r="T208" s="4">
        <f>T405</f>
        <v>6566.1225000000004</v>
      </c>
      <c r="V208" s="4">
        <f>V405</f>
        <v>12888.122499999999</v>
      </c>
      <c r="X208" s="4">
        <f>X405</f>
        <v>12888.122499999999</v>
      </c>
      <c r="Z208" s="4">
        <f>Z405</f>
        <v>13213.122499999999</v>
      </c>
      <c r="AB208" s="4">
        <f>AB405</f>
        <v>16679.692499999997</v>
      </c>
      <c r="AD208" s="4">
        <f>AD405</f>
        <v>18141.509166666667</v>
      </c>
      <c r="AF208" s="4">
        <f>AF405</f>
        <v>18205.509166666667</v>
      </c>
      <c r="AH208" s="4">
        <f>AH405</f>
        <v>18104.509166666667</v>
      </c>
      <c r="AJ208" s="4">
        <f>AJ405</f>
        <v>18793.592499999999</v>
      </c>
      <c r="AL208" s="4">
        <f>AL405</f>
        <v>14890.592499999999</v>
      </c>
      <c r="AN208" s="4">
        <f>AN405</f>
        <v>15029.865833333333</v>
      </c>
      <c r="AP208" s="4">
        <f>AP405</f>
        <v>16997.009166666667</v>
      </c>
      <c r="AR208" s="4">
        <f>AR405</f>
        <v>16970.989166666666</v>
      </c>
      <c r="AT208" s="121">
        <f>AT405</f>
        <v>17042.369166666664</v>
      </c>
      <c r="AV208" s="4">
        <f>AV405</f>
        <v>18413.213333333333</v>
      </c>
      <c r="AX208" s="4">
        <f>AX405</f>
        <v>17593.173333333336</v>
      </c>
      <c r="AZ208" s="4">
        <f>AZ405</f>
        <v>17355.653333333335</v>
      </c>
      <c r="BB208" s="4">
        <f>BB405</f>
        <v>17616.8</v>
      </c>
      <c r="BD208" s="4">
        <f>BD405</f>
        <v>24597.05</v>
      </c>
      <c r="BF208" s="4">
        <f>BF405</f>
        <v>24462.539999999997</v>
      </c>
      <c r="BH208" s="4">
        <f>BH405</f>
        <v>25988.7925</v>
      </c>
      <c r="BJ208" s="4">
        <f>BJ405</f>
        <v>25860.7925</v>
      </c>
      <c r="BL208" s="4">
        <f>BL405</f>
        <v>35235.792500000003</v>
      </c>
      <c r="BN208" s="4">
        <f>BN405</f>
        <v>35235.792500000003</v>
      </c>
      <c r="BP208" s="4">
        <f>BP405</f>
        <v>35235.792500000003</v>
      </c>
      <c r="BR208" s="4">
        <f>BR405</f>
        <v>35235.792500000003</v>
      </c>
    </row>
    <row r="209" spans="3:71" s="14" customFormat="1" x14ac:dyDescent="0.25">
      <c r="D209" s="4" t="s">
        <v>755</v>
      </c>
      <c r="T209" s="4">
        <f>T210+T211</f>
        <v>2296.4300000000003</v>
      </c>
      <c r="V209" s="4">
        <f>V210+V211</f>
        <v>5332.4549999999999</v>
      </c>
      <c r="X209" s="4">
        <f>X210+X211</f>
        <v>7164.9549999999999</v>
      </c>
      <c r="Z209" s="4">
        <f>Z210+Z211</f>
        <v>4046.7049999999999</v>
      </c>
      <c r="AB209" s="4">
        <f>AB210+AB211</f>
        <v>3983.4549999999999</v>
      </c>
      <c r="AD209" s="4">
        <f>AD210+AD211</f>
        <v>4566.7033333333329</v>
      </c>
      <c r="AF209" s="4">
        <f>AF210+AF211</f>
        <v>4116.7033333333329</v>
      </c>
      <c r="AH209" s="4">
        <f>AH210+AH211</f>
        <v>4366.7033333333329</v>
      </c>
      <c r="AJ209" s="4">
        <f>AJ210+AJ211</f>
        <v>4566.7033333333329</v>
      </c>
      <c r="AL209" s="4">
        <f>AL210+AL211</f>
        <v>4116.7033333333329</v>
      </c>
      <c r="AN209" s="4">
        <f>AN210+AN211</f>
        <v>4565.4766666666665</v>
      </c>
      <c r="AP209" s="4">
        <f>AP210+AP211</f>
        <v>4821.7233333333334</v>
      </c>
      <c r="AR209" s="4">
        <f>AR210+AR211</f>
        <v>5590.123333333333</v>
      </c>
      <c r="AT209" s="121">
        <f>AT210+AT211</f>
        <v>5549.16</v>
      </c>
      <c r="AV209" s="4">
        <f>AV210+AV211</f>
        <v>5562.23</v>
      </c>
      <c r="AX209" s="4">
        <f>AX210+AX211</f>
        <v>6312.2381404958678</v>
      </c>
      <c r="AZ209" s="4">
        <f>AZ210+AZ211</f>
        <v>5587.53125</v>
      </c>
      <c r="BB209" s="4">
        <f>BB210+BB211</f>
        <v>6291.5212499999998</v>
      </c>
      <c r="BD209" s="4">
        <f>BD210+BD211</f>
        <v>7277.2162500000004</v>
      </c>
      <c r="BF209" s="4">
        <f>BF210+BF211</f>
        <v>5911.9962499999992</v>
      </c>
      <c r="BH209" s="4">
        <f>BH210+BH211</f>
        <v>6269.0212499999989</v>
      </c>
      <c r="BJ209" s="4">
        <f>BJ210+BJ211</f>
        <v>8202.021249999998</v>
      </c>
      <c r="BL209" s="4">
        <f>BL210+BL211</f>
        <v>5769.5212499999989</v>
      </c>
      <c r="BN209" s="4">
        <f>BN210+BN211</f>
        <v>6269.5212499999989</v>
      </c>
      <c r="BP209" s="4">
        <f>BP210+BP211</f>
        <v>6269.5212499999989</v>
      </c>
      <c r="BR209" s="4">
        <f>BR210+BR211</f>
        <v>6269.5212499999989</v>
      </c>
    </row>
    <row r="210" spans="3:71" s="21" customFormat="1" outlineLevel="1" x14ac:dyDescent="0.25">
      <c r="E210" s="1" t="s">
        <v>754</v>
      </c>
      <c r="T210" s="1">
        <f>T290/2</f>
        <v>1500</v>
      </c>
      <c r="V210" s="1">
        <f>V290/2</f>
        <v>1500</v>
      </c>
      <c r="X210" s="1">
        <f>X290/2</f>
        <v>3154.5</v>
      </c>
      <c r="Z210" s="1">
        <f>Z290/2</f>
        <v>150</v>
      </c>
      <c r="AB210" s="1">
        <f>AB290/2</f>
        <v>150</v>
      </c>
      <c r="AD210" s="1">
        <f>AD290/2</f>
        <v>600</v>
      </c>
      <c r="AF210" s="1">
        <f>AF290/2</f>
        <v>150</v>
      </c>
      <c r="AH210" s="1">
        <f>AH290/2</f>
        <v>400</v>
      </c>
      <c r="AJ210" s="1">
        <f>AJ290/2</f>
        <v>600</v>
      </c>
      <c r="AL210" s="1">
        <f>AL290/2</f>
        <v>150</v>
      </c>
      <c r="AN210" s="1">
        <f>AN290/2</f>
        <v>0</v>
      </c>
      <c r="AP210" s="1">
        <f>AP290/2</f>
        <v>150</v>
      </c>
      <c r="AR210" s="1">
        <f>AR290/2</f>
        <v>900</v>
      </c>
      <c r="AT210" s="129">
        <f>AT290/2</f>
        <v>800</v>
      </c>
      <c r="AV210" s="1">
        <f>AV290/2</f>
        <v>988.63499999999999</v>
      </c>
      <c r="AX210" s="1">
        <f>AX290/2</f>
        <v>1702.1131404958678</v>
      </c>
      <c r="AZ210" s="1">
        <f>AZ290/2</f>
        <v>599.6</v>
      </c>
      <c r="BB210" s="1">
        <f>BB290/2</f>
        <v>1448.35</v>
      </c>
      <c r="BD210" s="1">
        <f>BD290/2</f>
        <v>852.5</v>
      </c>
      <c r="BF210" s="1">
        <f>BF290/2</f>
        <v>650</v>
      </c>
      <c r="BH210" s="1">
        <f>BH290/2</f>
        <v>717</v>
      </c>
      <c r="BJ210" s="1">
        <f>BJ290/2</f>
        <v>150</v>
      </c>
      <c r="BL210" s="1">
        <f>BL290/2</f>
        <v>150</v>
      </c>
      <c r="BN210" s="1">
        <f>BN290/2</f>
        <v>150</v>
      </c>
      <c r="BP210" s="1">
        <f>BP290/2</f>
        <v>150</v>
      </c>
      <c r="BR210" s="1">
        <f>BR290/2</f>
        <v>150</v>
      </c>
    </row>
    <row r="211" spans="3:71" s="21" customFormat="1" outlineLevel="1" x14ac:dyDescent="0.25">
      <c r="E211" s="1" t="s">
        <v>751</v>
      </c>
      <c r="T211" s="1">
        <f>T456/2</f>
        <v>796.43000000000006</v>
      </c>
      <c r="V211" s="1">
        <f>V456/2</f>
        <v>3832.4549999999999</v>
      </c>
      <c r="X211" s="1">
        <f>X456/2</f>
        <v>4010.4549999999999</v>
      </c>
      <c r="Z211" s="1">
        <f>Z456/2</f>
        <v>3896.7049999999999</v>
      </c>
      <c r="AB211" s="1">
        <f>AB456/2</f>
        <v>3833.4549999999999</v>
      </c>
      <c r="AD211" s="1">
        <f>AD456/2</f>
        <v>3966.7033333333334</v>
      </c>
      <c r="AF211" s="1">
        <f>AF456/2</f>
        <v>3966.7033333333334</v>
      </c>
      <c r="AH211" s="1">
        <f>AH456/2</f>
        <v>3966.7033333333334</v>
      </c>
      <c r="AJ211" s="1">
        <f>AJ456/2</f>
        <v>3966.7033333333334</v>
      </c>
      <c r="AL211" s="1">
        <f>AL456/2</f>
        <v>3966.7033333333334</v>
      </c>
      <c r="AN211" s="1">
        <f>AN456/2</f>
        <v>4565.4766666666665</v>
      </c>
      <c r="AP211" s="1">
        <f>AP456/2</f>
        <v>4671.7233333333334</v>
      </c>
      <c r="AR211" s="1">
        <f>AR456/2</f>
        <v>4690.123333333333</v>
      </c>
      <c r="AT211" s="129">
        <f>AT456/2</f>
        <v>4749.16</v>
      </c>
      <c r="AV211" s="1">
        <f>AV456/2</f>
        <v>4573.5949999999993</v>
      </c>
      <c r="AX211" s="1">
        <f>AX456/2</f>
        <v>4610.125</v>
      </c>
      <c r="AZ211" s="1">
        <f>AZ456/2</f>
        <v>4987.9312499999996</v>
      </c>
      <c r="BB211" s="1">
        <f>BB456/2</f>
        <v>4843.1712500000003</v>
      </c>
      <c r="BD211" s="1">
        <f>BD456/2</f>
        <v>6424.7162500000004</v>
      </c>
      <c r="BF211" s="1">
        <f>BF456/2</f>
        <v>5261.9962499999992</v>
      </c>
      <c r="BH211" s="1">
        <f>BH456/2</f>
        <v>5552.0212499999989</v>
      </c>
      <c r="BJ211" s="1">
        <f>BJ456/2</f>
        <v>8052.0212499999989</v>
      </c>
      <c r="BL211" s="1">
        <f>BL456/2</f>
        <v>5619.5212499999989</v>
      </c>
      <c r="BN211" s="1">
        <f>BN456/2</f>
        <v>6119.5212499999989</v>
      </c>
      <c r="BP211" s="1">
        <f>BP456/2</f>
        <v>6119.5212499999989</v>
      </c>
      <c r="BR211" s="1">
        <f>BR456/2</f>
        <v>6119.5212499999989</v>
      </c>
    </row>
    <row r="212" spans="3:71" s="14" customFormat="1" x14ac:dyDescent="0.25">
      <c r="D212" s="4"/>
      <c r="AT212" s="125"/>
    </row>
    <row r="213" spans="3:71" x14ac:dyDescent="0.25">
      <c r="C213" s="5" t="s">
        <v>766</v>
      </c>
      <c r="D213" s="6"/>
      <c r="E213" s="3"/>
      <c r="F213" s="3"/>
      <c r="G213" s="54"/>
      <c r="H213" s="3"/>
      <c r="I213" s="3"/>
      <c r="J213" s="3"/>
      <c r="K213" s="3"/>
      <c r="L213" s="3"/>
      <c r="M213" s="3"/>
      <c r="N213" s="8" t="s">
        <v>435</v>
      </c>
      <c r="O213" s="3"/>
      <c r="P213" s="24" t="s">
        <v>436</v>
      </c>
      <c r="Q213" s="24" t="s">
        <v>437</v>
      </c>
      <c r="S213" s="7"/>
      <c r="T213" s="33">
        <v>45231</v>
      </c>
      <c r="U213" s="9"/>
      <c r="V213" s="33">
        <v>45261</v>
      </c>
      <c r="W213" s="9"/>
      <c r="X213" s="33">
        <v>45292</v>
      </c>
      <c r="Y213" s="9"/>
      <c r="Z213" s="33">
        <v>45323</v>
      </c>
      <c r="AA213" s="9"/>
      <c r="AB213" s="33">
        <v>45352</v>
      </c>
      <c r="AC213" s="9"/>
      <c r="AD213" s="33">
        <v>45383</v>
      </c>
      <c r="AE213" s="9"/>
      <c r="AF213" s="33">
        <v>45413</v>
      </c>
      <c r="AG213" s="9"/>
      <c r="AH213" s="33">
        <v>45444</v>
      </c>
      <c r="AI213" s="9"/>
      <c r="AJ213" s="33">
        <v>45474</v>
      </c>
      <c r="AK213" s="9"/>
      <c r="AL213" s="33">
        <v>45528</v>
      </c>
      <c r="AM213" s="9"/>
      <c r="AN213" s="51">
        <f>AN$2</f>
        <v>45559</v>
      </c>
      <c r="AO213" s="9"/>
      <c r="AP213" s="51" t="str">
        <f>AP$2</f>
        <v>Okt-24</v>
      </c>
      <c r="AQ213" s="9"/>
      <c r="AR213" s="51">
        <f>AR$2</f>
        <v>45620</v>
      </c>
      <c r="AS213" s="9"/>
      <c r="AT213" s="122">
        <f>AT$2</f>
        <v>45650</v>
      </c>
      <c r="AU213" s="9"/>
      <c r="AV213" s="51">
        <f>AV$2</f>
        <v>45658</v>
      </c>
      <c r="AW213" s="9"/>
      <c r="AX213" s="51">
        <f>AX$2</f>
        <v>45689</v>
      </c>
      <c r="AY213" s="9"/>
      <c r="AZ213" s="51">
        <f>AZ$2</f>
        <v>45719</v>
      </c>
      <c r="BA213" s="9"/>
      <c r="BB213" s="51">
        <f>BB$2</f>
        <v>45749</v>
      </c>
      <c r="BC213" s="9"/>
      <c r="BD213" s="51">
        <f>BD$2</f>
        <v>45779</v>
      </c>
      <c r="BE213" s="9"/>
      <c r="BF213" s="51">
        <f>BF$2</f>
        <v>45809</v>
      </c>
      <c r="BG213" s="9"/>
      <c r="BH213" s="51">
        <f>BH$2</f>
        <v>45839</v>
      </c>
      <c r="BI213" s="9"/>
      <c r="BJ213" s="51">
        <f>BJ$2</f>
        <v>45870</v>
      </c>
      <c r="BK213" s="9"/>
      <c r="BL213" s="51">
        <f>BL$2</f>
        <v>45901</v>
      </c>
      <c r="BM213" s="9"/>
      <c r="BN213" s="51">
        <f>BN$2</f>
        <v>45932</v>
      </c>
      <c r="BO213" s="9"/>
      <c r="BP213" s="51">
        <f>BP$2</f>
        <v>45963</v>
      </c>
      <c r="BQ213" s="9"/>
      <c r="BR213" s="51">
        <f>BR$2</f>
        <v>45994</v>
      </c>
      <c r="BS213" s="9"/>
    </row>
    <row r="214" spans="3:71" s="14" customFormat="1" x14ac:dyDescent="0.25">
      <c r="C214" s="10" t="s">
        <v>438</v>
      </c>
      <c r="D214" s="10"/>
      <c r="E214" s="10"/>
      <c r="F214" s="10"/>
      <c r="G214" s="56"/>
      <c r="H214" s="10"/>
      <c r="I214" s="10"/>
      <c r="J214" s="10"/>
      <c r="K214" s="10"/>
      <c r="L214" s="10"/>
      <c r="M214" s="10"/>
      <c r="N214" s="11"/>
      <c r="O214" s="10"/>
      <c r="P214" s="10"/>
      <c r="Q214" s="10"/>
      <c r="R214" s="4"/>
      <c r="S214" s="12"/>
      <c r="T214" s="10">
        <f>T215+T299</f>
        <v>52680.977500000001</v>
      </c>
      <c r="U214" s="13"/>
      <c r="V214" s="10">
        <f>V215+V299</f>
        <v>35908.027499999997</v>
      </c>
      <c r="W214" s="13"/>
      <c r="X214" s="10">
        <f>X215+X299</f>
        <v>67964.694166666668</v>
      </c>
      <c r="Y214" s="13"/>
      <c r="Z214" s="10">
        <f>Z215+Z299</f>
        <v>55493.194166666668</v>
      </c>
      <c r="AA214" s="13"/>
      <c r="AB214" s="10">
        <f>AB215+AB299</f>
        <v>77549.349166666667</v>
      </c>
      <c r="AC214" s="13"/>
      <c r="AD214" s="10">
        <f>AD215+AD299</f>
        <v>112599.3125</v>
      </c>
      <c r="AE214" s="49"/>
      <c r="AF214" s="10">
        <f>AF215+AF299</f>
        <v>78708.342499999999</v>
      </c>
      <c r="AG214" s="13"/>
      <c r="AH214" s="10">
        <f>AH215+AH299</f>
        <v>102020.26250000001</v>
      </c>
      <c r="AI214" s="13"/>
      <c r="AJ214" s="10">
        <f>AJ215+AJ299</f>
        <v>122444.24583333335</v>
      </c>
      <c r="AK214" s="13"/>
      <c r="AL214" s="10">
        <f>AL215+AL299</f>
        <v>67066.425833333342</v>
      </c>
      <c r="AM214" s="13"/>
      <c r="AN214" s="10">
        <f>AN215+AN299</f>
        <v>88251.375833333324</v>
      </c>
      <c r="AO214" s="13"/>
      <c r="AP214" s="10">
        <f>AP215+AP299</f>
        <v>90154.18250000001</v>
      </c>
      <c r="AQ214" s="13"/>
      <c r="AR214" s="10">
        <f>AR215+AR299</f>
        <v>96923.662500000006</v>
      </c>
      <c r="AS214" s="13"/>
      <c r="AT214" s="124">
        <f>AT215+AT299</f>
        <v>109882.80621485943</v>
      </c>
      <c r="AU214" s="13"/>
      <c r="AV214" s="10">
        <f>AV215+AV299</f>
        <v>137848.9806425703</v>
      </c>
      <c r="AW214" s="13"/>
      <c r="AX214" s="10">
        <f>AX215+AX299</f>
        <v>116547.46294765841</v>
      </c>
      <c r="AY214" s="13"/>
      <c r="AZ214" s="10">
        <f>AZ215+AZ299</f>
        <v>174104.58189759037</v>
      </c>
      <c r="BA214" s="13"/>
      <c r="BB214" s="10">
        <f>BB215+BB299</f>
        <v>213768.59916666668</v>
      </c>
      <c r="BC214" s="13"/>
      <c r="BD214" s="10">
        <f>BD215+BD299</f>
        <v>200657.86749999999</v>
      </c>
      <c r="BE214" s="13"/>
      <c r="BF214" s="10">
        <f>BF215+BF299</f>
        <v>203970.20749999999</v>
      </c>
      <c r="BG214" s="13"/>
      <c r="BH214" s="10">
        <f>BH215+BH299</f>
        <v>214534.69333333336</v>
      </c>
      <c r="BI214" s="13"/>
      <c r="BJ214" s="10">
        <f>BJ215+BJ299</f>
        <v>181893.09333333332</v>
      </c>
      <c r="BK214" s="13"/>
      <c r="BL214" s="10">
        <f>BL215+BL299</f>
        <v>213907.3666666667</v>
      </c>
      <c r="BM214" s="13"/>
      <c r="BN214" s="10">
        <f>BN215+BN299</f>
        <v>200177.3666666667</v>
      </c>
      <c r="BO214" s="13"/>
      <c r="BP214" s="10">
        <f>BP215+BP299</f>
        <v>173702.36666666667</v>
      </c>
      <c r="BQ214" s="13"/>
      <c r="BR214" s="10">
        <f>BR215+BR299</f>
        <v>191816.35666666669</v>
      </c>
      <c r="BS214" s="13"/>
    </row>
    <row r="215" spans="3:71" s="14" customFormat="1" x14ac:dyDescent="0.25">
      <c r="C215" s="25"/>
      <c r="D215" s="26" t="s">
        <v>439</v>
      </c>
      <c r="E215" s="26"/>
      <c r="F215" s="26"/>
      <c r="G215" s="57"/>
      <c r="H215" s="26"/>
      <c r="I215" s="26"/>
      <c r="J215" s="26"/>
      <c r="K215" s="26"/>
      <c r="L215" s="26"/>
      <c r="M215" s="26"/>
      <c r="N215" s="27"/>
      <c r="O215" s="26"/>
      <c r="P215" s="26"/>
      <c r="Q215" s="26"/>
      <c r="R215" s="4"/>
      <c r="S215" s="28"/>
      <c r="T215" s="26">
        <f>T216+T271+T290</f>
        <v>43266</v>
      </c>
      <c r="U215" s="29"/>
      <c r="V215" s="26">
        <f>V216+V271+V290</f>
        <v>14099</v>
      </c>
      <c r="W215" s="29"/>
      <c r="X215" s="26">
        <f>X216+X271+X290</f>
        <v>44655.666666666672</v>
      </c>
      <c r="Y215" s="29"/>
      <c r="Z215" s="26">
        <f>Z216+Z271+Z290</f>
        <v>32086.666666666668</v>
      </c>
      <c r="AA215" s="29"/>
      <c r="AB215" s="26">
        <f>AB216+AB271+AB290</f>
        <v>50630.666666666672</v>
      </c>
      <c r="AC215" s="29"/>
      <c r="AD215" s="26">
        <f>AD216+AD271+AD290</f>
        <v>82168.666666666672</v>
      </c>
      <c r="AE215" s="50"/>
      <c r="AF215" s="26">
        <f>AF216+AF271+AF290</f>
        <v>40026.666666666672</v>
      </c>
      <c r="AG215" s="29"/>
      <c r="AH215" s="26">
        <f>AH216+AH271+AH290</f>
        <v>67039.666666666672</v>
      </c>
      <c r="AI215" s="29"/>
      <c r="AJ215" s="26">
        <f>AJ216+AJ271+AJ290</f>
        <v>87030.466666666674</v>
      </c>
      <c r="AK215" s="29"/>
      <c r="AL215" s="26">
        <f>AL216+AL271+AL290</f>
        <v>36723.666666666672</v>
      </c>
      <c r="AM215" s="29"/>
      <c r="AN215" s="26">
        <f>AN216+AN271+AN290</f>
        <v>56550.236666666664</v>
      </c>
      <c r="AO215" s="29"/>
      <c r="AP215" s="26">
        <f>AP216+AP271+AP290</f>
        <v>56300.666666666672</v>
      </c>
      <c r="AQ215" s="29"/>
      <c r="AR215" s="26">
        <f>AR216+AR271+AR290</f>
        <v>62381.466666666667</v>
      </c>
      <c r="AS215" s="29"/>
      <c r="AT215" s="139">
        <f>AT216+AT271+AT290</f>
        <v>63068.678714859438</v>
      </c>
      <c r="AU215" s="29"/>
      <c r="AV215" s="26">
        <f>AV216+AV271+AV290</f>
        <v>101078.72397590363</v>
      </c>
      <c r="AW215" s="26"/>
      <c r="AX215" s="26">
        <f>AX216+AX271+AX290</f>
        <v>77328.196280991731</v>
      </c>
      <c r="AY215" s="26"/>
      <c r="AZ215" s="26">
        <f>AZ216+AZ271+AZ290</f>
        <v>135378.1227309237</v>
      </c>
      <c r="BA215" s="26"/>
      <c r="BB215" s="26">
        <f>BB216+BB271+BB290</f>
        <v>172656.44666666668</v>
      </c>
      <c r="BC215" s="26"/>
      <c r="BD215" s="26">
        <f>BD216+BD271+BD290</f>
        <v>147822.10333333333</v>
      </c>
      <c r="BE215" s="26"/>
      <c r="BF215" s="26">
        <f>BF216+BF271+BF290</f>
        <v>145624.53333333333</v>
      </c>
      <c r="BG215" s="26"/>
      <c r="BH215" s="26">
        <f>BH216+BH271+BH290</f>
        <v>140184.93333333335</v>
      </c>
      <c r="BI215" s="26"/>
      <c r="BJ215" s="26">
        <f>BJ216+BJ271+BJ290</f>
        <v>88329.333333333343</v>
      </c>
      <c r="BK215" s="29"/>
      <c r="BL215" s="26">
        <f>BL216+BL271+BL290</f>
        <v>94095.333333333343</v>
      </c>
      <c r="BM215" s="29"/>
      <c r="BN215" s="26">
        <f>BN216+BN271+BN290</f>
        <v>79379.333333333343</v>
      </c>
      <c r="BO215" s="29"/>
      <c r="BP215" s="26">
        <f>BP216+BP271+BP290</f>
        <v>52904.333333333336</v>
      </c>
      <c r="BQ215" s="29"/>
      <c r="BR215" s="26">
        <f>BR216+BR271+BR290</f>
        <v>50904.333333333336</v>
      </c>
      <c r="BS215" s="29"/>
    </row>
    <row r="216" spans="3:71" s="92" customFormat="1" x14ac:dyDescent="0.25">
      <c r="C216" s="107"/>
      <c r="E216" s="92" t="s">
        <v>752</v>
      </c>
      <c r="G216" s="115"/>
      <c r="N216" s="108"/>
      <c r="R216" s="107"/>
      <c r="S216" s="116"/>
      <c r="T216" s="92">
        <f>T217+T235+T237+T253+T262+T263+T266</f>
        <v>25120</v>
      </c>
      <c r="U216" s="117"/>
      <c r="V216" s="92">
        <f>V217+V235+V237+V253+V262+V263+V266</f>
        <v>1968</v>
      </c>
      <c r="W216" s="117"/>
      <c r="X216" s="92">
        <f>X217+X235+X237+X253+X262+X263+X266</f>
        <v>20134.666666666668</v>
      </c>
      <c r="Y216" s="117"/>
      <c r="Z216" s="92">
        <f>Z217+Z235+Z237+Z253+Z262+Z263+Z266</f>
        <v>21926.666666666668</v>
      </c>
      <c r="AA216" s="117"/>
      <c r="AB216" s="92">
        <f>AB217+AB235+AB237+AB253+AB262+AB263+AB266</f>
        <v>40666.666666666672</v>
      </c>
      <c r="AC216" s="117"/>
      <c r="AD216" s="92">
        <f>AD217+AD235+AD237+AD253+AD262+AD263+AD266</f>
        <v>71222.666666666672</v>
      </c>
      <c r="AE216" s="118"/>
      <c r="AF216" s="92">
        <f>AF217+AF235+AF237+AF253+AF262+AF263+AF266</f>
        <v>26624.666666666668</v>
      </c>
      <c r="AG216" s="117"/>
      <c r="AH216" s="92">
        <f>AH217+AH235+AH237+AH253+AH262+AH263+AH266</f>
        <v>56714.666666666672</v>
      </c>
      <c r="AI216" s="117"/>
      <c r="AJ216" s="92">
        <f>AJ217+AJ235+AJ237+AJ253+AJ262+AJ263+AJ266</f>
        <v>69557.466666666674</v>
      </c>
      <c r="AK216" s="117"/>
      <c r="AL216" s="92">
        <f>AL217+AL235+AL237+AL253+AL262+AL263+AL266</f>
        <v>23002.666666666668</v>
      </c>
      <c r="AM216" s="117"/>
      <c r="AN216" s="92">
        <f>AN217+AN235+AN237+AN253+AN262+AN263+AN266</f>
        <v>37966.236666666664</v>
      </c>
      <c r="AO216" s="117"/>
      <c r="AP216" s="92">
        <f>AP217+AP235+AP237+AP253+AP262+AP263+AP266</f>
        <v>42006.666666666672</v>
      </c>
      <c r="AQ216" s="117"/>
      <c r="AR216" s="92">
        <f>AR217+AR235+AR237+AR253+AR262+AR263+AR266</f>
        <v>47233.466666666667</v>
      </c>
      <c r="AS216" s="117"/>
      <c r="AT216" s="140">
        <f>AT217+AT235+AT237+AT253+AT262+AT263+AT266</f>
        <v>46305.678714859438</v>
      </c>
      <c r="AU216" s="117"/>
      <c r="AV216" s="92">
        <f>AV217+AV235+AV237+AV253+AV262+AV263+AV266</f>
        <v>86519.943975903632</v>
      </c>
      <c r="AX216" s="92">
        <f>AX217+AX235+AX237+AX253+AX262+AX263+AX266</f>
        <v>55919.53</v>
      </c>
      <c r="AZ216" s="92">
        <f>AZ217+AZ235+AZ237+AZ253+AZ262+AZ263+AZ266</f>
        <v>117530.4527309237</v>
      </c>
      <c r="BB216" s="92">
        <f>BB217+BB235+BB237+BB253+BB262+BB263+BB266</f>
        <v>157912.87666666668</v>
      </c>
      <c r="BD216" s="92">
        <f>BD217+BD235+BD237+BD253+BD262+BD263+BD266</f>
        <v>134322.33333333334</v>
      </c>
      <c r="BF216" s="92">
        <f>BF217+BF235+BF237+BF253+BF262+BF263+BF266</f>
        <v>130108.93333333333</v>
      </c>
      <c r="BH216" s="92">
        <f>BH217+BH235+BH237+BH253+BH262+BH263+BH266</f>
        <v>124381.93333333333</v>
      </c>
      <c r="BJ216" s="92">
        <f>BJ217+BJ235+BJ237+BJ253+BJ262+BJ263+BJ266</f>
        <v>74389.333333333343</v>
      </c>
      <c r="BK216" s="117"/>
      <c r="BL216" s="92">
        <f>BL217+BL235+BL237+BL253+BL262+BL263+BL266</f>
        <v>84955.333333333343</v>
      </c>
      <c r="BM216" s="117"/>
      <c r="BN216" s="92">
        <f>BN217+BN235+BN237+BN253+BN262+BN263+BN266</f>
        <v>70239.333333333343</v>
      </c>
      <c r="BO216" s="117"/>
      <c r="BP216" s="92">
        <f>BP217+BP235+BP237+BP253+BP262+BP263+BP266</f>
        <v>43764.333333333336</v>
      </c>
      <c r="BQ216" s="117"/>
      <c r="BR216" s="92">
        <f>BR217+BR235+BR237+BR253+BR262+BR263+BR266</f>
        <v>41764.333333333336</v>
      </c>
      <c r="BS216" s="117"/>
    </row>
    <row r="217" spans="3:71" x14ac:dyDescent="0.25">
      <c r="F217" s="4" t="s">
        <v>774</v>
      </c>
      <c r="G217" s="4"/>
      <c r="H217" s="1"/>
      <c r="T217" s="4">
        <f>SUM(T222:T234)</f>
        <v>0</v>
      </c>
      <c r="V217" s="4">
        <f>SUM(V222:V234)</f>
        <v>0</v>
      </c>
      <c r="X217" s="4">
        <f>X218+X221</f>
        <v>16666.666666666668</v>
      </c>
      <c r="Z217" s="4">
        <f>Z218+Z221</f>
        <v>16666.666666666668</v>
      </c>
      <c r="AB217" s="4">
        <f>AB218+AB221</f>
        <v>16666.666666666668</v>
      </c>
      <c r="AD217" s="4">
        <f>AD218+AD221</f>
        <v>16666.666666666668</v>
      </c>
      <c r="AF217" s="4">
        <f>AF218+AF221</f>
        <v>16666.666666666668</v>
      </c>
      <c r="AH217" s="4">
        <f>AH218+AH221</f>
        <v>18466.666666666668</v>
      </c>
      <c r="AJ217" s="4">
        <f>AJ218+AJ221</f>
        <v>17607.466666666667</v>
      </c>
      <c r="AL217" s="4">
        <f>AL218+AL221</f>
        <v>16666.666666666668</v>
      </c>
      <c r="AN217" s="4">
        <f>AN218+AN221</f>
        <v>20358.236666666668</v>
      </c>
      <c r="AP217" s="4">
        <f>AP218+AP221</f>
        <v>24602.666666666668</v>
      </c>
      <c r="AR217" s="4">
        <f>AR218+AR221</f>
        <v>27702.466666666667</v>
      </c>
      <c r="AT217" s="4">
        <f>AT218+AT221</f>
        <v>23519.678714859438</v>
      </c>
      <c r="AV217" s="4">
        <f>AV218+AV221</f>
        <v>69770.793975903624</v>
      </c>
      <c r="AX217" s="4">
        <f>AX218+AX221</f>
        <v>43465</v>
      </c>
      <c r="AZ217" s="4">
        <f>AZ218+AZ221</f>
        <v>56358.182730923698</v>
      </c>
      <c r="BB217" s="4">
        <f>BB218+BB221</f>
        <v>61248.466666666674</v>
      </c>
      <c r="BC217" s="18"/>
      <c r="BD217" s="4">
        <f>BD218+BD221</f>
        <v>56955.333333333336</v>
      </c>
      <c r="BF217" s="4">
        <f>BF218+BF221</f>
        <v>58734.933333333334</v>
      </c>
      <c r="BH217" s="4">
        <f>BH218+BH221</f>
        <v>46804.933333333334</v>
      </c>
      <c r="BJ217" s="4">
        <f>BJ218+BJ221</f>
        <v>33933.333333333336</v>
      </c>
      <c r="BL217" s="4">
        <f>BL218+BL221</f>
        <v>34933.333333333336</v>
      </c>
      <c r="BN217" s="4">
        <f>BN218+BN221</f>
        <v>39633.333333333336</v>
      </c>
      <c r="BP217" s="4">
        <f>BP218+BP221</f>
        <v>33333.333333333336</v>
      </c>
      <c r="BR217" s="4">
        <f>BR218+BR221</f>
        <v>33333.333333333336</v>
      </c>
    </row>
    <row r="218" spans="3:71" outlineLevel="1" x14ac:dyDescent="0.25">
      <c r="G218" s="4" t="s">
        <v>773</v>
      </c>
      <c r="H218" s="1"/>
      <c r="X218" s="4">
        <f>SUM(X219:X220)</f>
        <v>16666.666666666668</v>
      </c>
      <c r="Z218" s="4">
        <f>SUM(Z219:Z220)</f>
        <v>16666.666666666668</v>
      </c>
      <c r="AB218" s="4">
        <f>SUM(AB219:AB220)</f>
        <v>16666.666666666668</v>
      </c>
      <c r="AD218" s="4">
        <f>SUM(AD219:AD220)</f>
        <v>16666.666666666668</v>
      </c>
      <c r="AF218" s="4">
        <f>SUM(AF219:AF220)</f>
        <v>16666.666666666668</v>
      </c>
      <c r="AH218" s="4">
        <f>SUM(AH219:AH220)</f>
        <v>16666.666666666668</v>
      </c>
      <c r="AJ218" s="4">
        <f>SUM(AJ219:AJ220)</f>
        <v>16666.666666666668</v>
      </c>
      <c r="AL218" s="4">
        <f>SUM(AL219:AL220)</f>
        <v>16666.666666666668</v>
      </c>
      <c r="AN218" s="4">
        <f>SUM(AN219:AN220)</f>
        <v>16666.666666666668</v>
      </c>
      <c r="AP218" s="4">
        <f>SUM(AP219:AP220)</f>
        <v>16666.666666666668</v>
      </c>
      <c r="AR218" s="4">
        <f>SUM(AR219:AR220)</f>
        <v>16666.666666666668</v>
      </c>
      <c r="AT218" s="4">
        <f>SUM(AT219:AT220)</f>
        <v>16666.666666666668</v>
      </c>
      <c r="AV218" s="4">
        <f>SUM(AV219:AV220)</f>
        <v>33333.333333333336</v>
      </c>
      <c r="AX218" s="4">
        <f>SUM(AX219:AX220)</f>
        <v>33333.333333333336</v>
      </c>
      <c r="AZ218" s="4">
        <f>SUM(AZ219:AZ220)</f>
        <v>33333.333333333336</v>
      </c>
      <c r="BB218" s="4">
        <f>SUM(BB219:BB220)</f>
        <v>33333.333333333336</v>
      </c>
      <c r="BC218" s="18"/>
      <c r="BD218" s="4">
        <f>SUM(BD219:BD220)</f>
        <v>33333.333333333336</v>
      </c>
      <c r="BF218" s="4">
        <f>SUM(BF219:BF220)</f>
        <v>33333.333333333336</v>
      </c>
      <c r="BH218" s="4">
        <f>SUM(BH219:BH220)</f>
        <v>33333.333333333336</v>
      </c>
      <c r="BJ218" s="4">
        <f>SUM(BJ219:BJ220)</f>
        <v>33333.333333333336</v>
      </c>
      <c r="BL218" s="4">
        <f>SUM(BL219:BL220)</f>
        <v>33333.333333333336</v>
      </c>
      <c r="BN218" s="4">
        <f>SUM(BN219:BN220)</f>
        <v>33333.333333333336</v>
      </c>
      <c r="BP218" s="4">
        <f>SUM(BP219:BP220)</f>
        <v>33333.333333333336</v>
      </c>
      <c r="BR218" s="4">
        <f>SUM(BR219:BR220)</f>
        <v>33333.333333333336</v>
      </c>
    </row>
    <row r="219" spans="3:71" outlineLevel="1" x14ac:dyDescent="0.25">
      <c r="G219" s="4"/>
      <c r="H219" s="1"/>
      <c r="X219" s="34">
        <f>200000/12</f>
        <v>16666.666666666668</v>
      </c>
      <c r="Z219" s="34">
        <f>200000/12</f>
        <v>16666.666666666668</v>
      </c>
      <c r="AB219" s="34">
        <f>200000/12</f>
        <v>16666.666666666668</v>
      </c>
      <c r="AD219" s="34">
        <f>200000/12</f>
        <v>16666.666666666668</v>
      </c>
      <c r="AF219" s="34">
        <f>200000/12</f>
        <v>16666.666666666668</v>
      </c>
      <c r="AH219" s="34">
        <f>200000/12</f>
        <v>16666.666666666668</v>
      </c>
      <c r="AJ219" s="34">
        <f>200000/12</f>
        <v>16666.666666666668</v>
      </c>
      <c r="AL219" s="34">
        <f>200000/12</f>
        <v>16666.666666666668</v>
      </c>
      <c r="AN219" s="34">
        <f>200000/12</f>
        <v>16666.666666666668</v>
      </c>
      <c r="AP219" s="34">
        <f>200000/12</f>
        <v>16666.666666666668</v>
      </c>
      <c r="AR219" s="34">
        <f>200000/12</f>
        <v>16666.666666666668</v>
      </c>
      <c r="AT219" s="34">
        <f>200000/12</f>
        <v>16666.666666666668</v>
      </c>
      <c r="AV219" s="34">
        <f>400000/12</f>
        <v>33333.333333333336</v>
      </c>
      <c r="AX219" s="34">
        <f>400000/12</f>
        <v>33333.333333333336</v>
      </c>
      <c r="AZ219" s="34">
        <f>400000/12</f>
        <v>33333.333333333336</v>
      </c>
      <c r="BB219" s="34">
        <f>400000/12</f>
        <v>33333.333333333336</v>
      </c>
      <c r="BC219" s="18" t="s">
        <v>775</v>
      </c>
      <c r="BD219" s="34">
        <f>400000/12</f>
        <v>33333.333333333336</v>
      </c>
      <c r="BE219" s="18" t="s">
        <v>775</v>
      </c>
      <c r="BF219" s="34">
        <f>400000/12</f>
        <v>33333.333333333336</v>
      </c>
      <c r="BG219" s="18" t="s">
        <v>775</v>
      </c>
      <c r="BH219" s="34">
        <f>400000/12</f>
        <v>33333.333333333336</v>
      </c>
      <c r="BI219" s="18" t="s">
        <v>775</v>
      </c>
      <c r="BJ219" s="34">
        <f>400000/12</f>
        <v>33333.333333333336</v>
      </c>
      <c r="BK219" s="18" t="s">
        <v>775</v>
      </c>
      <c r="BL219" s="34">
        <f>400000/12</f>
        <v>33333.333333333336</v>
      </c>
      <c r="BM219" s="18" t="s">
        <v>775</v>
      </c>
      <c r="BN219" s="34">
        <f>400000/12</f>
        <v>33333.333333333336</v>
      </c>
      <c r="BO219" s="18" t="s">
        <v>775</v>
      </c>
      <c r="BP219" s="34">
        <f>400000/12</f>
        <v>33333.333333333336</v>
      </c>
      <c r="BQ219" s="18" t="s">
        <v>775</v>
      </c>
      <c r="BR219" s="34">
        <f>400000/12</f>
        <v>33333.333333333336</v>
      </c>
    </row>
    <row r="220" spans="3:71" outlineLevel="1" x14ac:dyDescent="0.25">
      <c r="G220" s="4"/>
      <c r="H220" s="1"/>
      <c r="X220" s="34">
        <v>0</v>
      </c>
      <c r="Z220" s="34">
        <v>0</v>
      </c>
      <c r="AB220" s="34">
        <v>0</v>
      </c>
      <c r="AD220" s="34">
        <v>0</v>
      </c>
      <c r="AF220" s="34">
        <v>0</v>
      </c>
      <c r="AH220" s="34">
        <v>0</v>
      </c>
      <c r="AJ220" s="34">
        <v>0</v>
      </c>
      <c r="AL220" s="34">
        <v>0</v>
      </c>
      <c r="AN220" s="34">
        <v>0</v>
      </c>
      <c r="AP220" s="34">
        <v>0</v>
      </c>
      <c r="AR220" s="34">
        <v>0</v>
      </c>
      <c r="AT220" s="34">
        <v>0</v>
      </c>
      <c r="AV220" s="34">
        <v>0</v>
      </c>
      <c r="AX220" s="34">
        <v>0</v>
      </c>
      <c r="AZ220" s="34">
        <v>0</v>
      </c>
      <c r="BB220" s="34">
        <v>0</v>
      </c>
      <c r="BC220" s="18"/>
      <c r="BD220" s="34">
        <v>0</v>
      </c>
      <c r="BF220" s="34">
        <v>0</v>
      </c>
      <c r="BH220" s="34">
        <v>0</v>
      </c>
      <c r="BJ220" s="34">
        <v>0</v>
      </c>
      <c r="BL220" s="34">
        <v>0</v>
      </c>
      <c r="BN220" s="34">
        <v>0</v>
      </c>
      <c r="BP220" s="34">
        <v>0</v>
      </c>
      <c r="BR220" s="34">
        <v>0</v>
      </c>
    </row>
    <row r="221" spans="3:71" outlineLevel="1" x14ac:dyDescent="0.25">
      <c r="G221" s="4" t="s">
        <v>440</v>
      </c>
      <c r="H221" s="1"/>
      <c r="AH221" s="4">
        <f>SUM(AH222:AH234)</f>
        <v>1800</v>
      </c>
      <c r="AJ221" s="4">
        <f>SUM(AJ222:AJ234)</f>
        <v>940.8</v>
      </c>
      <c r="AL221" s="4">
        <f>SUM(AL222:AL234)</f>
        <v>0</v>
      </c>
      <c r="AN221" s="4">
        <f>SUM(AN222:AN234)</f>
        <v>3691.5699999999997</v>
      </c>
      <c r="AP221" s="4">
        <f>SUM(AP222:AP234)</f>
        <v>7936</v>
      </c>
      <c r="AR221" s="4">
        <f>SUM(AR222:AR234)</f>
        <v>11035.8</v>
      </c>
      <c r="AT221" s="4">
        <f>SUM(AT222:AT234)</f>
        <v>6853.0120481927697</v>
      </c>
      <c r="AV221" s="4">
        <f>SUM(AV222:AV234)</f>
        <v>36437.46064257028</v>
      </c>
      <c r="AX221" s="4">
        <f>SUM(AX222:AX234)</f>
        <v>10131.666666666668</v>
      </c>
      <c r="AZ221" s="4">
        <f>SUM(AZ222:AZ234)</f>
        <v>23024.849397590362</v>
      </c>
      <c r="BB221" s="4">
        <f>SUM(BB222:BB234)</f>
        <v>27915.133333333335</v>
      </c>
      <c r="BC221" s="18"/>
      <c r="BD221" s="4">
        <f>SUM(BD222:BD234)</f>
        <v>23622</v>
      </c>
      <c r="BE221" s="4">
        <f>SUM(BE222:BE234)</f>
        <v>0</v>
      </c>
      <c r="BF221" s="4">
        <f>SUM(BF222:BF234)</f>
        <v>25401.599999999999</v>
      </c>
      <c r="BH221" s="4">
        <f>SUM(BH222:BH234)</f>
        <v>13471.6</v>
      </c>
      <c r="BJ221" s="4">
        <f>SUM(BJ222:BJ234)</f>
        <v>600</v>
      </c>
      <c r="BL221" s="4">
        <f>SUM(BL222:BL234)</f>
        <v>1600</v>
      </c>
      <c r="BN221" s="4">
        <f>SUM(BN222:BN234)</f>
        <v>6300</v>
      </c>
      <c r="BP221" s="4">
        <f>SUM(BP222:BP234)</f>
        <v>0</v>
      </c>
      <c r="BR221" s="4">
        <f>SUM(BR222:BR234)</f>
        <v>0</v>
      </c>
    </row>
    <row r="222" spans="3:71" s="14" customFormat="1" outlineLevel="1" x14ac:dyDescent="0.25">
      <c r="F222" s="4"/>
      <c r="H222" s="21"/>
      <c r="N222" s="19"/>
      <c r="S222" s="20"/>
      <c r="U222" s="22"/>
      <c r="W222" s="22"/>
      <c r="Y222" s="22"/>
      <c r="AA222" s="22"/>
      <c r="AC222" s="22"/>
      <c r="AE222" s="18"/>
      <c r="AG222" s="18" t="s">
        <v>441</v>
      </c>
      <c r="AH222" s="34">
        <f>6000*0.3</f>
        <v>1800</v>
      </c>
      <c r="AI222" s="18" t="s">
        <v>442</v>
      </c>
      <c r="AJ222" s="46">
        <v>940.8</v>
      </c>
      <c r="AL222" s="34">
        <v>0</v>
      </c>
      <c r="AM222" s="18" t="s">
        <v>442</v>
      </c>
      <c r="AN222" s="46">
        <v>1691.57</v>
      </c>
      <c r="AO222" s="18" t="s">
        <v>443</v>
      </c>
      <c r="AP222" s="46">
        <v>4518</v>
      </c>
      <c r="AQ222" s="18" t="s">
        <v>444</v>
      </c>
      <c r="AR222" s="46">
        <f>12000*0.3</f>
        <v>3600</v>
      </c>
      <c r="AS222" s="18" t="s">
        <v>445</v>
      </c>
      <c r="AT222" s="138">
        <v>3253.0120481927697</v>
      </c>
      <c r="AU222" s="18" t="s">
        <v>446</v>
      </c>
      <c r="AV222" s="46">
        <f>0.6*AV152</f>
        <v>5783.1325301204815</v>
      </c>
      <c r="AW222" s="18" t="s">
        <v>447</v>
      </c>
      <c r="AX222" s="46">
        <f>8000*0.4/3</f>
        <v>1066.6666666666667</v>
      </c>
      <c r="AY222" s="18" t="s">
        <v>191</v>
      </c>
      <c r="AZ222" s="46">
        <f>AZ151*0.6</f>
        <v>4337.3493975903602</v>
      </c>
      <c r="BA222" s="22"/>
      <c r="BB222" s="34">
        <v>0</v>
      </c>
      <c r="BC222" s="18" t="s">
        <v>448</v>
      </c>
      <c r="BD222" s="46">
        <f>BD151*0.6</f>
        <v>4255.8</v>
      </c>
      <c r="BE222" s="18" t="s">
        <v>449</v>
      </c>
      <c r="BF222" s="46">
        <f>5000*0.4</f>
        <v>2000</v>
      </c>
      <c r="BG222" s="18" t="s">
        <v>450</v>
      </c>
      <c r="BH222" s="34">
        <f>7000*0.7</f>
        <v>4900</v>
      </c>
      <c r="BI222" s="18"/>
      <c r="BJ222" s="75"/>
      <c r="BK222" s="18" t="s">
        <v>451</v>
      </c>
      <c r="BL222" s="75">
        <f>2000*0.6</f>
        <v>1200</v>
      </c>
      <c r="BM222" s="18" t="s">
        <v>778</v>
      </c>
      <c r="BN222" s="34">
        <f>15000*0.1</f>
        <v>1500</v>
      </c>
      <c r="BO222" s="22"/>
      <c r="BP222" s="34">
        <v>0</v>
      </c>
      <c r="BQ222" s="22"/>
      <c r="BR222" s="34">
        <v>0</v>
      </c>
      <c r="BS222" s="22"/>
    </row>
    <row r="223" spans="3:71" s="14" customFormat="1" outlineLevel="1" x14ac:dyDescent="0.25">
      <c r="F223" s="4"/>
      <c r="H223" s="21"/>
      <c r="N223" s="19"/>
      <c r="S223" s="20"/>
      <c r="U223" s="22"/>
      <c r="W223" s="22"/>
      <c r="Y223" s="22"/>
      <c r="AA223" s="22"/>
      <c r="AC223" s="22"/>
      <c r="AE223" s="18"/>
      <c r="AG223" s="22"/>
      <c r="AH223" s="34">
        <v>0</v>
      </c>
      <c r="AI223" s="22"/>
      <c r="AJ223" s="34">
        <v>0</v>
      </c>
      <c r="AK223" s="22"/>
      <c r="AL223" s="34">
        <v>0</v>
      </c>
      <c r="AM223" s="18" t="s">
        <v>452</v>
      </c>
      <c r="AN223" s="46">
        <v>2000</v>
      </c>
      <c r="AO223" s="18" t="s">
        <v>453</v>
      </c>
      <c r="AP223" s="46">
        <v>2168</v>
      </c>
      <c r="AQ223" s="18" t="s">
        <v>453</v>
      </c>
      <c r="AR223" s="46">
        <f>10786*0.3</f>
        <v>3235.7999999999997</v>
      </c>
      <c r="AS223" s="18" t="s">
        <v>454</v>
      </c>
      <c r="AT223" s="138">
        <f>8000*0.3</f>
        <v>2400</v>
      </c>
      <c r="AU223" s="18" t="s">
        <v>455</v>
      </c>
      <c r="AV223" s="46">
        <f>AV153*0.4</f>
        <v>4491.2</v>
      </c>
      <c r="AW223" s="18" t="s">
        <v>456</v>
      </c>
      <c r="AX223" s="46">
        <f>10000*0.4</f>
        <v>4000</v>
      </c>
      <c r="AY223" s="18" t="s">
        <v>456</v>
      </c>
      <c r="AZ223" s="46">
        <f>10000*0.2</f>
        <v>2000</v>
      </c>
      <c r="BA223" s="18" t="s">
        <v>457</v>
      </c>
      <c r="BB223" s="46">
        <f>8000*0.2</f>
        <v>1600</v>
      </c>
      <c r="BC223" s="18" t="s">
        <v>458</v>
      </c>
      <c r="BD223" s="46">
        <f>4000*0.2</f>
        <v>800</v>
      </c>
      <c r="BE223" s="18" t="s">
        <v>459</v>
      </c>
      <c r="BF223" s="34">
        <f>3529*0.6</f>
        <v>2117.4</v>
      </c>
      <c r="BG223" s="18"/>
      <c r="BH223" s="75"/>
      <c r="BI223" s="18" t="s">
        <v>711</v>
      </c>
      <c r="BJ223" s="34">
        <f>6000*0.1</f>
        <v>600</v>
      </c>
      <c r="BK223" s="18" t="s">
        <v>784</v>
      </c>
      <c r="BL223" s="35">
        <f>4000*0.1</f>
        <v>400</v>
      </c>
      <c r="BM223" s="22" t="s">
        <v>782</v>
      </c>
      <c r="BN223" s="34">
        <f>12000*0.4</f>
        <v>4800</v>
      </c>
      <c r="BO223" s="22"/>
      <c r="BP223" s="34">
        <v>0</v>
      </c>
      <c r="BQ223" s="22"/>
      <c r="BR223" s="34">
        <v>0</v>
      </c>
      <c r="BS223" s="22"/>
    </row>
    <row r="224" spans="3:71" s="14" customFormat="1" outlineLevel="1" x14ac:dyDescent="0.25">
      <c r="F224" s="4"/>
      <c r="H224" s="21"/>
      <c r="N224" s="19"/>
      <c r="S224" s="20"/>
      <c r="U224" s="22"/>
      <c r="W224" s="22"/>
      <c r="Y224" s="22"/>
      <c r="AA224" s="22"/>
      <c r="AC224" s="22"/>
      <c r="AE224" s="18"/>
      <c r="AG224" s="22"/>
      <c r="AH224" s="34">
        <v>0</v>
      </c>
      <c r="AI224" s="22"/>
      <c r="AJ224" s="34">
        <v>0</v>
      </c>
      <c r="AK224" s="22"/>
      <c r="AL224" s="34">
        <v>0</v>
      </c>
      <c r="AM224" s="22"/>
      <c r="AN224" s="34">
        <v>0</v>
      </c>
      <c r="AO224" s="18" t="s">
        <v>460</v>
      </c>
      <c r="AP224" s="46">
        <v>1250</v>
      </c>
      <c r="AQ224" s="18" t="s">
        <v>461</v>
      </c>
      <c r="AR224" s="46">
        <f>10000*0.2</f>
        <v>2000</v>
      </c>
      <c r="AS224" s="18" t="s">
        <v>462</v>
      </c>
      <c r="AT224" s="138">
        <f>6000*0.2</f>
        <v>1200</v>
      </c>
      <c r="AU224" s="18" t="s">
        <v>463</v>
      </c>
      <c r="AV224" s="46">
        <f>12000*0.1</f>
        <v>1200</v>
      </c>
      <c r="AW224" s="18" t="s">
        <v>464</v>
      </c>
      <c r="AX224" s="46">
        <v>5065</v>
      </c>
      <c r="AY224" s="18" t="s">
        <v>465</v>
      </c>
      <c r="AZ224" s="46">
        <f>29813*0.2</f>
        <v>5962.6</v>
      </c>
      <c r="BA224" s="18" t="s">
        <v>466</v>
      </c>
      <c r="BB224" s="46">
        <f>8000*0.3</f>
        <v>2400</v>
      </c>
      <c r="BC224" s="18" t="s">
        <v>467</v>
      </c>
      <c r="BD224" s="46">
        <v>6148</v>
      </c>
      <c r="BE224" s="18" t="s">
        <v>468</v>
      </c>
      <c r="BF224" s="46">
        <f>20000*0.1</f>
        <v>2000</v>
      </c>
      <c r="BG224" s="18" t="s">
        <v>469</v>
      </c>
      <c r="BH224" s="34">
        <f>14286*0.2</f>
        <v>2857.2000000000003</v>
      </c>
      <c r="BI224" s="22"/>
      <c r="BJ224" s="34">
        <v>0</v>
      </c>
      <c r="BK224" s="22"/>
      <c r="BL224" s="34">
        <v>0</v>
      </c>
      <c r="BM224" s="22"/>
      <c r="BN224" s="34">
        <v>0</v>
      </c>
      <c r="BO224" s="22"/>
      <c r="BP224" s="34">
        <v>0</v>
      </c>
      <c r="BQ224" s="22"/>
      <c r="BR224" s="34">
        <v>0</v>
      </c>
      <c r="BS224" s="22"/>
    </row>
    <row r="225" spans="6:71" s="14" customFormat="1" outlineLevel="1" x14ac:dyDescent="0.25">
      <c r="F225" s="4"/>
      <c r="H225" s="21"/>
      <c r="N225" s="19"/>
      <c r="S225" s="20"/>
      <c r="U225" s="22"/>
      <c r="W225" s="22"/>
      <c r="Y225" s="22"/>
      <c r="AA225" s="22"/>
      <c r="AC225" s="22"/>
      <c r="AE225" s="18"/>
      <c r="AG225" s="22"/>
      <c r="AH225" s="34"/>
      <c r="AI225" s="22"/>
      <c r="AJ225" s="34"/>
      <c r="AK225" s="22"/>
      <c r="AL225" s="34"/>
      <c r="AM225" s="22"/>
      <c r="AN225" s="34"/>
      <c r="AO225" s="18"/>
      <c r="AP225" s="34">
        <v>0</v>
      </c>
      <c r="AQ225" s="18" t="s">
        <v>470</v>
      </c>
      <c r="AR225" s="46">
        <f>8000*0.2</f>
        <v>1600</v>
      </c>
      <c r="AS225" s="22"/>
      <c r="AT225" s="126">
        <v>0</v>
      </c>
      <c r="AU225" s="18" t="s">
        <v>471</v>
      </c>
      <c r="AV225" s="46">
        <f xml:space="preserve"> 9601*0.4</f>
        <v>3840.4</v>
      </c>
      <c r="AW225" s="18"/>
      <c r="AX225" s="34">
        <v>0</v>
      </c>
      <c r="AY225" s="18" t="s">
        <v>472</v>
      </c>
      <c r="AZ225" s="46">
        <f>9541*0.1</f>
        <v>954.1</v>
      </c>
      <c r="BA225" s="18" t="s">
        <v>473</v>
      </c>
      <c r="BB225" s="46">
        <v>3000</v>
      </c>
      <c r="BC225" s="18" t="s">
        <v>474</v>
      </c>
      <c r="BD225" s="46">
        <v>1500</v>
      </c>
      <c r="BE225" s="18" t="s">
        <v>475</v>
      </c>
      <c r="BF225" s="46">
        <f>3000*0.6</f>
        <v>1800</v>
      </c>
      <c r="BG225" s="18"/>
      <c r="BH225" s="34"/>
      <c r="BI225" s="22"/>
      <c r="BJ225" s="34"/>
      <c r="BK225" s="22"/>
      <c r="BL225" s="34"/>
      <c r="BM225" s="22"/>
      <c r="BN225" s="34"/>
      <c r="BO225" s="22"/>
      <c r="BP225" s="34"/>
      <c r="BQ225" s="22"/>
      <c r="BR225" s="34"/>
      <c r="BS225" s="22"/>
    </row>
    <row r="226" spans="6:71" s="14" customFormat="1" outlineLevel="1" x14ac:dyDescent="0.25">
      <c r="F226" s="4"/>
      <c r="H226" s="21"/>
      <c r="N226" s="19"/>
      <c r="S226" s="20"/>
      <c r="U226" s="22"/>
      <c r="W226" s="22"/>
      <c r="Y226" s="22"/>
      <c r="AA226" s="22"/>
      <c r="AC226" s="22"/>
      <c r="AE226" s="18"/>
      <c r="AG226" s="22"/>
      <c r="AH226" s="34"/>
      <c r="AI226" s="22"/>
      <c r="AJ226" s="34"/>
      <c r="AK226" s="22"/>
      <c r="AL226" s="34"/>
      <c r="AM226" s="22"/>
      <c r="AN226" s="34"/>
      <c r="AO226" s="18"/>
      <c r="AP226" s="34"/>
      <c r="AQ226" s="18"/>
      <c r="AR226" s="46"/>
      <c r="AS226" s="22"/>
      <c r="AT226" s="126"/>
      <c r="AU226" s="18"/>
      <c r="AV226" s="46"/>
      <c r="AW226" s="18"/>
      <c r="AX226" s="34"/>
      <c r="AY226" s="18"/>
      <c r="AZ226" s="46"/>
      <c r="BA226" s="18" t="s">
        <v>476</v>
      </c>
      <c r="BB226" s="46">
        <v>750</v>
      </c>
      <c r="BC226" s="18" t="s">
        <v>38</v>
      </c>
      <c r="BD226" s="46">
        <v>3000</v>
      </c>
      <c r="BE226" s="18" t="s">
        <v>477</v>
      </c>
      <c r="BF226" s="46">
        <f>21008*0.4</f>
        <v>8403.2000000000007</v>
      </c>
      <c r="BG226" s="18" t="s">
        <v>477</v>
      </c>
      <c r="BH226" s="34">
        <f>9524*0.6</f>
        <v>5714.4</v>
      </c>
      <c r="BI226" s="22"/>
      <c r="BJ226" s="34"/>
      <c r="BK226" s="22"/>
      <c r="BL226" s="34"/>
      <c r="BM226" s="22"/>
      <c r="BN226" s="34"/>
      <c r="BO226" s="22"/>
      <c r="BP226" s="34"/>
      <c r="BQ226" s="22"/>
      <c r="BR226" s="34"/>
      <c r="BS226" s="22"/>
    </row>
    <row r="227" spans="6:71" s="14" customFormat="1" outlineLevel="1" x14ac:dyDescent="0.25">
      <c r="F227" s="4"/>
      <c r="H227" s="21"/>
      <c r="N227" s="19"/>
      <c r="S227" s="20"/>
      <c r="U227" s="22"/>
      <c r="W227" s="22"/>
      <c r="Y227" s="22"/>
      <c r="AA227" s="22"/>
      <c r="AC227" s="22"/>
      <c r="AE227" s="18"/>
      <c r="AG227" s="22"/>
      <c r="AH227" s="34"/>
      <c r="AI227" s="22"/>
      <c r="AJ227" s="34"/>
      <c r="AK227" s="22"/>
      <c r="AL227" s="34"/>
      <c r="AM227" s="22"/>
      <c r="AN227" s="34"/>
      <c r="AO227" s="18"/>
      <c r="AP227" s="34"/>
      <c r="AQ227" s="18" t="s">
        <v>478</v>
      </c>
      <c r="AR227" s="46">
        <f>AR156*0.2</f>
        <v>600</v>
      </c>
      <c r="AS227" s="22"/>
      <c r="AT227" s="126">
        <v>0</v>
      </c>
      <c r="AU227" s="18" t="s">
        <v>479</v>
      </c>
      <c r="AV227" s="46">
        <f>16701*0.7</f>
        <v>11690.699999999999</v>
      </c>
      <c r="AW227" s="22"/>
      <c r="AX227" s="34">
        <v>0</v>
      </c>
      <c r="AY227" s="18" t="s">
        <v>480</v>
      </c>
      <c r="AZ227" s="46">
        <f>14286*0.6</f>
        <v>8571.6</v>
      </c>
      <c r="BA227" s="18" t="s">
        <v>481</v>
      </c>
      <c r="BB227" s="46">
        <f>9000*0.2</f>
        <v>1800</v>
      </c>
      <c r="BC227" s="18" t="s">
        <v>482</v>
      </c>
      <c r="BD227" s="46">
        <f>9502*0.4</f>
        <v>3800.8</v>
      </c>
      <c r="BE227" s="18" t="s">
        <v>781</v>
      </c>
      <c r="BF227" s="46">
        <f>2619-238</f>
        <v>2381</v>
      </c>
      <c r="BG227" s="22"/>
      <c r="BH227" s="34"/>
      <c r="BI227" s="22"/>
      <c r="BJ227" s="34"/>
      <c r="BK227" s="22"/>
      <c r="BL227" s="34"/>
      <c r="BM227" s="22"/>
      <c r="BN227" s="34"/>
      <c r="BO227" s="22"/>
      <c r="BP227" s="34"/>
      <c r="BQ227" s="22"/>
      <c r="BR227" s="34"/>
      <c r="BS227" s="22"/>
    </row>
    <row r="228" spans="6:71" s="14" customFormat="1" outlineLevel="1" x14ac:dyDescent="0.25">
      <c r="F228" s="4"/>
      <c r="H228" s="21"/>
      <c r="N228" s="19"/>
      <c r="S228" s="20"/>
      <c r="U228" s="22"/>
      <c r="W228" s="22"/>
      <c r="Y228" s="22"/>
      <c r="AA228" s="22"/>
      <c r="AC228" s="22"/>
      <c r="AE228" s="18"/>
      <c r="AG228" s="22"/>
      <c r="AH228" s="34"/>
      <c r="AI228" s="22"/>
      <c r="AJ228" s="34"/>
      <c r="AK228" s="22"/>
      <c r="AL228" s="34"/>
      <c r="AM228" s="22"/>
      <c r="AN228" s="34"/>
      <c r="AO228" s="18"/>
      <c r="AP228" s="34"/>
      <c r="AQ228" s="18"/>
      <c r="AR228" s="34"/>
      <c r="AS228" s="22"/>
      <c r="AT228" s="126">
        <v>0</v>
      </c>
      <c r="AU228" s="18" t="s">
        <v>483</v>
      </c>
      <c r="AV228" s="46">
        <f>8000*0.4/3</f>
        <v>1066.6666666666667</v>
      </c>
      <c r="AW228" s="22"/>
      <c r="AX228" s="34">
        <v>0</v>
      </c>
      <c r="AY228" s="18" t="s">
        <v>484</v>
      </c>
      <c r="AZ228" s="46">
        <f>5996*0.2</f>
        <v>1199.2</v>
      </c>
      <c r="BA228" s="18" t="s">
        <v>485</v>
      </c>
      <c r="BB228" s="46">
        <f>8000*0.2/3</f>
        <v>533.33333333333337</v>
      </c>
      <c r="BC228" s="18" t="s">
        <v>459</v>
      </c>
      <c r="BD228" s="34">
        <f>3529*0.6</f>
        <v>2117.4</v>
      </c>
      <c r="BE228" s="18" t="s">
        <v>486</v>
      </c>
      <c r="BF228" s="46">
        <f>4000*0.1</f>
        <v>400</v>
      </c>
      <c r="BG228" s="22"/>
      <c r="BH228" s="34"/>
      <c r="BI228" s="22"/>
      <c r="BJ228" s="34"/>
      <c r="BK228" s="22"/>
      <c r="BL228" s="34"/>
      <c r="BM228" s="22"/>
      <c r="BN228" s="34"/>
      <c r="BO228" s="22"/>
      <c r="BP228" s="34"/>
      <c r="BQ228" s="22"/>
      <c r="BR228" s="34"/>
      <c r="BS228" s="22"/>
    </row>
    <row r="229" spans="6:71" s="14" customFormat="1" outlineLevel="1" x14ac:dyDescent="0.25">
      <c r="F229" s="4"/>
      <c r="H229" s="21"/>
      <c r="N229" s="19"/>
      <c r="S229" s="20"/>
      <c r="U229" s="22"/>
      <c r="W229" s="22"/>
      <c r="Y229" s="22"/>
      <c r="AA229" s="22"/>
      <c r="AC229" s="22"/>
      <c r="AE229" s="18"/>
      <c r="AG229" s="22"/>
      <c r="AH229" s="34"/>
      <c r="AI229" s="22"/>
      <c r="AJ229" s="34"/>
      <c r="AK229" s="22"/>
      <c r="AL229" s="34"/>
      <c r="AM229" s="22"/>
      <c r="AN229" s="34"/>
      <c r="AO229" s="18"/>
      <c r="AP229" s="34"/>
      <c r="AQ229" s="18"/>
      <c r="AR229" s="34"/>
      <c r="AS229" s="22"/>
      <c r="AT229" s="126"/>
      <c r="AU229" s="18" t="s">
        <v>487</v>
      </c>
      <c r="AV229" s="46">
        <f>10843.3734939759*0.7</f>
        <v>7590.3614457831291</v>
      </c>
      <c r="AW229" s="22"/>
      <c r="AX229" s="34">
        <v>0</v>
      </c>
      <c r="AY229" s="18"/>
      <c r="AZ229" s="34"/>
      <c r="BA229" s="18" t="s">
        <v>488</v>
      </c>
      <c r="BB229" s="46">
        <f>15000*0.1</f>
        <v>1500</v>
      </c>
      <c r="BC229" s="18" t="s">
        <v>471</v>
      </c>
      <c r="BD229" s="46">
        <f>10000*0.2</f>
        <v>2000</v>
      </c>
      <c r="BE229" s="18" t="s">
        <v>489</v>
      </c>
      <c r="BF229" s="46">
        <f>9000*0.4</f>
        <v>3600</v>
      </c>
      <c r="BG229" s="22"/>
      <c r="BH229" s="34"/>
      <c r="BI229" s="22"/>
      <c r="BJ229" s="34"/>
      <c r="BK229" s="22"/>
      <c r="BL229" s="34"/>
      <c r="BM229" s="22"/>
      <c r="BN229" s="34"/>
      <c r="BO229" s="22"/>
      <c r="BP229" s="34"/>
      <c r="BQ229" s="22"/>
      <c r="BR229" s="34"/>
      <c r="BS229" s="22"/>
    </row>
    <row r="230" spans="6:71" s="14" customFormat="1" outlineLevel="1" x14ac:dyDescent="0.25">
      <c r="F230" s="4"/>
      <c r="H230" s="21"/>
      <c r="N230" s="19"/>
      <c r="S230" s="20"/>
      <c r="U230" s="22"/>
      <c r="W230" s="22"/>
      <c r="Y230" s="22"/>
      <c r="AA230" s="22"/>
      <c r="AC230" s="22"/>
      <c r="AE230" s="18"/>
      <c r="AG230" s="22"/>
      <c r="AH230" s="34"/>
      <c r="AI230" s="22"/>
      <c r="AJ230" s="34"/>
      <c r="AK230" s="22"/>
      <c r="AL230" s="34"/>
      <c r="AM230" s="22"/>
      <c r="AN230" s="34"/>
      <c r="AO230" s="18"/>
      <c r="AP230" s="34"/>
      <c r="AQ230" s="18"/>
      <c r="AR230" s="34"/>
      <c r="AS230" s="22"/>
      <c r="AT230" s="126"/>
      <c r="AU230" s="18" t="s">
        <v>490</v>
      </c>
      <c r="AV230" s="46">
        <v>775</v>
      </c>
      <c r="AW230" s="22"/>
      <c r="AX230" s="34">
        <v>0</v>
      </c>
      <c r="AY230" s="18"/>
      <c r="AZ230" s="34"/>
      <c r="BA230" s="18" t="s">
        <v>491</v>
      </c>
      <c r="BB230" s="46">
        <f>14286*0.4</f>
        <v>5714.4000000000005</v>
      </c>
      <c r="BC230" s="22"/>
      <c r="BD230" s="34"/>
      <c r="BE230" s="18" t="s">
        <v>492</v>
      </c>
      <c r="BF230" s="46">
        <f>9000*0.3</f>
        <v>2700</v>
      </c>
      <c r="BG230" s="22"/>
      <c r="BH230" s="34"/>
      <c r="BI230" s="22"/>
      <c r="BJ230" s="34"/>
      <c r="BK230" s="22"/>
      <c r="BL230" s="34"/>
      <c r="BM230" s="22"/>
      <c r="BN230" s="34"/>
      <c r="BO230" s="22"/>
      <c r="BP230" s="34"/>
      <c r="BQ230" s="22"/>
      <c r="BR230" s="34"/>
      <c r="BS230" s="22"/>
    </row>
    <row r="231" spans="6:71" s="14" customFormat="1" outlineLevel="1" x14ac:dyDescent="0.25">
      <c r="F231" s="4"/>
      <c r="H231" s="21"/>
      <c r="N231" s="19"/>
      <c r="S231" s="20"/>
      <c r="U231" s="22"/>
      <c r="W231" s="22"/>
      <c r="Y231" s="22"/>
      <c r="AA231" s="22"/>
      <c r="AC231" s="22"/>
      <c r="AE231" s="18"/>
      <c r="AG231" s="22"/>
      <c r="AH231" s="34"/>
      <c r="AI231" s="22"/>
      <c r="AJ231" s="34"/>
      <c r="AK231" s="22"/>
      <c r="AL231" s="34"/>
      <c r="AM231" s="22"/>
      <c r="AN231" s="34"/>
      <c r="AO231" s="18"/>
      <c r="AP231" s="34"/>
      <c r="AQ231" s="18"/>
      <c r="AR231" s="34"/>
      <c r="AS231" s="22"/>
      <c r="AT231" s="126"/>
      <c r="AU231" s="18"/>
      <c r="AV231" s="46"/>
      <c r="AW231" s="22"/>
      <c r="AX231" s="34"/>
      <c r="AY231" s="18"/>
      <c r="AZ231" s="34"/>
      <c r="BA231" s="18" t="s">
        <v>474</v>
      </c>
      <c r="BB231" s="46">
        <v>1500</v>
      </c>
      <c r="BC231" s="22"/>
      <c r="BD231" s="34"/>
      <c r="BE231" s="18"/>
      <c r="BF231" s="34"/>
      <c r="BG231" s="22"/>
      <c r="BH231" s="34"/>
      <c r="BI231" s="22"/>
      <c r="BJ231" s="34"/>
      <c r="BK231" s="22"/>
      <c r="BL231" s="34"/>
      <c r="BM231" s="22"/>
      <c r="BN231" s="34"/>
      <c r="BO231" s="22"/>
      <c r="BP231" s="34"/>
      <c r="BQ231" s="22"/>
      <c r="BR231" s="34"/>
      <c r="BS231" s="22"/>
    </row>
    <row r="232" spans="6:71" s="14" customFormat="1" outlineLevel="1" x14ac:dyDescent="0.25">
      <c r="F232" s="4"/>
      <c r="H232" s="21"/>
      <c r="N232" s="19"/>
      <c r="S232" s="20"/>
      <c r="U232" s="22"/>
      <c r="W232" s="22"/>
      <c r="Y232" s="22"/>
      <c r="AA232" s="22"/>
      <c r="AC232" s="22"/>
      <c r="AE232" s="18"/>
      <c r="AG232" s="22"/>
      <c r="AH232" s="34"/>
      <c r="AI232" s="22"/>
      <c r="AJ232" s="34"/>
      <c r="AK232" s="22"/>
      <c r="AL232" s="34"/>
      <c r="AM232" s="22"/>
      <c r="AN232" s="34"/>
      <c r="AO232" s="18"/>
      <c r="AP232" s="34"/>
      <c r="AQ232" s="18"/>
      <c r="AR232" s="34"/>
      <c r="AS232" s="22"/>
      <c r="AT232" s="126"/>
      <c r="AU232" s="18"/>
      <c r="AV232" s="46"/>
      <c r="AW232" s="22"/>
      <c r="AX232" s="34"/>
      <c r="AY232" s="18"/>
      <c r="AZ232" s="34"/>
      <c r="BA232" s="18" t="s">
        <v>38</v>
      </c>
      <c r="BB232" s="46">
        <v>3000</v>
      </c>
      <c r="BC232" s="22"/>
      <c r="BD232" s="34"/>
      <c r="BE232" s="18"/>
      <c r="BF232" s="75"/>
      <c r="BG232" s="22"/>
      <c r="BH232" s="34"/>
      <c r="BI232" s="22"/>
      <c r="BJ232" s="34"/>
      <c r="BK232" s="22"/>
      <c r="BL232" s="34"/>
      <c r="BM232" s="22"/>
      <c r="BN232" s="34"/>
      <c r="BO232" s="22"/>
      <c r="BP232" s="34"/>
      <c r="BQ232" s="22"/>
      <c r="BR232" s="34"/>
      <c r="BS232" s="22"/>
    </row>
    <row r="233" spans="6:71" s="14" customFormat="1" outlineLevel="1" x14ac:dyDescent="0.25">
      <c r="F233" s="4"/>
      <c r="H233" s="21"/>
      <c r="N233" s="19"/>
      <c r="S233" s="20"/>
      <c r="U233" s="22"/>
      <c r="W233" s="22"/>
      <c r="Y233" s="22"/>
      <c r="AA233" s="22"/>
      <c r="AC233" s="22"/>
      <c r="AE233" s="18"/>
      <c r="AG233" s="22"/>
      <c r="AH233" s="34"/>
      <c r="AI233" s="22"/>
      <c r="AJ233" s="34"/>
      <c r="AK233" s="22"/>
      <c r="AL233" s="34"/>
      <c r="AM233" s="22"/>
      <c r="AN233" s="34"/>
      <c r="AO233" s="18"/>
      <c r="AP233" s="34"/>
      <c r="AQ233" s="18"/>
      <c r="AR233" s="34"/>
      <c r="AS233" s="22"/>
      <c r="AT233" s="126"/>
      <c r="AU233" s="18"/>
      <c r="AV233" s="46"/>
      <c r="AW233" s="22"/>
      <c r="AX233" s="34"/>
      <c r="AY233" s="18"/>
      <c r="AZ233" s="34"/>
      <c r="BA233" s="18" t="s">
        <v>459</v>
      </c>
      <c r="BB233" s="34">
        <f>3529*0.6</f>
        <v>2117.4</v>
      </c>
      <c r="BC233" s="22"/>
      <c r="BD233" s="34"/>
      <c r="BE233" s="22"/>
      <c r="BF233" s="34"/>
      <c r="BG233" s="22"/>
      <c r="BH233" s="34"/>
      <c r="BI233" s="22"/>
      <c r="BJ233" s="34"/>
      <c r="BK233" s="22"/>
      <c r="BL233" s="34"/>
      <c r="BM233" s="22"/>
      <c r="BN233" s="34"/>
      <c r="BO233" s="22"/>
      <c r="BP233" s="34"/>
      <c r="BQ233" s="22"/>
      <c r="BR233" s="34"/>
      <c r="BS233" s="22"/>
    </row>
    <row r="234" spans="6:71" s="14" customFormat="1" outlineLevel="1" x14ac:dyDescent="0.25">
      <c r="F234" s="4"/>
      <c r="H234" s="21"/>
      <c r="N234" s="19"/>
      <c r="S234" s="20"/>
      <c r="U234" s="22"/>
      <c r="W234" s="22"/>
      <c r="Y234" s="22"/>
      <c r="AA234" s="22"/>
      <c r="AC234" s="22"/>
      <c r="AE234" s="18"/>
      <c r="AG234" s="22"/>
      <c r="AH234" s="34"/>
      <c r="AI234" s="22"/>
      <c r="AJ234" s="34"/>
      <c r="AK234" s="22"/>
      <c r="AL234" s="34"/>
      <c r="AM234" s="22"/>
      <c r="AN234" s="34"/>
      <c r="AO234" s="18"/>
      <c r="AP234" s="34"/>
      <c r="AQ234" s="18"/>
      <c r="AR234" s="34"/>
      <c r="AS234" s="22"/>
      <c r="AT234" s="126"/>
      <c r="AU234" s="18"/>
      <c r="AV234" s="46"/>
      <c r="AW234" s="22"/>
      <c r="AX234" s="34"/>
      <c r="AY234" s="18"/>
      <c r="AZ234" s="34"/>
      <c r="BA234" s="18" t="s">
        <v>471</v>
      </c>
      <c r="BB234" s="46">
        <f>20000*0.2</f>
        <v>4000</v>
      </c>
      <c r="BC234" s="22"/>
      <c r="BD234" s="34"/>
      <c r="BE234" s="22"/>
      <c r="BF234" s="34"/>
      <c r="BG234" s="22"/>
      <c r="BH234" s="34"/>
      <c r="BI234" s="22"/>
      <c r="BJ234" s="34"/>
      <c r="BK234" s="22"/>
      <c r="BL234" s="34"/>
      <c r="BM234" s="22"/>
      <c r="BN234" s="34"/>
      <c r="BO234" s="22"/>
      <c r="BP234" s="34"/>
      <c r="BQ234" s="22"/>
      <c r="BR234" s="34"/>
      <c r="BS234" s="22"/>
    </row>
    <row r="235" spans="6:71" x14ac:dyDescent="0.25">
      <c r="F235" s="4" t="s">
        <v>493</v>
      </c>
      <c r="G235" s="4"/>
      <c r="H235" s="1"/>
      <c r="T235" s="4">
        <f>T236</f>
        <v>0</v>
      </c>
      <c r="V235" s="4">
        <f>V236</f>
        <v>0</v>
      </c>
      <c r="X235" s="4">
        <f>X236</f>
        <v>0</v>
      </c>
      <c r="Z235" s="4">
        <f>Z236</f>
        <v>0</v>
      </c>
      <c r="AB235" s="4">
        <f>AB236</f>
        <v>0</v>
      </c>
      <c r="AD235" s="4">
        <f>AD236</f>
        <v>0</v>
      </c>
      <c r="AF235" s="4">
        <f>AF236</f>
        <v>0</v>
      </c>
      <c r="AH235" s="4">
        <f>AH236</f>
        <v>0</v>
      </c>
      <c r="AJ235" s="4">
        <f>AJ236</f>
        <v>0</v>
      </c>
      <c r="AL235" s="4">
        <f>AL236</f>
        <v>0</v>
      </c>
      <c r="AN235" s="4">
        <f>AN236</f>
        <v>0</v>
      </c>
      <c r="AP235" s="4">
        <f>AP236</f>
        <v>0</v>
      </c>
      <c r="AR235" s="4">
        <f>AR236</f>
        <v>0</v>
      </c>
      <c r="AT235" s="121">
        <f>AT236</f>
        <v>0</v>
      </c>
      <c r="AV235" s="4">
        <f>AV236</f>
        <v>0</v>
      </c>
      <c r="AX235" s="4">
        <f>AX236</f>
        <v>0</v>
      </c>
      <c r="AZ235" s="4">
        <f>AZ236</f>
        <v>0</v>
      </c>
      <c r="BB235" s="4">
        <f>BB236</f>
        <v>0</v>
      </c>
      <c r="BC235" s="18"/>
      <c r="BD235" s="4">
        <f>BD236</f>
        <v>0</v>
      </c>
      <c r="BF235" s="4">
        <f>BF236</f>
        <v>0</v>
      </c>
      <c r="BH235" s="4">
        <f>BH236</f>
        <v>0</v>
      </c>
      <c r="BJ235" s="4">
        <f>BJ236</f>
        <v>0</v>
      </c>
      <c r="BL235" s="4">
        <f>BL236</f>
        <v>0</v>
      </c>
      <c r="BN235" s="4">
        <f>BN236</f>
        <v>0</v>
      </c>
      <c r="BP235" s="4">
        <f>BP236</f>
        <v>0</v>
      </c>
      <c r="BR235" s="4">
        <f>BR236</f>
        <v>0</v>
      </c>
    </row>
    <row r="236" spans="6:71" s="58" customFormat="1" outlineLevel="1" x14ac:dyDescent="0.25">
      <c r="G236" s="4" t="s">
        <v>499</v>
      </c>
      <c r="H236" s="1"/>
      <c r="I236" s="4"/>
      <c r="S236" s="66" t="s">
        <v>495</v>
      </c>
      <c r="T236" s="75">
        <v>0</v>
      </c>
      <c r="U236" s="76"/>
      <c r="V236" s="75">
        <v>0</v>
      </c>
      <c r="W236" s="76"/>
      <c r="X236" s="75">
        <v>0</v>
      </c>
      <c r="Y236" s="76"/>
      <c r="Z236" s="75">
        <v>0</v>
      </c>
      <c r="AA236" s="76"/>
      <c r="AB236" s="34">
        <v>0</v>
      </c>
      <c r="AC236" s="52"/>
      <c r="AD236" s="34">
        <v>0</v>
      </c>
      <c r="AE236" s="52"/>
      <c r="AF236" s="34">
        <v>0</v>
      </c>
      <c r="AG236" s="52"/>
      <c r="AH236" s="34">
        <v>0</v>
      </c>
      <c r="AI236" s="52"/>
      <c r="AJ236" s="34">
        <v>0</v>
      </c>
      <c r="AK236" s="52"/>
      <c r="AL236" s="34">
        <v>0</v>
      </c>
      <c r="AM236" s="52"/>
      <c r="AN236" s="34">
        <v>0</v>
      </c>
      <c r="AO236" s="52"/>
      <c r="AP236" s="34">
        <v>0</v>
      </c>
      <c r="AQ236" s="52"/>
      <c r="AR236" s="34">
        <v>0</v>
      </c>
      <c r="AS236" s="4"/>
      <c r="AT236" s="126">
        <v>0</v>
      </c>
      <c r="AU236" s="4"/>
      <c r="AV236" s="34">
        <v>0</v>
      </c>
      <c r="AW236" s="4"/>
      <c r="AX236" s="34">
        <v>0</v>
      </c>
      <c r="AY236" s="4"/>
      <c r="AZ236" s="34">
        <v>0</v>
      </c>
      <c r="BA236" s="4"/>
      <c r="BB236" s="36">
        <v>0</v>
      </c>
      <c r="BC236" s="31"/>
      <c r="BD236" s="36">
        <v>0</v>
      </c>
      <c r="BE236" s="31"/>
      <c r="BF236" s="34">
        <v>0</v>
      </c>
      <c r="BG236" s="76"/>
      <c r="BH236" s="34">
        <v>0</v>
      </c>
      <c r="BI236" s="52"/>
      <c r="BJ236" s="34">
        <v>0</v>
      </c>
      <c r="BK236" s="52"/>
      <c r="BL236" s="34">
        <v>0</v>
      </c>
      <c r="BM236" s="52"/>
      <c r="BN236" s="34">
        <v>0</v>
      </c>
      <c r="BO236" s="52"/>
      <c r="BP236" s="34">
        <v>0</v>
      </c>
      <c r="BQ236" s="52"/>
      <c r="BR236" s="34">
        <v>0</v>
      </c>
      <c r="BS236" s="76"/>
    </row>
    <row r="237" spans="6:71" x14ac:dyDescent="0.25">
      <c r="F237" s="4" t="s">
        <v>500</v>
      </c>
      <c r="G237" s="4"/>
      <c r="H237" s="1"/>
      <c r="T237" s="4">
        <f>SUM(T238:T252)</f>
        <v>25120</v>
      </c>
      <c r="V237" s="4">
        <f>SUM(V238:V252)</f>
        <v>0</v>
      </c>
      <c r="X237" s="4">
        <f>SUM(X238:X252)</f>
        <v>3000</v>
      </c>
      <c r="Z237" s="4">
        <f>SUM(Z238:Z252)</f>
        <v>5000</v>
      </c>
      <c r="AB237" s="4">
        <f>SUM(AB238:AB252)</f>
        <v>24000</v>
      </c>
      <c r="AD237" s="4">
        <f>SUM(AD238:AD252)</f>
        <v>54556</v>
      </c>
      <c r="AF237" s="4">
        <f>SUM(AF238:AF252)</f>
        <v>8958</v>
      </c>
      <c r="AH237" s="4">
        <f>SUM(AH238:AH252)</f>
        <v>25856</v>
      </c>
      <c r="AJ237" s="4">
        <f>SUM(AJ238:AJ252)</f>
        <v>51950</v>
      </c>
      <c r="AL237" s="4">
        <f>SUM(AL238:AL252)</f>
        <v>6336</v>
      </c>
      <c r="AN237" s="4">
        <f>SUM(AN238:AN252)</f>
        <v>17608</v>
      </c>
      <c r="AP237" s="4">
        <f>SUM(AP238:AP252)</f>
        <v>17404</v>
      </c>
      <c r="AR237" s="4">
        <f>SUM(AR238:AR252)</f>
        <v>16831</v>
      </c>
      <c r="AT237" s="121">
        <f>SUM(AT238:AT252)</f>
        <v>12635</v>
      </c>
      <c r="AV237" s="4">
        <f>SUM(AV238:AV252)</f>
        <v>1512</v>
      </c>
      <c r="AX237" s="4">
        <f>SUM(AX238:AX252)</f>
        <v>4956</v>
      </c>
      <c r="AZ237" s="4">
        <f>SUM(AZ238:AZ252)</f>
        <v>51965</v>
      </c>
      <c r="BB237" s="4">
        <f>SUM(BB238:BB252)</f>
        <v>88585</v>
      </c>
      <c r="BC237" s="18"/>
      <c r="BD237" s="4">
        <f>SUM(BD238:BD252)</f>
        <v>77367</v>
      </c>
      <c r="BF237" s="4">
        <f>SUM(BF238:BF252)</f>
        <v>69374</v>
      </c>
      <c r="BH237" s="4">
        <f>SUM(BH238:BH252)</f>
        <v>72009</v>
      </c>
      <c r="BJ237" s="4">
        <f>SUM(BJ238:BJ252)</f>
        <v>38456</v>
      </c>
      <c r="BL237" s="4">
        <f>SUM(BL238:BL252)</f>
        <v>48022</v>
      </c>
      <c r="BN237" s="4">
        <f>SUM(BN238:BN252)</f>
        <v>28606</v>
      </c>
      <c r="BP237" s="4">
        <f>SUM(BP238:BP252)</f>
        <v>8431</v>
      </c>
      <c r="BR237" s="4">
        <f>SUM(BR238:BR252)</f>
        <v>8431</v>
      </c>
    </row>
    <row r="238" spans="6:71" s="1" customFormat="1" outlineLevel="1" x14ac:dyDescent="0.25">
      <c r="F238" s="4"/>
      <c r="G238" s="4" t="s">
        <v>742</v>
      </c>
      <c r="N238" s="23"/>
      <c r="R238" s="4"/>
      <c r="S238" s="16"/>
      <c r="T238" s="35"/>
      <c r="U238" s="18"/>
      <c r="V238" s="35"/>
      <c r="W238" s="18"/>
      <c r="X238" s="35"/>
      <c r="Y238" s="18"/>
      <c r="Z238" s="35"/>
      <c r="AA238" s="18"/>
      <c r="AB238" s="35">
        <v>0</v>
      </c>
      <c r="AC238" s="18"/>
      <c r="AD238" s="35">
        <v>0</v>
      </c>
      <c r="AE238" s="18"/>
      <c r="AF238" s="35">
        <v>0</v>
      </c>
      <c r="AG238" s="18"/>
      <c r="AH238" s="35">
        <v>0</v>
      </c>
      <c r="AI238" s="18"/>
      <c r="AJ238" s="35">
        <v>0</v>
      </c>
      <c r="AK238" s="61"/>
      <c r="AL238" s="35">
        <v>0</v>
      </c>
      <c r="AM238" s="61"/>
      <c r="AN238" s="35">
        <v>0</v>
      </c>
      <c r="AO238" s="61"/>
      <c r="AP238" s="35">
        <v>0</v>
      </c>
      <c r="AQ238" s="18"/>
      <c r="AR238" s="35">
        <v>0</v>
      </c>
      <c r="AS238" s="18"/>
      <c r="AT238" s="137">
        <v>0</v>
      </c>
      <c r="AU238" s="18"/>
      <c r="AV238" s="35">
        <v>0</v>
      </c>
      <c r="AW238" s="18"/>
      <c r="AX238" s="35">
        <v>0</v>
      </c>
      <c r="AY238" s="18"/>
      <c r="AZ238" s="35">
        <v>0</v>
      </c>
      <c r="BA238" s="18"/>
      <c r="BB238" s="35">
        <v>0</v>
      </c>
      <c r="BD238" s="35">
        <v>0</v>
      </c>
      <c r="BE238" s="18"/>
      <c r="BF238" s="35">
        <v>0</v>
      </c>
      <c r="BG238" s="18"/>
      <c r="BH238" s="35">
        <f>23*160</f>
        <v>3680</v>
      </c>
      <c r="BI238" s="18"/>
      <c r="BJ238" s="35">
        <f>23*160</f>
        <v>3680</v>
      </c>
      <c r="BK238" s="18"/>
      <c r="BL238" s="35">
        <f>23*160</f>
        <v>3680</v>
      </c>
      <c r="BM238" s="18"/>
      <c r="BN238" s="35">
        <f>23*160</f>
        <v>3680</v>
      </c>
      <c r="BO238" s="18"/>
      <c r="BP238" s="35">
        <f>23*160</f>
        <v>3680</v>
      </c>
      <c r="BQ238" s="18"/>
      <c r="BR238" s="35">
        <f>23*160</f>
        <v>3680</v>
      </c>
      <c r="BS238" s="18"/>
    </row>
    <row r="239" spans="6:71" s="1" customFormat="1" outlineLevel="1" x14ac:dyDescent="0.25">
      <c r="F239" s="4"/>
      <c r="G239" s="4" t="s">
        <v>741</v>
      </c>
      <c r="N239" s="23"/>
      <c r="R239" s="4"/>
      <c r="S239" s="16"/>
      <c r="T239" s="35"/>
      <c r="U239" s="18"/>
      <c r="V239" s="35"/>
      <c r="W239" s="18"/>
      <c r="X239" s="35"/>
      <c r="Y239" s="18"/>
      <c r="Z239" s="35"/>
      <c r="AA239" s="18"/>
      <c r="AB239" s="35">
        <v>0</v>
      </c>
      <c r="AC239" s="18"/>
      <c r="AD239" s="35">
        <v>0</v>
      </c>
      <c r="AE239" s="18"/>
      <c r="AF239" s="35">
        <v>0</v>
      </c>
      <c r="AG239" s="18"/>
      <c r="AH239" s="35">
        <v>0</v>
      </c>
      <c r="AI239" s="18"/>
      <c r="AJ239" s="35">
        <v>0</v>
      </c>
      <c r="AK239" s="61"/>
      <c r="AL239" s="35">
        <v>0</v>
      </c>
      <c r="AM239" s="61"/>
      <c r="AN239" s="35">
        <v>0</v>
      </c>
      <c r="AO239" s="61"/>
      <c r="AP239" s="35">
        <v>0</v>
      </c>
      <c r="AQ239" s="18"/>
      <c r="AR239" s="35">
        <v>0</v>
      </c>
      <c r="AS239" s="18"/>
      <c r="AT239" s="137">
        <v>0</v>
      </c>
      <c r="AU239" s="18"/>
      <c r="AV239" s="35">
        <v>0</v>
      </c>
      <c r="AW239" s="18"/>
      <c r="AX239" s="35">
        <v>0</v>
      </c>
      <c r="AY239" s="18"/>
      <c r="AZ239" s="35">
        <v>0</v>
      </c>
      <c r="BA239" s="18"/>
      <c r="BB239" s="35">
        <v>0</v>
      </c>
      <c r="BD239" s="35">
        <v>0</v>
      </c>
      <c r="BE239" s="18"/>
      <c r="BF239" s="35">
        <v>0</v>
      </c>
      <c r="BG239" s="18"/>
      <c r="BH239" s="35">
        <f>23*160</f>
        <v>3680</v>
      </c>
      <c r="BI239" s="18"/>
      <c r="BJ239" s="35">
        <f>23*160</f>
        <v>3680</v>
      </c>
      <c r="BK239" s="18"/>
      <c r="BL239" s="35">
        <f>23*160</f>
        <v>3680</v>
      </c>
      <c r="BM239" s="18"/>
      <c r="BN239" s="35">
        <f>23*160</f>
        <v>3680</v>
      </c>
      <c r="BO239" s="18"/>
      <c r="BP239" s="35">
        <f>23*160</f>
        <v>3680</v>
      </c>
      <c r="BQ239" s="18"/>
      <c r="BR239" s="35">
        <f>23*160</f>
        <v>3680</v>
      </c>
      <c r="BS239" s="18"/>
    </row>
    <row r="240" spans="6:71" s="1" customFormat="1" outlineLevel="1" x14ac:dyDescent="0.25">
      <c r="F240" s="4"/>
      <c r="G240" s="4" t="s">
        <v>508</v>
      </c>
      <c r="N240" s="23"/>
      <c r="R240" s="4"/>
      <c r="S240" s="16" t="s">
        <v>505</v>
      </c>
      <c r="T240" s="35">
        <v>0</v>
      </c>
      <c r="U240" s="18"/>
      <c r="V240" s="35">
        <v>0</v>
      </c>
      <c r="W240" s="18"/>
      <c r="X240" s="35">
        <v>0</v>
      </c>
      <c r="Y240" s="18"/>
      <c r="Z240" s="35">
        <v>0</v>
      </c>
      <c r="AA240" s="18"/>
      <c r="AB240" s="35">
        <v>0</v>
      </c>
      <c r="AC240" s="18"/>
      <c r="AD240" s="35">
        <v>0</v>
      </c>
      <c r="AE240" s="18"/>
      <c r="AF240" s="35">
        <v>0</v>
      </c>
      <c r="AG240" s="18" t="s">
        <v>34</v>
      </c>
      <c r="AH240" s="35">
        <v>3750</v>
      </c>
      <c r="AI240" s="18"/>
      <c r="AJ240" s="35">
        <v>0</v>
      </c>
      <c r="AK240" s="18" t="s">
        <v>40</v>
      </c>
      <c r="AL240" s="45">
        <v>3496</v>
      </c>
      <c r="AM240" s="18" t="s">
        <v>40</v>
      </c>
      <c r="AN240" s="45">
        <v>5888</v>
      </c>
      <c r="AO240" s="18" t="s">
        <v>40</v>
      </c>
      <c r="AP240" s="45">
        <v>4416</v>
      </c>
      <c r="AQ240" s="18"/>
      <c r="AR240" s="35">
        <v>0</v>
      </c>
      <c r="AS240" s="18" t="s">
        <v>37</v>
      </c>
      <c r="AT240" s="141">
        <v>1500</v>
      </c>
      <c r="AU240" s="18" t="s">
        <v>37</v>
      </c>
      <c r="AV240" s="35">
        <v>1512</v>
      </c>
      <c r="AW240" s="18" t="s">
        <v>37</v>
      </c>
      <c r="AX240" s="35">
        <v>1656</v>
      </c>
      <c r="AY240" s="18" t="s">
        <v>37</v>
      </c>
      <c r="AZ240" s="45">
        <v>765</v>
      </c>
      <c r="BA240" s="18" t="s">
        <v>37</v>
      </c>
      <c r="BB240" s="45">
        <v>1071</v>
      </c>
      <c r="BC240" s="18" t="s">
        <v>37</v>
      </c>
      <c r="BD240" s="45">
        <v>2493</v>
      </c>
      <c r="BE240" s="18" t="s">
        <v>37</v>
      </c>
      <c r="BF240" s="45">
        <v>3114</v>
      </c>
      <c r="BG240" s="18" t="s">
        <v>37</v>
      </c>
      <c r="BH240" s="45">
        <v>3114</v>
      </c>
      <c r="BI240" s="18" t="s">
        <v>37</v>
      </c>
      <c r="BJ240" s="35">
        <v>1071</v>
      </c>
      <c r="BK240" s="18" t="s">
        <v>37</v>
      </c>
      <c r="BL240" s="35">
        <v>1071</v>
      </c>
      <c r="BM240" s="18" t="s">
        <v>37</v>
      </c>
      <c r="BN240" s="35">
        <v>1071</v>
      </c>
      <c r="BO240" s="18" t="s">
        <v>37</v>
      </c>
      <c r="BP240" s="35">
        <v>1071</v>
      </c>
      <c r="BQ240" s="18" t="s">
        <v>37</v>
      </c>
      <c r="BR240" s="35">
        <v>1071</v>
      </c>
      <c r="BS240" s="18"/>
    </row>
    <row r="241" spans="6:71" s="1" customFormat="1" outlineLevel="1" x14ac:dyDescent="0.25">
      <c r="F241" s="4"/>
      <c r="G241" s="4" t="s">
        <v>508</v>
      </c>
      <c r="N241" s="23"/>
      <c r="R241" s="4"/>
      <c r="S241" s="16" t="s">
        <v>509</v>
      </c>
      <c r="T241" s="35">
        <v>10000</v>
      </c>
      <c r="U241" s="18"/>
      <c r="V241" s="35">
        <v>0</v>
      </c>
      <c r="W241" s="16" t="s">
        <v>505</v>
      </c>
      <c r="X241" s="35">
        <v>3000</v>
      </c>
      <c r="Y241" s="16" t="s">
        <v>33</v>
      </c>
      <c r="Z241" s="39">
        <v>5000</v>
      </c>
      <c r="AA241" s="18"/>
      <c r="AB241" s="35">
        <v>0</v>
      </c>
      <c r="AC241" s="18" t="s">
        <v>34</v>
      </c>
      <c r="AD241" s="45">
        <v>3750</v>
      </c>
      <c r="AE241" s="18" t="s">
        <v>34</v>
      </c>
      <c r="AF241" s="35">
        <v>3750</v>
      </c>
      <c r="AG241" s="18" t="s">
        <v>40</v>
      </c>
      <c r="AH241" s="35">
        <v>3496</v>
      </c>
      <c r="AI241" s="18"/>
      <c r="AJ241" s="35">
        <v>0</v>
      </c>
      <c r="AK241" s="18"/>
      <c r="AL241" s="35">
        <v>0</v>
      </c>
      <c r="AM241" s="18" t="s">
        <v>37</v>
      </c>
      <c r="AN241" s="45">
        <v>360</v>
      </c>
      <c r="AO241" s="18" t="s">
        <v>37</v>
      </c>
      <c r="AP241" s="35">
        <v>400</v>
      </c>
      <c r="AQ241" s="18" t="s">
        <v>37</v>
      </c>
      <c r="AR241" s="47">
        <v>2082</v>
      </c>
      <c r="AS241" s="18"/>
      <c r="AT241" s="137">
        <v>0</v>
      </c>
      <c r="AU241" s="18"/>
      <c r="AV241" s="35">
        <v>0</v>
      </c>
      <c r="AW241" s="18" t="s">
        <v>510</v>
      </c>
      <c r="AX241" s="45">
        <f>1100*3</f>
        <v>3300</v>
      </c>
      <c r="AY241" s="18" t="s">
        <v>510</v>
      </c>
      <c r="AZ241" s="45">
        <f>1100*3*4</f>
        <v>13200</v>
      </c>
      <c r="BA241" s="18" t="s">
        <v>510</v>
      </c>
      <c r="BB241" s="45">
        <f>1100*11-BB243</f>
        <v>8800</v>
      </c>
      <c r="BC241" s="18" t="s">
        <v>510</v>
      </c>
      <c r="BD241" s="45">
        <f>14330-BD249</f>
        <v>12680</v>
      </c>
      <c r="BE241" s="18" t="s">
        <v>510</v>
      </c>
      <c r="BF241" s="104">
        <f>1100*7</f>
        <v>7700</v>
      </c>
      <c r="BG241" s="18" t="s">
        <v>510</v>
      </c>
      <c r="BH241" s="35">
        <f>1100*3*4</f>
        <v>13200</v>
      </c>
      <c r="BI241" s="18" t="s">
        <v>689</v>
      </c>
      <c r="BJ241" s="35">
        <f>17500/2</f>
        <v>8750</v>
      </c>
      <c r="BK241" s="18" t="s">
        <v>689</v>
      </c>
      <c r="BL241" s="35">
        <f>17500/2</f>
        <v>8750</v>
      </c>
      <c r="BM241" s="18"/>
      <c r="BN241" s="35">
        <v>0</v>
      </c>
      <c r="BO241" s="18"/>
      <c r="BP241" s="35">
        <v>0</v>
      </c>
      <c r="BQ241" s="18"/>
      <c r="BR241" s="35">
        <v>0</v>
      </c>
      <c r="BS241" s="18"/>
    </row>
    <row r="242" spans="6:71" s="1" customFormat="1" outlineLevel="1" x14ac:dyDescent="0.25">
      <c r="F242" s="4"/>
      <c r="G242" s="4" t="s">
        <v>508</v>
      </c>
      <c r="N242" s="23"/>
      <c r="R242" s="4"/>
      <c r="S242" s="16" t="s">
        <v>40</v>
      </c>
      <c r="T242" s="35">
        <v>7500</v>
      </c>
      <c r="U242" s="18"/>
      <c r="V242" s="35">
        <v>0</v>
      </c>
      <c r="W242" s="18"/>
      <c r="X242" s="35">
        <v>0</v>
      </c>
      <c r="Y242" s="16"/>
      <c r="Z242" s="35">
        <v>0</v>
      </c>
      <c r="AA242" s="18"/>
      <c r="AB242" s="35">
        <v>0</v>
      </c>
      <c r="AC242" s="18" t="s">
        <v>40</v>
      </c>
      <c r="AD242" s="45">
        <f>5208*0.75</f>
        <v>3906</v>
      </c>
      <c r="AE242" s="18" t="s">
        <v>40</v>
      </c>
      <c r="AF242" s="35">
        <v>5208</v>
      </c>
      <c r="AH242" s="35">
        <v>0</v>
      </c>
      <c r="AI242" s="18"/>
      <c r="AJ242" s="35">
        <v>0</v>
      </c>
      <c r="AK242" s="18"/>
      <c r="AL242" s="35">
        <v>0</v>
      </c>
      <c r="AM242" s="18"/>
      <c r="AN242" s="45">
        <v>0</v>
      </c>
      <c r="AO242" s="18" t="s">
        <v>43</v>
      </c>
      <c r="AP242" s="35">
        <v>8588</v>
      </c>
      <c r="AQ242" s="18" t="s">
        <v>43</v>
      </c>
      <c r="AR242" s="47">
        <v>9499</v>
      </c>
      <c r="AS242" s="18" t="s">
        <v>511</v>
      </c>
      <c r="AT242" s="136">
        <f>4080+3825</f>
        <v>7905</v>
      </c>
      <c r="AU242" s="18"/>
      <c r="AV242" s="35">
        <v>0</v>
      </c>
      <c r="AW242" s="18"/>
      <c r="AX242" s="35">
        <v>0</v>
      </c>
      <c r="AY242" s="18" t="s">
        <v>512</v>
      </c>
      <c r="AZ242" s="45">
        <v>11500</v>
      </c>
      <c r="BA242" s="18" t="s">
        <v>512</v>
      </c>
      <c r="BB242" s="45">
        <v>11500</v>
      </c>
      <c r="BC242" s="18" t="s">
        <v>512</v>
      </c>
      <c r="BD242" s="45">
        <v>11500</v>
      </c>
      <c r="BE242" s="18" t="s">
        <v>512</v>
      </c>
      <c r="BF242" s="45">
        <v>11500</v>
      </c>
      <c r="BG242" s="18" t="s">
        <v>512</v>
      </c>
      <c r="BH242" s="35">
        <v>11500</v>
      </c>
      <c r="BI242" s="18" t="s">
        <v>691</v>
      </c>
      <c r="BJ242" s="35">
        <f>1100*20.5/2</f>
        <v>11275</v>
      </c>
      <c r="BK242" s="18" t="s">
        <v>691</v>
      </c>
      <c r="BL242" s="35">
        <f>1100*20.5/2</f>
        <v>11275</v>
      </c>
      <c r="BM242" s="18" t="s">
        <v>691</v>
      </c>
      <c r="BN242" s="35">
        <f>20350/2</f>
        <v>10175</v>
      </c>
      <c r="BO242" s="18"/>
      <c r="BP242" s="35">
        <v>0</v>
      </c>
      <c r="BQ242" s="18"/>
      <c r="BR242" s="35">
        <v>0</v>
      </c>
      <c r="BS242" s="18"/>
    </row>
    <row r="243" spans="6:71" s="1" customFormat="1" outlineLevel="1" x14ac:dyDescent="0.25">
      <c r="F243" s="4"/>
      <c r="G243" s="4" t="s">
        <v>508</v>
      </c>
      <c r="N243" s="23"/>
      <c r="R243" s="4"/>
      <c r="S243" s="16" t="s">
        <v>513</v>
      </c>
      <c r="T243" s="35">
        <v>1524</v>
      </c>
      <c r="U243" s="18"/>
      <c r="V243" s="35">
        <v>0</v>
      </c>
      <c r="W243" s="18"/>
      <c r="X243" s="35">
        <v>0</v>
      </c>
      <c r="Y243" s="16"/>
      <c r="Z243" s="35">
        <v>0</v>
      </c>
      <c r="AA243" s="18" t="s">
        <v>50</v>
      </c>
      <c r="AB243" s="39">
        <v>24000</v>
      </c>
      <c r="AC243" s="18" t="s">
        <v>50</v>
      </c>
      <c r="AD243" s="45">
        <v>18280</v>
      </c>
      <c r="AE243" s="18"/>
      <c r="AF243" s="35"/>
      <c r="AG243" s="18" t="s">
        <v>514</v>
      </c>
      <c r="AH243" s="35">
        <v>18610</v>
      </c>
      <c r="AI243" s="18" t="s">
        <v>514</v>
      </c>
      <c r="AJ243" s="45">
        <v>51950</v>
      </c>
      <c r="AK243" s="18" t="s">
        <v>514</v>
      </c>
      <c r="AL243" s="45">
        <v>2840</v>
      </c>
      <c r="AM243" s="18" t="s">
        <v>514</v>
      </c>
      <c r="AN243" s="45">
        <v>11360</v>
      </c>
      <c r="AO243" s="18" t="s">
        <v>49</v>
      </c>
      <c r="AP243" s="35">
        <v>4000</v>
      </c>
      <c r="AQ243" s="18" t="s">
        <v>49</v>
      </c>
      <c r="AR243" s="45">
        <v>4000</v>
      </c>
      <c r="AS243" s="18" t="s">
        <v>515</v>
      </c>
      <c r="AT243" s="136">
        <f>2720+510</f>
        <v>3230</v>
      </c>
      <c r="AU243" s="18"/>
      <c r="AV243" s="35">
        <v>0</v>
      </c>
      <c r="AW243" s="18"/>
      <c r="AX243" s="35">
        <v>0</v>
      </c>
      <c r="AY243" s="18" t="s">
        <v>516</v>
      </c>
      <c r="AZ243" s="45">
        <v>3500</v>
      </c>
      <c r="BA243" s="18" t="s">
        <v>517</v>
      </c>
      <c r="BB243" s="45">
        <v>3300</v>
      </c>
      <c r="BC243" s="18" t="s">
        <v>518</v>
      </c>
      <c r="BD243" s="45">
        <f>40000/4</f>
        <v>10000</v>
      </c>
      <c r="BE243" s="18" t="s">
        <v>518</v>
      </c>
      <c r="BF243" s="45">
        <f>40000/4</f>
        <v>10000</v>
      </c>
      <c r="BG243" s="18" t="s">
        <v>518</v>
      </c>
      <c r="BH243" s="39">
        <f>40000/4</f>
        <v>10000</v>
      </c>
      <c r="BI243" s="18" t="s">
        <v>698</v>
      </c>
      <c r="BJ243" s="35">
        <v>10000</v>
      </c>
      <c r="BK243" s="18" t="s">
        <v>698</v>
      </c>
      <c r="BL243" s="35">
        <v>10000</v>
      </c>
      <c r="BM243" s="18" t="s">
        <v>698</v>
      </c>
      <c r="BN243" s="35">
        <v>10000</v>
      </c>
      <c r="BO243" s="18"/>
      <c r="BP243" s="35">
        <v>0</v>
      </c>
      <c r="BQ243" s="18"/>
      <c r="BR243" s="35">
        <v>0</v>
      </c>
      <c r="BS243" s="18"/>
    </row>
    <row r="244" spans="6:71" s="1" customFormat="1" outlineLevel="1" x14ac:dyDescent="0.25">
      <c r="F244" s="4"/>
      <c r="G244" s="4" t="s">
        <v>508</v>
      </c>
      <c r="N244" s="23"/>
      <c r="R244" s="4"/>
      <c r="S244" s="16" t="s">
        <v>513</v>
      </c>
      <c r="T244" s="35">
        <v>1524</v>
      </c>
      <c r="U244" s="18"/>
      <c r="V244" s="35">
        <v>0</v>
      </c>
      <c r="W244" s="18"/>
      <c r="X244" s="35">
        <v>0</v>
      </c>
      <c r="Y244" s="18"/>
      <c r="Z244" s="35">
        <v>0</v>
      </c>
      <c r="AB244" s="35">
        <v>0</v>
      </c>
      <c r="AC244" s="18" t="s">
        <v>519</v>
      </c>
      <c r="AD244" s="45">
        <v>6000</v>
      </c>
      <c r="AE244" s="18"/>
      <c r="AF244" s="35"/>
      <c r="AG244" s="18"/>
      <c r="AH244" s="35">
        <v>0</v>
      </c>
      <c r="AI244" s="18"/>
      <c r="AJ244" s="35">
        <v>0</v>
      </c>
      <c r="AK244" s="18"/>
      <c r="AL244" s="35">
        <v>0</v>
      </c>
      <c r="AM244" s="18"/>
      <c r="AN244" s="35">
        <v>0</v>
      </c>
      <c r="AO244" s="18"/>
      <c r="AP244" s="35">
        <v>0</v>
      </c>
      <c r="AQ244" s="18" t="s">
        <v>520</v>
      </c>
      <c r="AR244" s="45">
        <v>1250</v>
      </c>
      <c r="AS244" s="18"/>
      <c r="AT244" s="137">
        <v>0</v>
      </c>
      <c r="AU244" s="18"/>
      <c r="AV244" s="35">
        <v>0</v>
      </c>
      <c r="AW244" s="18"/>
      <c r="AX244" s="35">
        <v>0</v>
      </c>
      <c r="AY244" s="18" t="s">
        <v>521</v>
      </c>
      <c r="AZ244" s="45">
        <v>5000</v>
      </c>
      <c r="BA244" s="18" t="s">
        <v>521</v>
      </c>
      <c r="BB244" s="45">
        <v>10000</v>
      </c>
      <c r="BC244" s="18" t="s">
        <v>521</v>
      </c>
      <c r="BD244" s="45">
        <v>10000</v>
      </c>
      <c r="BE244" s="18" t="s">
        <v>521</v>
      </c>
      <c r="BF244" s="45">
        <v>5000</v>
      </c>
      <c r="BG244" s="18" t="s">
        <v>522</v>
      </c>
      <c r="BH244" s="45">
        <v>10000</v>
      </c>
      <c r="BI244" s="18"/>
      <c r="BJ244" s="35">
        <v>0</v>
      </c>
      <c r="BK244" s="18" t="s">
        <v>729</v>
      </c>
      <c r="BL244" s="35">
        <f>3*1272</f>
        <v>3816</v>
      </c>
      <c r="BM244" s="18"/>
      <c r="BN244" s="35">
        <v>0</v>
      </c>
      <c r="BO244" s="18"/>
      <c r="BP244" s="35">
        <v>0</v>
      </c>
      <c r="BQ244" s="18"/>
      <c r="BR244" s="35">
        <v>0</v>
      </c>
      <c r="BS244" s="18"/>
    </row>
    <row r="245" spans="6:71" s="1" customFormat="1" outlineLevel="1" x14ac:dyDescent="0.25">
      <c r="F245" s="4"/>
      <c r="G245" s="4" t="s">
        <v>508</v>
      </c>
      <c r="N245" s="23"/>
      <c r="R245" s="4"/>
      <c r="S245" s="16"/>
      <c r="T245" s="35"/>
      <c r="U245" s="18"/>
      <c r="V245" s="35"/>
      <c r="W245" s="18"/>
      <c r="X245" s="35"/>
      <c r="Y245" s="18"/>
      <c r="Z245" s="35">
        <v>0</v>
      </c>
      <c r="AB245" s="35">
        <v>0</v>
      </c>
      <c r="AC245" s="18" t="s">
        <v>523</v>
      </c>
      <c r="AD245" s="60">
        <v>1500</v>
      </c>
      <c r="AE245" s="18"/>
      <c r="AF245" s="35"/>
      <c r="AG245" s="18"/>
      <c r="AH245" s="35">
        <v>0</v>
      </c>
      <c r="AI245" s="18"/>
      <c r="AJ245" s="35">
        <v>0</v>
      </c>
      <c r="AK245" s="18"/>
      <c r="AL245" s="35">
        <v>0</v>
      </c>
      <c r="AM245" s="18"/>
      <c r="AN245" s="35">
        <v>0</v>
      </c>
      <c r="AO245" s="18"/>
      <c r="AP245" s="35">
        <v>0</v>
      </c>
      <c r="AQ245" s="18"/>
      <c r="AR245" s="35">
        <v>0</v>
      </c>
      <c r="AS245" s="18"/>
      <c r="AT245" s="137">
        <v>0</v>
      </c>
      <c r="AU245" s="18"/>
      <c r="AV245" s="35">
        <v>0</v>
      </c>
      <c r="AW245" s="18"/>
      <c r="AX245" s="35">
        <v>0</v>
      </c>
      <c r="AY245" s="18" t="s">
        <v>522</v>
      </c>
      <c r="AZ245" s="45">
        <v>3000</v>
      </c>
      <c r="BA245" s="18" t="s">
        <v>522</v>
      </c>
      <c r="BB245" s="45">
        <f>7000+2720</f>
        <v>9720</v>
      </c>
      <c r="BC245" s="18" t="s">
        <v>522</v>
      </c>
      <c r="BD245" s="45">
        <v>10000</v>
      </c>
      <c r="BE245" s="18" t="s">
        <v>522</v>
      </c>
      <c r="BF245" s="45">
        <v>10000</v>
      </c>
      <c r="BG245" s="18"/>
      <c r="BH245" s="39"/>
      <c r="BI245" s="18"/>
      <c r="BJ245" s="35">
        <v>0</v>
      </c>
      <c r="BK245" s="18" t="s">
        <v>524</v>
      </c>
      <c r="BL245" s="39">
        <f>5*1150</f>
        <v>5750</v>
      </c>
      <c r="BM245" s="18"/>
      <c r="BN245" s="35">
        <v>0</v>
      </c>
      <c r="BO245" s="18"/>
      <c r="BP245" s="35">
        <v>0</v>
      </c>
      <c r="BQ245" s="18"/>
      <c r="BR245" s="35">
        <v>0</v>
      </c>
      <c r="BS245" s="18"/>
    </row>
    <row r="246" spans="6:71" s="1" customFormat="1" outlineLevel="1" x14ac:dyDescent="0.25">
      <c r="F246" s="4"/>
      <c r="G246" s="4" t="s">
        <v>508</v>
      </c>
      <c r="N246" s="23"/>
      <c r="R246" s="4"/>
      <c r="S246" s="16"/>
      <c r="T246" s="35"/>
      <c r="U246" s="18"/>
      <c r="V246" s="35"/>
      <c r="W246" s="18"/>
      <c r="X246" s="35"/>
      <c r="Y246" s="18"/>
      <c r="Z246" s="35">
        <v>0</v>
      </c>
      <c r="AB246" s="35">
        <v>0</v>
      </c>
      <c r="AC246" s="18"/>
      <c r="AD246" s="35">
        <v>0</v>
      </c>
      <c r="AE246" s="18"/>
      <c r="AF246" s="35"/>
      <c r="AG246" s="18"/>
      <c r="AH246" s="35">
        <v>0</v>
      </c>
      <c r="AI246" s="18"/>
      <c r="AJ246" s="35">
        <v>0</v>
      </c>
      <c r="AK246" s="18"/>
      <c r="AL246" s="35">
        <v>0</v>
      </c>
      <c r="AM246" s="18"/>
      <c r="AN246" s="35">
        <v>0</v>
      </c>
      <c r="AO246" s="18"/>
      <c r="AP246" s="35">
        <v>0</v>
      </c>
      <c r="AQ246" s="18"/>
      <c r="AR246" s="35">
        <v>0</v>
      </c>
      <c r="AS246" s="18"/>
      <c r="AT246" s="137">
        <v>0</v>
      </c>
      <c r="AU246" s="18"/>
      <c r="AV246" s="35">
        <v>0</v>
      </c>
      <c r="AW246" s="18"/>
      <c r="AX246" s="35">
        <v>0</v>
      </c>
      <c r="AY246" s="18"/>
      <c r="AZ246" s="35">
        <v>0</v>
      </c>
      <c r="BA246" s="18" t="s">
        <v>525</v>
      </c>
      <c r="BB246" s="45">
        <v>10044</v>
      </c>
      <c r="BC246" s="18" t="s">
        <v>526</v>
      </c>
      <c r="BD246" s="35">
        <v>5000</v>
      </c>
      <c r="BE246" s="18" t="s">
        <v>527</v>
      </c>
      <c r="BF246" s="45">
        <f>5*1150</f>
        <v>5750</v>
      </c>
      <c r="BG246" s="18" t="s">
        <v>528</v>
      </c>
      <c r="BH246" s="91">
        <f>5*1272</f>
        <v>6360</v>
      </c>
      <c r="BI246" s="18"/>
      <c r="BJ246" s="35">
        <v>0</v>
      </c>
      <c r="BK246" s="18"/>
      <c r="BL246" s="35">
        <v>0</v>
      </c>
      <c r="BM246" s="18"/>
      <c r="BN246" s="35">
        <v>0</v>
      </c>
      <c r="BO246" s="18"/>
      <c r="BP246" s="35">
        <v>0</v>
      </c>
      <c r="BQ246" s="18"/>
      <c r="BR246" s="35">
        <v>0</v>
      </c>
      <c r="BS246" s="18"/>
    </row>
    <row r="247" spans="6:71" s="1" customFormat="1" outlineLevel="1" x14ac:dyDescent="0.25">
      <c r="F247" s="4"/>
      <c r="G247" s="4" t="s">
        <v>508</v>
      </c>
      <c r="N247" s="23"/>
      <c r="R247" s="4"/>
      <c r="S247" s="16" t="s">
        <v>513</v>
      </c>
      <c r="T247" s="35">
        <v>1524</v>
      </c>
      <c r="U247" s="18"/>
      <c r="V247" s="35">
        <v>0</v>
      </c>
      <c r="W247" s="18"/>
      <c r="X247" s="35">
        <v>0</v>
      </c>
      <c r="Y247" s="18"/>
      <c r="Z247" s="35">
        <v>0</v>
      </c>
      <c r="AA247" s="18"/>
      <c r="AB247" s="35">
        <v>0</v>
      </c>
      <c r="AC247" s="18" t="s">
        <v>529</v>
      </c>
      <c r="AD247" s="45">
        <f>8*110*8</f>
        <v>7040</v>
      </c>
      <c r="AE247" s="18"/>
      <c r="AF247" s="35"/>
      <c r="AG247" s="18"/>
      <c r="AH247" s="35">
        <v>0</v>
      </c>
      <c r="AI247" s="18"/>
      <c r="AJ247" s="35">
        <v>0</v>
      </c>
      <c r="AK247" s="18"/>
      <c r="AL247" s="35">
        <v>0</v>
      </c>
      <c r="AM247" s="18"/>
      <c r="AN247" s="35">
        <v>0</v>
      </c>
      <c r="AO247" s="18"/>
      <c r="AP247" s="35">
        <v>0</v>
      </c>
      <c r="AQ247" s="18"/>
      <c r="AR247" s="35">
        <v>0</v>
      </c>
      <c r="AS247" s="18"/>
      <c r="AT247" s="137">
        <v>0</v>
      </c>
      <c r="AU247" s="18"/>
      <c r="AV247" s="35">
        <v>0</v>
      </c>
      <c r="AW247" s="18"/>
      <c r="AX247" s="35">
        <v>0</v>
      </c>
      <c r="AY247" s="18"/>
      <c r="AZ247" s="35">
        <v>0</v>
      </c>
      <c r="BA247" s="18" t="s">
        <v>530</v>
      </c>
      <c r="BB247" s="45">
        <v>150</v>
      </c>
      <c r="BC247" s="18" t="s">
        <v>525</v>
      </c>
      <c r="BD247" s="45">
        <v>10044</v>
      </c>
      <c r="BE247" s="18" t="s">
        <v>531</v>
      </c>
      <c r="BF247" s="45">
        <f>5*1150</f>
        <v>5750</v>
      </c>
      <c r="BG247" s="18"/>
      <c r="BH247" s="34"/>
      <c r="BI247" s="18"/>
      <c r="BJ247" s="35">
        <v>0</v>
      </c>
      <c r="BK247" s="18"/>
      <c r="BL247" s="35">
        <v>0</v>
      </c>
      <c r="BM247" s="18"/>
      <c r="BN247" s="35">
        <v>0</v>
      </c>
      <c r="BO247" s="18"/>
      <c r="BP247" s="35">
        <v>0</v>
      </c>
      <c r="BQ247" s="18"/>
      <c r="BR247" s="35">
        <v>0</v>
      </c>
      <c r="BS247" s="18"/>
    </row>
    <row r="248" spans="6:71" s="1" customFormat="1" outlineLevel="1" x14ac:dyDescent="0.25">
      <c r="F248" s="4"/>
      <c r="G248" s="4" t="s">
        <v>508</v>
      </c>
      <c r="N248" s="23"/>
      <c r="R248" s="4"/>
      <c r="S248" s="16" t="s">
        <v>513</v>
      </c>
      <c r="T248" s="35">
        <v>1524</v>
      </c>
      <c r="U248" s="18"/>
      <c r="V248" s="35">
        <v>0</v>
      </c>
      <c r="W248" s="18"/>
      <c r="X248" s="35">
        <v>0</v>
      </c>
      <c r="Y248" s="18"/>
      <c r="Z248" s="35">
        <v>0</v>
      </c>
      <c r="AA248" s="18"/>
      <c r="AB248" s="35">
        <v>0</v>
      </c>
      <c r="AC248" s="18" t="s">
        <v>529</v>
      </c>
      <c r="AD248" s="45">
        <f>8*110*8</f>
        <v>7040</v>
      </c>
      <c r="AE248" s="18"/>
      <c r="AF248" s="35"/>
      <c r="AG248" s="18"/>
      <c r="AH248" s="35">
        <v>0</v>
      </c>
      <c r="AI248" s="18"/>
      <c r="AJ248" s="35">
        <v>0</v>
      </c>
      <c r="AK248" s="18"/>
      <c r="AL248" s="35">
        <v>0</v>
      </c>
      <c r="AM248" s="18"/>
      <c r="AN248" s="35">
        <v>0</v>
      </c>
      <c r="AO248" s="18"/>
      <c r="AP248" s="35">
        <v>0</v>
      </c>
      <c r="AQ248" s="18"/>
      <c r="AR248" s="35">
        <v>0</v>
      </c>
      <c r="AS248" s="18"/>
      <c r="AT248" s="137">
        <v>0</v>
      </c>
      <c r="AU248" s="18"/>
      <c r="AV248" s="35">
        <v>0</v>
      </c>
      <c r="AW248" s="18"/>
      <c r="AX248" s="35">
        <v>0</v>
      </c>
      <c r="AY248" s="18" t="s">
        <v>532</v>
      </c>
      <c r="AZ248" s="45">
        <v>15000</v>
      </c>
      <c r="BA248" s="18" t="s">
        <v>532</v>
      </c>
      <c r="BB248" s="45">
        <v>15000</v>
      </c>
      <c r="BC248" s="18" t="s">
        <v>533</v>
      </c>
      <c r="BD248" s="45">
        <v>4000</v>
      </c>
      <c r="BE248" s="18" t="s">
        <v>534</v>
      </c>
      <c r="BF248" s="45">
        <f>5*1272</f>
        <v>6360</v>
      </c>
      <c r="BG248" s="18" t="s">
        <v>535</v>
      </c>
      <c r="BH248" s="35">
        <f>1150*2</f>
        <v>2300</v>
      </c>
      <c r="BI248" s="18"/>
      <c r="BJ248" s="35">
        <v>0</v>
      </c>
      <c r="BK248" s="18"/>
      <c r="BL248" s="35">
        <v>0</v>
      </c>
      <c r="BM248" s="18"/>
      <c r="BN248" s="35">
        <v>0</v>
      </c>
      <c r="BO248" s="18"/>
      <c r="BP248" s="35">
        <v>0</v>
      </c>
      <c r="BQ248" s="18"/>
      <c r="BR248" s="35">
        <v>0</v>
      </c>
      <c r="BS248" s="18"/>
    </row>
    <row r="249" spans="6:71" s="1" customFormat="1" outlineLevel="1" x14ac:dyDescent="0.25">
      <c r="F249" s="4"/>
      <c r="G249" s="4" t="s">
        <v>508</v>
      </c>
      <c r="N249" s="23"/>
      <c r="R249" s="4"/>
      <c r="S249" s="16" t="s">
        <v>513</v>
      </c>
      <c r="T249" s="35">
        <v>1524</v>
      </c>
      <c r="U249" s="18"/>
      <c r="V249" s="35">
        <v>0</v>
      </c>
      <c r="W249" s="18"/>
      <c r="X249" s="35">
        <v>0</v>
      </c>
      <c r="Y249" s="18"/>
      <c r="Z249" s="35">
        <v>0</v>
      </c>
      <c r="AA249" s="18"/>
      <c r="AB249" s="35">
        <v>0</v>
      </c>
      <c r="AC249" s="18" t="s">
        <v>529</v>
      </c>
      <c r="AD249" s="45">
        <f>8*110*8</f>
        <v>7040</v>
      </c>
      <c r="AE249" s="18"/>
      <c r="AF249" s="35"/>
      <c r="AG249" s="18"/>
      <c r="AH249" s="35">
        <v>0</v>
      </c>
      <c r="AI249" s="18"/>
      <c r="AJ249" s="35">
        <v>0</v>
      </c>
      <c r="AK249" s="18"/>
      <c r="AL249" s="35">
        <v>0</v>
      </c>
      <c r="AM249" s="18"/>
      <c r="AN249" s="35">
        <v>0</v>
      </c>
      <c r="AO249" s="18"/>
      <c r="AP249" s="35">
        <v>0</v>
      </c>
      <c r="AQ249" s="18"/>
      <c r="AR249" s="35">
        <v>0</v>
      </c>
      <c r="AS249" s="18"/>
      <c r="AT249" s="137">
        <v>0</v>
      </c>
      <c r="AU249" s="18"/>
      <c r="AV249" s="35">
        <v>0</v>
      </c>
      <c r="AW249" s="18"/>
      <c r="AX249" s="35">
        <v>0</v>
      </c>
      <c r="AY249" s="18"/>
      <c r="AZ249" s="35">
        <v>0</v>
      </c>
      <c r="BA249" s="18" t="s">
        <v>539</v>
      </c>
      <c r="BB249" s="45">
        <f>5*1500</f>
        <v>7500</v>
      </c>
      <c r="BC249" s="18" t="s">
        <v>517</v>
      </c>
      <c r="BD249" s="45">
        <f>3300/2</f>
        <v>1650</v>
      </c>
      <c r="BE249" s="18" t="s">
        <v>536</v>
      </c>
      <c r="BF249" s="46">
        <v>2000</v>
      </c>
      <c r="BG249" s="18" t="s">
        <v>537</v>
      </c>
      <c r="BH249" s="91">
        <v>3000</v>
      </c>
      <c r="BI249" s="18"/>
      <c r="BJ249" s="35">
        <v>0</v>
      </c>
      <c r="BK249" s="18"/>
      <c r="BL249" s="35">
        <v>0</v>
      </c>
      <c r="BM249" s="18"/>
      <c r="BN249" s="35">
        <v>0</v>
      </c>
      <c r="BO249" s="18"/>
      <c r="BP249" s="35">
        <v>0</v>
      </c>
      <c r="BQ249" s="18"/>
      <c r="BR249" s="35">
        <v>0</v>
      </c>
      <c r="BS249" s="18"/>
    </row>
    <row r="250" spans="6:71" s="1" customFormat="1" outlineLevel="1" x14ac:dyDescent="0.25">
      <c r="F250" s="4"/>
      <c r="G250" s="4" t="s">
        <v>538</v>
      </c>
      <c r="N250" s="23"/>
      <c r="R250" s="4"/>
      <c r="S250" s="16"/>
      <c r="T250" s="35"/>
      <c r="U250" s="18"/>
      <c r="V250" s="35"/>
      <c r="W250" s="18"/>
      <c r="X250" s="35"/>
      <c r="Y250" s="18"/>
      <c r="Z250" s="35"/>
      <c r="AA250" s="18"/>
      <c r="AB250" s="35"/>
      <c r="AC250" s="18"/>
      <c r="AD250" s="45"/>
      <c r="AE250" s="18"/>
      <c r="AF250" s="35"/>
      <c r="AG250" s="18"/>
      <c r="AH250" s="35"/>
      <c r="AI250" s="18"/>
      <c r="AJ250" s="35"/>
      <c r="AK250" s="18"/>
      <c r="AL250" s="35"/>
      <c r="AM250" s="18"/>
      <c r="AN250" s="35"/>
      <c r="AO250" s="18"/>
      <c r="AP250" s="35"/>
      <c r="AQ250" s="18"/>
      <c r="AR250" s="35"/>
      <c r="AS250" s="18"/>
      <c r="AT250" s="137"/>
      <c r="AU250" s="18"/>
      <c r="AV250" s="35"/>
      <c r="AW250" s="18"/>
      <c r="AX250" s="35"/>
      <c r="AY250" s="18"/>
      <c r="AZ250" s="35"/>
      <c r="BA250" s="18" t="s">
        <v>687</v>
      </c>
      <c r="BB250" s="45">
        <v>1500</v>
      </c>
      <c r="BC250" s="18"/>
      <c r="BD250" s="35"/>
      <c r="BE250" s="18" t="s">
        <v>517</v>
      </c>
      <c r="BF250" s="104">
        <f>1100*2</f>
        <v>2200</v>
      </c>
      <c r="BG250" s="18" t="s">
        <v>540</v>
      </c>
      <c r="BH250" s="91">
        <f>4*1150</f>
        <v>4600</v>
      </c>
      <c r="BI250" s="18"/>
      <c r="BJ250" s="35"/>
      <c r="BK250" s="18"/>
      <c r="BL250" s="35"/>
      <c r="BM250" s="18"/>
      <c r="BN250" s="35"/>
      <c r="BO250" s="18"/>
      <c r="BP250" s="35"/>
      <c r="BQ250" s="18"/>
      <c r="BR250" s="35"/>
      <c r="BS250" s="18"/>
    </row>
    <row r="251" spans="6:71" s="1" customFormat="1" outlineLevel="1" x14ac:dyDescent="0.25">
      <c r="F251" s="4"/>
      <c r="G251" s="4" t="s">
        <v>538</v>
      </c>
      <c r="N251" s="23"/>
      <c r="R251" s="4"/>
      <c r="S251" s="16"/>
      <c r="T251" s="35"/>
      <c r="U251" s="18"/>
      <c r="V251" s="35"/>
      <c r="W251" s="18"/>
      <c r="X251" s="35"/>
      <c r="Y251" s="18"/>
      <c r="Z251" s="35"/>
      <c r="AA251" s="18"/>
      <c r="AB251" s="35"/>
      <c r="AC251" s="18"/>
      <c r="AD251" s="45"/>
      <c r="AE251" s="18"/>
      <c r="AF251" s="35"/>
      <c r="AG251" s="18"/>
      <c r="AH251" s="35"/>
      <c r="AI251" s="18"/>
      <c r="AJ251" s="35"/>
      <c r="AK251" s="18"/>
      <c r="AL251" s="35"/>
      <c r="AM251" s="18"/>
      <c r="AN251" s="35"/>
      <c r="AO251" s="18"/>
      <c r="AP251" s="35"/>
      <c r="AQ251" s="18"/>
      <c r="AR251" s="35"/>
      <c r="AS251" s="18"/>
      <c r="AT251" s="137"/>
      <c r="AU251" s="18"/>
      <c r="AV251" s="35"/>
      <c r="AW251" s="18"/>
      <c r="AX251" s="35">
        <v>0</v>
      </c>
      <c r="AZ251" s="35">
        <v>0</v>
      </c>
      <c r="BA251" s="18" t="s">
        <v>518</v>
      </c>
      <c r="BB251" s="45">
        <f>40000/4</f>
        <v>10000</v>
      </c>
      <c r="BC251" s="18"/>
      <c r="BD251" s="35"/>
      <c r="BE251" s="18"/>
      <c r="BF251" s="35"/>
      <c r="BG251" s="18" t="s">
        <v>694</v>
      </c>
      <c r="BH251" s="45">
        <v>575</v>
      </c>
      <c r="BI251" s="18"/>
      <c r="BJ251" s="35"/>
      <c r="BK251" s="18"/>
      <c r="BL251" s="35"/>
      <c r="BM251" s="18"/>
      <c r="BN251" s="35"/>
      <c r="BO251" s="18"/>
      <c r="BP251" s="35"/>
      <c r="BQ251" s="18"/>
      <c r="BR251" s="35"/>
      <c r="BS251" s="18"/>
    </row>
    <row r="252" spans="6:71" s="1" customFormat="1" outlineLevel="1" x14ac:dyDescent="0.25">
      <c r="F252" s="4"/>
      <c r="G252" s="4"/>
      <c r="N252" s="23"/>
      <c r="R252" s="4"/>
      <c r="S252" s="16"/>
      <c r="T252" s="35"/>
      <c r="U252" s="18"/>
      <c r="V252" s="35"/>
      <c r="W252" s="18"/>
      <c r="X252" s="35"/>
      <c r="Y252" s="18"/>
      <c r="Z252" s="35"/>
      <c r="AA252" s="18"/>
      <c r="AB252" s="35"/>
      <c r="AC252" s="18"/>
      <c r="AD252" s="45"/>
      <c r="AE252" s="18"/>
      <c r="AF252" s="35"/>
      <c r="AG252" s="18"/>
      <c r="AH252" s="35"/>
      <c r="AI252" s="18"/>
      <c r="AJ252" s="35"/>
      <c r="AK252" s="18"/>
      <c r="AL252" s="35"/>
      <c r="AM252" s="18"/>
      <c r="AN252" s="35"/>
      <c r="AO252" s="18"/>
      <c r="AP252" s="35"/>
      <c r="AQ252" s="18"/>
      <c r="AR252" s="35"/>
      <c r="AS252" s="18"/>
      <c r="AT252" s="137"/>
      <c r="AU252" s="18"/>
      <c r="AV252" s="35"/>
      <c r="AW252" s="18"/>
      <c r="AX252" s="35"/>
      <c r="AY252" s="18"/>
      <c r="AZ252" s="35"/>
      <c r="BA252" s="18"/>
      <c r="BB252" s="35"/>
      <c r="BD252" s="35"/>
      <c r="BE252" s="14"/>
      <c r="BF252" s="35"/>
      <c r="BG252" s="18"/>
      <c r="BH252" s="35"/>
      <c r="BI252" s="18"/>
      <c r="BJ252" s="35"/>
      <c r="BK252" s="18"/>
      <c r="BL252" s="35"/>
      <c r="BM252" s="18"/>
      <c r="BN252" s="35"/>
      <c r="BO252" s="18"/>
      <c r="BP252" s="35"/>
      <c r="BQ252" s="18"/>
      <c r="BR252" s="35"/>
      <c r="BS252" s="18"/>
    </row>
    <row r="253" spans="6:71" s="1" customFormat="1" x14ac:dyDescent="0.25">
      <c r="F253" s="4" t="s">
        <v>541</v>
      </c>
      <c r="G253" s="4"/>
      <c r="N253" s="23"/>
      <c r="S253" s="18"/>
      <c r="T253" s="1">
        <f>SUM(T254:T256)+T261</f>
        <v>0</v>
      </c>
      <c r="U253" s="18"/>
      <c r="V253" s="1">
        <f>SUM(V254:V256)+V261</f>
        <v>468</v>
      </c>
      <c r="W253" s="18"/>
      <c r="X253" s="1">
        <f>SUM(X254:X256)+X261</f>
        <v>468</v>
      </c>
      <c r="Y253" s="18"/>
      <c r="Z253" s="1">
        <f>SUM(Z254:Z256)+Z261</f>
        <v>260</v>
      </c>
      <c r="AA253" s="18"/>
      <c r="AB253" s="1">
        <f>SUM(AB254:AB256)+AB261</f>
        <v>0</v>
      </c>
      <c r="AC253" s="18"/>
      <c r="AD253" s="1">
        <f>SUM(AD254:AD256)+AD261</f>
        <v>0</v>
      </c>
      <c r="AE253" s="18"/>
      <c r="AF253" s="1">
        <f>SUM(AF254:AF256)+AF261</f>
        <v>500</v>
      </c>
      <c r="AG253" s="18"/>
      <c r="AH253" s="1">
        <f>SUM(AH254:AH256)+AH261</f>
        <v>1400</v>
      </c>
      <c r="AI253" s="18"/>
      <c r="AJ253" s="1">
        <f>SUM(AJ254:AJ256)+AJ261</f>
        <v>0</v>
      </c>
      <c r="AK253" s="18"/>
      <c r="AL253" s="1">
        <f>SUM(AL254:AL256)+AL261</f>
        <v>0</v>
      </c>
      <c r="AM253" s="18"/>
      <c r="AN253" s="1">
        <f>SUM(AN254:AN256)+AN261</f>
        <v>0</v>
      </c>
      <c r="AO253" s="18"/>
      <c r="AP253" s="1">
        <f>SUM(AP254:AP256)+AP261</f>
        <v>0</v>
      </c>
      <c r="AQ253" s="18"/>
      <c r="AR253" s="1">
        <f>SUM(AR254:AR256)+AR261</f>
        <v>2700</v>
      </c>
      <c r="AS253" s="18"/>
      <c r="AT253" s="129">
        <f>SUM(AT254:AT256)+AT261</f>
        <v>10151</v>
      </c>
      <c r="AU253" s="18"/>
      <c r="AV253" s="1">
        <f>SUM(AV254:AV256)+AV261</f>
        <v>8735.7699999999986</v>
      </c>
      <c r="AW253" s="18"/>
      <c r="AX253" s="1">
        <f>SUM(AX254:AX256)+AX261</f>
        <v>7093.53</v>
      </c>
      <c r="AY253" s="18"/>
      <c r="AZ253" s="1">
        <f>SUM(AZ254:AZ256)+AZ261</f>
        <v>1533.61</v>
      </c>
      <c r="BA253" s="18"/>
      <c r="BB253" s="1">
        <f>SUM(BB254:BB256)+BB261</f>
        <v>5088.8899999999994</v>
      </c>
      <c r="BC253" s="18"/>
      <c r="BD253" s="1">
        <f>SUM(BD254:BD256)+BD261</f>
        <v>0</v>
      </c>
      <c r="BE253" s="18"/>
      <c r="BF253" s="1">
        <f>SUM(BF254:BF256)+BF261</f>
        <v>0</v>
      </c>
      <c r="BG253" s="18"/>
      <c r="BH253" s="1">
        <f>SUM(BH254:BH256)+BH261</f>
        <v>3568</v>
      </c>
      <c r="BI253" s="18"/>
      <c r="BJ253" s="1">
        <f>SUM(BJ254:BJ256)+BJ261</f>
        <v>0</v>
      </c>
      <c r="BK253" s="18"/>
      <c r="BL253" s="1">
        <f>SUM(BL254:BL256)+BL261</f>
        <v>0</v>
      </c>
      <c r="BM253" s="18"/>
      <c r="BN253" s="1">
        <f>SUM(BN254:BN256)+BN261</f>
        <v>0</v>
      </c>
      <c r="BO253" s="18"/>
      <c r="BP253" s="1">
        <f>SUM(BP254:BP256)+BP261</f>
        <v>0</v>
      </c>
      <c r="BQ253" s="18"/>
      <c r="BR253" s="1">
        <f>SUM(BR254:BR256)+BR261</f>
        <v>0</v>
      </c>
      <c r="BS253" s="18"/>
    </row>
    <row r="254" spans="6:71" s="63" customFormat="1" outlineLevel="1" x14ac:dyDescent="0.25">
      <c r="F254" s="62"/>
      <c r="G254" s="62" t="s">
        <v>554</v>
      </c>
      <c r="R254" s="62"/>
      <c r="S254" s="80"/>
      <c r="T254" s="39">
        <v>0</v>
      </c>
      <c r="U254" s="64"/>
      <c r="V254" s="39">
        <v>468</v>
      </c>
      <c r="W254" s="64"/>
      <c r="X254" s="39">
        <v>468</v>
      </c>
      <c r="Y254" s="64"/>
      <c r="Z254" s="39">
        <v>260</v>
      </c>
      <c r="AA254" s="64"/>
      <c r="AB254" s="39">
        <v>0</v>
      </c>
      <c r="AC254" s="64"/>
      <c r="AD254" s="39">
        <v>0</v>
      </c>
      <c r="AE254" s="64"/>
      <c r="AF254" s="39">
        <v>0</v>
      </c>
      <c r="AG254" s="64" t="s">
        <v>555</v>
      </c>
      <c r="AH254" s="39">
        <v>900</v>
      </c>
      <c r="AI254" s="64"/>
      <c r="AJ254" s="39">
        <v>0</v>
      </c>
      <c r="AK254" s="64"/>
      <c r="AL254" s="39">
        <v>0</v>
      </c>
      <c r="AM254" s="64"/>
      <c r="AN254" s="39">
        <v>0</v>
      </c>
      <c r="AO254" s="64"/>
      <c r="AP254" s="39">
        <v>0</v>
      </c>
      <c r="AQ254" s="64"/>
      <c r="AR254" s="39">
        <v>0</v>
      </c>
      <c r="AS254" s="64"/>
      <c r="AT254" s="142"/>
      <c r="AU254" s="64"/>
      <c r="AV254" s="39">
        <v>0</v>
      </c>
      <c r="AW254" s="64"/>
      <c r="AX254" s="39">
        <v>0</v>
      </c>
      <c r="AY254" s="64"/>
      <c r="AZ254" s="39">
        <v>0</v>
      </c>
      <c r="BA254" s="64"/>
      <c r="BB254" s="39">
        <v>0</v>
      </c>
      <c r="BC254" s="64"/>
      <c r="BD254" s="39">
        <v>0</v>
      </c>
      <c r="BE254" s="64"/>
      <c r="BF254" s="39">
        <v>0</v>
      </c>
      <c r="BG254" s="64" t="s">
        <v>556</v>
      </c>
      <c r="BH254" s="39">
        <v>1000</v>
      </c>
      <c r="BI254" s="64"/>
      <c r="BJ254" s="39">
        <v>0</v>
      </c>
      <c r="BK254" s="64"/>
      <c r="BL254" s="39">
        <v>0</v>
      </c>
      <c r="BM254" s="64"/>
      <c r="BN254" s="39">
        <v>0</v>
      </c>
      <c r="BO254" s="64"/>
      <c r="BP254" s="39">
        <v>0</v>
      </c>
      <c r="BQ254" s="64"/>
      <c r="BR254" s="39">
        <v>0</v>
      </c>
      <c r="BS254" s="64"/>
    </row>
    <row r="255" spans="6:71" s="63" customFormat="1" outlineLevel="1" x14ac:dyDescent="0.25">
      <c r="F255" s="62"/>
      <c r="G255" s="62" t="s">
        <v>557</v>
      </c>
      <c r="R255" s="62"/>
      <c r="S255" s="80"/>
      <c r="T255" s="39">
        <v>0</v>
      </c>
      <c r="U255" s="64"/>
      <c r="V255" s="39">
        <v>0</v>
      </c>
      <c r="W255" s="64"/>
      <c r="X255" s="39">
        <v>0</v>
      </c>
      <c r="Y255" s="64"/>
      <c r="Z255" s="39">
        <v>0</v>
      </c>
      <c r="AA255" s="64"/>
      <c r="AB255" s="39">
        <v>0</v>
      </c>
      <c r="AC255" s="64"/>
      <c r="AD255" s="39">
        <v>0</v>
      </c>
      <c r="AE255" s="64"/>
      <c r="AF255" s="39">
        <v>0</v>
      </c>
      <c r="AG255" s="64"/>
      <c r="AH255" s="39">
        <v>0</v>
      </c>
      <c r="AI255" s="64"/>
      <c r="AJ255" s="39">
        <v>0</v>
      </c>
      <c r="AK255" s="64"/>
      <c r="AL255" s="39">
        <v>0</v>
      </c>
      <c r="AM255" s="64"/>
      <c r="AN255" s="39">
        <v>0</v>
      </c>
      <c r="AO255" s="64"/>
      <c r="AP255" s="39">
        <v>0</v>
      </c>
      <c r="AQ255" s="64"/>
      <c r="AR255" s="39">
        <v>0</v>
      </c>
      <c r="AS255" s="64" t="s">
        <v>44</v>
      </c>
      <c r="AT255" s="142">
        <v>6851</v>
      </c>
      <c r="AU255" s="64"/>
      <c r="AV255" s="39">
        <v>8289.7099999999991</v>
      </c>
      <c r="AW255" s="64"/>
      <c r="AX255" s="39">
        <v>0</v>
      </c>
      <c r="AY255" s="64"/>
      <c r="AZ255" s="39">
        <v>0</v>
      </c>
      <c r="BA255" s="64"/>
      <c r="BB255" s="39">
        <v>0</v>
      </c>
      <c r="BC255" s="64"/>
      <c r="BD255" s="39">
        <v>0</v>
      </c>
      <c r="BE255" s="64"/>
      <c r="BF255" s="39">
        <v>0</v>
      </c>
      <c r="BG255" s="64" t="s">
        <v>558</v>
      </c>
      <c r="BH255" s="39">
        <v>2568</v>
      </c>
      <c r="BI255" s="64"/>
      <c r="BJ255" s="39">
        <v>0</v>
      </c>
      <c r="BK255" s="64"/>
      <c r="BL255" s="39">
        <v>0</v>
      </c>
      <c r="BM255" s="64"/>
      <c r="BN255" s="39">
        <v>0</v>
      </c>
      <c r="BO255" s="64"/>
      <c r="BP255" s="39">
        <v>0</v>
      </c>
      <c r="BQ255" s="64"/>
      <c r="BR255" s="39">
        <v>0</v>
      </c>
      <c r="BS255" s="64"/>
    </row>
    <row r="256" spans="6:71" s="95" customFormat="1" outlineLevel="1" x14ac:dyDescent="0.25">
      <c r="F256" s="58"/>
      <c r="G256" s="58" t="s">
        <v>559</v>
      </c>
      <c r="R256" s="58"/>
      <c r="S256" s="66"/>
      <c r="T256" s="91">
        <v>0</v>
      </c>
      <c r="U256" s="76"/>
      <c r="V256" s="91">
        <v>0</v>
      </c>
      <c r="W256" s="76"/>
      <c r="X256" s="91">
        <v>0</v>
      </c>
      <c r="Y256" s="76"/>
      <c r="Z256" s="91">
        <v>0</v>
      </c>
      <c r="AA256" s="76"/>
      <c r="AB256" s="91">
        <v>0</v>
      </c>
      <c r="AC256" s="76"/>
      <c r="AD256" s="91">
        <v>0</v>
      </c>
      <c r="AE256" s="76" t="s">
        <v>560</v>
      </c>
      <c r="AF256" s="91">
        <v>500</v>
      </c>
      <c r="AG256" s="76" t="s">
        <v>561</v>
      </c>
      <c r="AH256" s="91">
        <v>500</v>
      </c>
      <c r="AI256" s="76"/>
      <c r="AJ256" s="91">
        <v>0</v>
      </c>
      <c r="AK256" s="76"/>
      <c r="AL256" s="91">
        <v>0</v>
      </c>
      <c r="AM256" s="76"/>
      <c r="AN256" s="91">
        <v>0</v>
      </c>
      <c r="AO256" s="76"/>
      <c r="AP256" s="91">
        <v>0</v>
      </c>
      <c r="AQ256" s="76" t="s">
        <v>562</v>
      </c>
      <c r="AR256" s="91">
        <v>700</v>
      </c>
      <c r="AS256" s="76" t="s">
        <v>563</v>
      </c>
      <c r="AT256" s="143">
        <v>500</v>
      </c>
      <c r="AU256" s="76"/>
      <c r="AV256" s="91">
        <v>446.06</v>
      </c>
      <c r="AW256" s="76"/>
      <c r="AX256" s="91">
        <f>SUM(AX257:AX260)</f>
        <v>7093.53</v>
      </c>
      <c r="AY256" s="76"/>
      <c r="AZ256" s="91">
        <v>1533.61</v>
      </c>
      <c r="BA256" s="76"/>
      <c r="BB256" s="91">
        <f>SUM(BB257:BB260)</f>
        <v>5088.8899999999994</v>
      </c>
      <c r="BC256" s="76"/>
      <c r="BD256" s="91">
        <v>0</v>
      </c>
      <c r="BE256" s="76"/>
      <c r="BF256" s="91">
        <v>0</v>
      </c>
      <c r="BG256" s="76"/>
      <c r="BH256" s="91">
        <v>0</v>
      </c>
      <c r="BI256" s="76"/>
      <c r="BJ256" s="91">
        <v>0</v>
      </c>
      <c r="BK256" s="76"/>
      <c r="BL256" s="91">
        <v>0</v>
      </c>
      <c r="BM256" s="76"/>
      <c r="BN256" s="91">
        <v>0</v>
      </c>
      <c r="BO256" s="76"/>
      <c r="BP256" s="91">
        <v>0</v>
      </c>
      <c r="BQ256" s="76"/>
      <c r="BR256" s="91">
        <v>0</v>
      </c>
      <c r="BS256" s="76"/>
    </row>
    <row r="257" spans="3:71" s="95" customFormat="1" outlineLevel="1" x14ac:dyDescent="0.25">
      <c r="F257" s="58"/>
      <c r="G257" s="58"/>
      <c r="H257" s="95" t="s">
        <v>564</v>
      </c>
      <c r="R257" s="58"/>
      <c r="S257" s="66"/>
      <c r="T257" s="91"/>
      <c r="U257" s="76"/>
      <c r="V257" s="91"/>
      <c r="W257" s="76"/>
      <c r="X257" s="91"/>
      <c r="Y257" s="76"/>
      <c r="Z257" s="91"/>
      <c r="AA257" s="76"/>
      <c r="AB257" s="91"/>
      <c r="AC257" s="76"/>
      <c r="AD257" s="91"/>
      <c r="AE257" s="76"/>
      <c r="AF257" s="91"/>
      <c r="AG257" s="76"/>
      <c r="AH257" s="91"/>
      <c r="AI257" s="76"/>
      <c r="AJ257" s="91"/>
      <c r="AK257" s="76"/>
      <c r="AL257" s="91"/>
      <c r="AM257" s="76"/>
      <c r="AN257" s="91"/>
      <c r="AO257" s="76"/>
      <c r="AP257" s="91"/>
      <c r="AQ257" s="76"/>
      <c r="AR257" s="91"/>
      <c r="AS257" s="76"/>
      <c r="AT257" s="142"/>
      <c r="AU257" s="76"/>
      <c r="AV257" s="91">
        <v>246.84</v>
      </c>
      <c r="AW257" s="76"/>
      <c r="AX257" s="91">
        <f>1882.15+2932.84+86+97.16+151.23+194.33+301.06</f>
        <v>5644.7699999999995</v>
      </c>
      <c r="AY257" s="76"/>
      <c r="AZ257" s="91">
        <v>931.69</v>
      </c>
      <c r="BA257" s="76"/>
      <c r="BB257" s="91">
        <v>461.37</v>
      </c>
      <c r="BC257" s="76"/>
      <c r="BD257" s="91">
        <v>0</v>
      </c>
      <c r="BE257" s="76"/>
      <c r="BF257" s="91">
        <v>0</v>
      </c>
      <c r="BG257" s="76"/>
      <c r="BH257" s="91">
        <v>0</v>
      </c>
      <c r="BI257" s="76"/>
      <c r="BJ257" s="91">
        <v>0</v>
      </c>
      <c r="BK257" s="76"/>
      <c r="BL257" s="91">
        <v>0</v>
      </c>
      <c r="BM257" s="76"/>
      <c r="BN257" s="91">
        <v>0</v>
      </c>
      <c r="BO257" s="76"/>
      <c r="BP257" s="91">
        <v>0</v>
      </c>
      <c r="BQ257" s="76"/>
      <c r="BR257" s="91">
        <v>0</v>
      </c>
      <c r="BS257" s="76"/>
    </row>
    <row r="258" spans="3:71" s="95" customFormat="1" outlineLevel="1" x14ac:dyDescent="0.25">
      <c r="F258" s="58"/>
      <c r="G258" s="58"/>
      <c r="H258" s="95" t="s">
        <v>565</v>
      </c>
      <c r="R258" s="58"/>
      <c r="S258" s="66"/>
      <c r="T258" s="91"/>
      <c r="U258" s="76"/>
      <c r="V258" s="91"/>
      <c r="W258" s="76"/>
      <c r="X258" s="91"/>
      <c r="Y258" s="76"/>
      <c r="Z258" s="91"/>
      <c r="AA258" s="76"/>
      <c r="AB258" s="91"/>
      <c r="AC258" s="76"/>
      <c r="AD258" s="91"/>
      <c r="AE258" s="76"/>
      <c r="AF258" s="91"/>
      <c r="AG258" s="76"/>
      <c r="AH258" s="91"/>
      <c r="AI258" s="76"/>
      <c r="AJ258" s="91"/>
      <c r="AK258" s="76"/>
      <c r="AL258" s="91"/>
      <c r="AM258" s="76"/>
      <c r="AN258" s="91"/>
      <c r="AO258" s="76"/>
      <c r="AP258" s="91"/>
      <c r="AQ258" s="76"/>
      <c r="AR258" s="91"/>
      <c r="AS258" s="76"/>
      <c r="AT258" s="142"/>
      <c r="AU258" s="76"/>
      <c r="AV258" s="91">
        <v>0</v>
      </c>
      <c r="AW258" s="76"/>
      <c r="AX258" s="91">
        <v>715.72</v>
      </c>
      <c r="AY258" s="76"/>
      <c r="AZ258" s="91">
        <v>1086</v>
      </c>
      <c r="BA258" s="76"/>
      <c r="BB258" s="91">
        <v>1079.1500000000001</v>
      </c>
      <c r="BC258" s="76"/>
      <c r="BD258" s="91">
        <v>0</v>
      </c>
      <c r="BE258" s="76"/>
      <c r="BF258" s="91">
        <v>0</v>
      </c>
      <c r="BG258" s="76"/>
      <c r="BH258" s="91">
        <v>0</v>
      </c>
      <c r="BI258" s="76"/>
      <c r="BJ258" s="91">
        <v>0</v>
      </c>
      <c r="BK258" s="76"/>
      <c r="BL258" s="91">
        <v>0</v>
      </c>
      <c r="BM258" s="76"/>
      <c r="BN258" s="91">
        <v>0</v>
      </c>
      <c r="BO258" s="76"/>
      <c r="BP258" s="91">
        <v>0</v>
      </c>
      <c r="BQ258" s="76"/>
      <c r="BR258" s="91">
        <v>0</v>
      </c>
      <c r="BS258" s="76"/>
    </row>
    <row r="259" spans="3:71" s="95" customFormat="1" outlineLevel="1" x14ac:dyDescent="0.25">
      <c r="F259" s="58"/>
      <c r="G259" s="58"/>
      <c r="H259" s="95" t="s">
        <v>566</v>
      </c>
      <c r="R259" s="58"/>
      <c r="S259" s="66"/>
      <c r="T259" s="91"/>
      <c r="U259" s="76"/>
      <c r="V259" s="91"/>
      <c r="W259" s="76"/>
      <c r="X259" s="91"/>
      <c r="Y259" s="76"/>
      <c r="Z259" s="91"/>
      <c r="AA259" s="76"/>
      <c r="AB259" s="91"/>
      <c r="AC259" s="76"/>
      <c r="AD259" s="91"/>
      <c r="AE259" s="76"/>
      <c r="AF259" s="91"/>
      <c r="AG259" s="76"/>
      <c r="AH259" s="91"/>
      <c r="AI259" s="76"/>
      <c r="AJ259" s="91"/>
      <c r="AK259" s="76"/>
      <c r="AL259" s="91"/>
      <c r="AM259" s="76"/>
      <c r="AN259" s="91"/>
      <c r="AO259" s="76"/>
      <c r="AP259" s="91"/>
      <c r="AQ259" s="76"/>
      <c r="AR259" s="91"/>
      <c r="AS259" s="76"/>
      <c r="AT259" s="142"/>
      <c r="AU259" s="76"/>
      <c r="AV259" s="91">
        <v>476.46</v>
      </c>
      <c r="AW259" s="76"/>
      <c r="AX259" s="91">
        <v>733.04</v>
      </c>
      <c r="AY259" s="76"/>
      <c r="AZ259" s="91">
        <v>560.95000000000005</v>
      </c>
      <c r="BA259" s="76"/>
      <c r="BB259" s="91">
        <v>3282.37</v>
      </c>
      <c r="BC259" s="76"/>
      <c r="BD259" s="91">
        <v>0</v>
      </c>
      <c r="BE259" s="76"/>
      <c r="BF259" s="91">
        <v>0</v>
      </c>
      <c r="BG259" s="76"/>
      <c r="BH259" s="91">
        <v>0</v>
      </c>
      <c r="BI259" s="76"/>
      <c r="BJ259" s="91">
        <v>0</v>
      </c>
      <c r="BK259" s="76"/>
      <c r="BL259" s="91">
        <v>0</v>
      </c>
      <c r="BM259" s="76"/>
      <c r="BN259" s="91">
        <v>0</v>
      </c>
      <c r="BO259" s="76"/>
      <c r="BP259" s="91">
        <v>0</v>
      </c>
      <c r="BQ259" s="76"/>
      <c r="BR259" s="91">
        <v>0</v>
      </c>
      <c r="BS259" s="76"/>
    </row>
    <row r="260" spans="3:71" s="95" customFormat="1" outlineLevel="1" x14ac:dyDescent="0.25">
      <c r="F260" s="58"/>
      <c r="G260" s="58"/>
      <c r="H260" s="95" t="s">
        <v>567</v>
      </c>
      <c r="R260" s="58"/>
      <c r="S260" s="66"/>
      <c r="T260" s="91"/>
      <c r="U260" s="76"/>
      <c r="V260" s="91"/>
      <c r="W260" s="76"/>
      <c r="X260" s="91"/>
      <c r="Y260" s="76"/>
      <c r="Z260" s="91"/>
      <c r="AA260" s="76"/>
      <c r="AB260" s="91"/>
      <c r="AC260" s="76"/>
      <c r="AD260" s="91"/>
      <c r="AE260" s="76"/>
      <c r="AF260" s="91"/>
      <c r="AG260" s="76"/>
      <c r="AH260" s="91"/>
      <c r="AI260" s="76"/>
      <c r="AJ260" s="91"/>
      <c r="AK260" s="76"/>
      <c r="AL260" s="91"/>
      <c r="AM260" s="76"/>
      <c r="AN260" s="91"/>
      <c r="AO260" s="76"/>
      <c r="AP260" s="91"/>
      <c r="AQ260" s="76"/>
      <c r="AR260" s="91"/>
      <c r="AS260" s="76"/>
      <c r="AT260" s="142"/>
      <c r="AU260" s="76"/>
      <c r="AV260" s="91">
        <v>0</v>
      </c>
      <c r="AW260" s="76"/>
      <c r="AX260" s="91">
        <v>0</v>
      </c>
      <c r="AY260" s="76"/>
      <c r="AZ260" s="91">
        <v>-944.03</v>
      </c>
      <c r="BA260" s="76"/>
      <c r="BB260" s="91">
        <v>266</v>
      </c>
      <c r="BC260" s="76"/>
      <c r="BD260" s="91">
        <v>0</v>
      </c>
      <c r="BE260" s="76"/>
      <c r="BF260" s="91">
        <v>0</v>
      </c>
      <c r="BG260" s="76"/>
      <c r="BH260" s="91">
        <v>0</v>
      </c>
      <c r="BI260" s="76"/>
      <c r="BJ260" s="91">
        <v>0</v>
      </c>
      <c r="BK260" s="76"/>
      <c r="BL260" s="91">
        <v>0</v>
      </c>
      <c r="BM260" s="76"/>
      <c r="BN260" s="91">
        <v>0</v>
      </c>
      <c r="BO260" s="76"/>
      <c r="BP260" s="91">
        <v>0</v>
      </c>
      <c r="BQ260" s="76"/>
      <c r="BR260" s="91">
        <v>0</v>
      </c>
      <c r="BS260" s="76"/>
    </row>
    <row r="261" spans="3:71" s="95" customFormat="1" outlineLevel="1" x14ac:dyDescent="0.25">
      <c r="F261" s="58"/>
      <c r="G261" s="58" t="s">
        <v>725</v>
      </c>
      <c r="R261" s="58"/>
      <c r="S261" s="66"/>
      <c r="T261" s="91">
        <v>0</v>
      </c>
      <c r="U261" s="76"/>
      <c r="V261" s="91">
        <v>0</v>
      </c>
      <c r="W261" s="76"/>
      <c r="X261" s="91">
        <v>0</v>
      </c>
      <c r="Y261" s="76"/>
      <c r="Z261" s="91">
        <v>0</v>
      </c>
      <c r="AA261" s="76"/>
      <c r="AB261" s="91">
        <v>0</v>
      </c>
      <c r="AC261" s="76"/>
      <c r="AD261" s="91">
        <v>0</v>
      </c>
      <c r="AE261" s="76"/>
      <c r="AF261" s="91">
        <v>0</v>
      </c>
      <c r="AG261" s="76"/>
      <c r="AH261" s="91">
        <v>0</v>
      </c>
      <c r="AI261" s="76"/>
      <c r="AJ261" s="91">
        <v>0</v>
      </c>
      <c r="AK261" s="76"/>
      <c r="AL261" s="91">
        <v>0</v>
      </c>
      <c r="AM261" s="76"/>
      <c r="AN261" s="91">
        <v>0</v>
      </c>
      <c r="AO261" s="76"/>
      <c r="AP261" s="91">
        <v>0</v>
      </c>
      <c r="AQ261" s="76" t="s">
        <v>573</v>
      </c>
      <c r="AR261" s="91">
        <v>2000</v>
      </c>
      <c r="AS261" s="76" t="s">
        <v>574</v>
      </c>
      <c r="AT261" s="143">
        <v>2800</v>
      </c>
      <c r="AU261" s="76"/>
      <c r="AV261" s="91">
        <v>0</v>
      </c>
      <c r="AW261" s="76"/>
      <c r="AX261" s="91">
        <v>0</v>
      </c>
      <c r="AY261" s="76"/>
      <c r="AZ261" s="91">
        <v>0</v>
      </c>
      <c r="BA261" s="76"/>
      <c r="BB261" s="91">
        <v>0</v>
      </c>
      <c r="BC261" s="76"/>
      <c r="BD261" s="91">
        <v>0</v>
      </c>
      <c r="BE261" s="76"/>
      <c r="BF261" s="91">
        <v>0</v>
      </c>
      <c r="BG261" s="76"/>
      <c r="BH261" s="91">
        <v>0</v>
      </c>
      <c r="BI261" s="76"/>
      <c r="BJ261" s="91">
        <v>0</v>
      </c>
      <c r="BK261" s="76"/>
      <c r="BL261" s="91">
        <v>0</v>
      </c>
      <c r="BM261" s="76"/>
      <c r="BN261" s="91">
        <v>0</v>
      </c>
      <c r="BO261" s="76"/>
      <c r="BP261" s="91">
        <v>0</v>
      </c>
      <c r="BQ261" s="76"/>
      <c r="BR261" s="91">
        <v>0</v>
      </c>
      <c r="BS261" s="76"/>
    </row>
    <row r="262" spans="3:71" s="38" customFormat="1" outlineLevel="1" x14ac:dyDescent="0.25">
      <c r="F262" s="62" t="s">
        <v>572</v>
      </c>
      <c r="S262" s="105"/>
      <c r="T262" s="106"/>
      <c r="U262" s="105"/>
      <c r="V262" s="106"/>
      <c r="W262" s="105"/>
      <c r="X262" s="106"/>
      <c r="Y262" s="105"/>
      <c r="Z262" s="106"/>
      <c r="AA262" s="105"/>
      <c r="AB262" s="106"/>
      <c r="AC262" s="105"/>
      <c r="AD262" s="106"/>
      <c r="AE262" s="105"/>
      <c r="AF262" s="106"/>
      <c r="AG262" s="105"/>
      <c r="AH262" s="106"/>
      <c r="AI262" s="105"/>
      <c r="AJ262" s="106"/>
      <c r="AK262" s="105"/>
      <c r="AL262" s="106"/>
      <c r="AM262" s="105"/>
      <c r="AN262" s="106"/>
      <c r="AO262" s="105"/>
      <c r="AP262" s="106"/>
      <c r="AQ262" s="105"/>
      <c r="AR262" s="106"/>
      <c r="AS262" s="105"/>
      <c r="AT262" s="144"/>
      <c r="AU262" s="105"/>
      <c r="AV262" s="106"/>
      <c r="AW262" s="105"/>
      <c r="AX262" s="106"/>
      <c r="AY262" s="105"/>
      <c r="AZ262" s="106"/>
      <c r="BA262" s="105"/>
      <c r="BB262" s="106"/>
      <c r="BC262" s="105"/>
      <c r="BD262" s="106"/>
      <c r="BE262" s="105"/>
      <c r="BF262" s="106">
        <v>2000</v>
      </c>
      <c r="BG262" s="105"/>
      <c r="BH262" s="106">
        <v>2000</v>
      </c>
      <c r="BI262" s="105"/>
      <c r="BJ262" s="106">
        <v>2000</v>
      </c>
      <c r="BK262" s="105"/>
      <c r="BL262" s="106">
        <v>2000</v>
      </c>
      <c r="BM262" s="105"/>
      <c r="BN262" s="106">
        <v>2000</v>
      </c>
      <c r="BO262" s="105"/>
      <c r="BP262" s="106">
        <v>2000</v>
      </c>
      <c r="BQ262" s="105"/>
      <c r="BR262" s="106"/>
      <c r="BS262" s="105"/>
    </row>
    <row r="263" spans="3:71" s="1" customFormat="1" x14ac:dyDescent="0.25">
      <c r="F263" s="4" t="s">
        <v>575</v>
      </c>
      <c r="G263" s="4"/>
      <c r="N263" s="23"/>
      <c r="S263" s="18"/>
      <c r="T263" s="1">
        <f>SUM(T264:T265)</f>
        <v>0</v>
      </c>
      <c r="U263" s="18"/>
      <c r="V263" s="1">
        <f>SUM(V264:V265)</f>
        <v>1500</v>
      </c>
      <c r="W263" s="18"/>
      <c r="X263" s="1">
        <f>SUM(X264:X265)</f>
        <v>0</v>
      </c>
      <c r="Y263" s="18"/>
      <c r="Z263" s="1">
        <f>SUM(Z264:Z265)</f>
        <v>0</v>
      </c>
      <c r="AA263" s="18"/>
      <c r="AB263" s="1">
        <f>SUM(AB264:AB265)</f>
        <v>0</v>
      </c>
      <c r="AC263" s="18"/>
      <c r="AD263" s="1">
        <f>SUM(AD264:AD265)</f>
        <v>0</v>
      </c>
      <c r="AE263" s="18"/>
      <c r="AF263" s="1">
        <f>SUM(AF264:AF265)</f>
        <v>500</v>
      </c>
      <c r="AG263" s="18"/>
      <c r="AH263" s="1">
        <f>SUM(AH264:AH265)</f>
        <v>0</v>
      </c>
      <c r="AI263" s="18"/>
      <c r="AJ263" s="1">
        <f>SUM(AJ264:AJ265)</f>
        <v>0</v>
      </c>
      <c r="AK263" s="18"/>
      <c r="AL263" s="1">
        <f>SUM(AL264:AL265)</f>
        <v>0</v>
      </c>
      <c r="AM263" s="18"/>
      <c r="AN263" s="1">
        <f>SUM(AN264:AN265)</f>
        <v>0</v>
      </c>
      <c r="AO263" s="18"/>
      <c r="AP263" s="1">
        <f>SUM(AP264:AP265)</f>
        <v>0</v>
      </c>
      <c r="AQ263" s="18"/>
      <c r="AR263" s="1">
        <f>SUM(AR264:AR265)</f>
        <v>0</v>
      </c>
      <c r="AS263" s="18"/>
      <c r="AT263" s="129">
        <f>SUM(AT264:AT265)</f>
        <v>0</v>
      </c>
      <c r="AU263" s="18"/>
      <c r="AV263" s="1">
        <f>SUM(AV264:AV265)</f>
        <v>0</v>
      </c>
      <c r="AW263" s="18"/>
      <c r="AX263" s="1">
        <f>SUM(AX264:AX265)</f>
        <v>0</v>
      </c>
      <c r="AY263" s="18"/>
      <c r="AZ263" s="1">
        <f>SUM(AZ264:AZ265)</f>
        <v>0</v>
      </c>
      <c r="BA263" s="18"/>
      <c r="BB263" s="1">
        <f>SUM(BB264:BB265)</f>
        <v>2990.52</v>
      </c>
      <c r="BC263" s="18"/>
      <c r="BD263" s="1">
        <f>SUM(BD264:BD265)</f>
        <v>0</v>
      </c>
      <c r="BE263" s="18"/>
      <c r="BF263" s="1">
        <f>SUM(BF264:BF265)</f>
        <v>0</v>
      </c>
      <c r="BG263" s="18"/>
      <c r="BH263" s="1">
        <f>SUM(BH264:BH265)</f>
        <v>0</v>
      </c>
      <c r="BI263" s="18"/>
      <c r="BJ263" s="1">
        <f>SUM(BJ264:BJ265)</f>
        <v>0</v>
      </c>
      <c r="BK263" s="18"/>
      <c r="BL263" s="1">
        <f>SUM(BL264:BL265)</f>
        <v>0</v>
      </c>
      <c r="BM263" s="18"/>
      <c r="BN263" s="1">
        <f>SUM(BN264:BN265)</f>
        <v>0</v>
      </c>
      <c r="BO263" s="18"/>
      <c r="BP263" s="1">
        <f>SUM(BP264:BP265)</f>
        <v>0</v>
      </c>
      <c r="BQ263" s="18"/>
      <c r="BR263" s="1">
        <f>SUM(BR264:BR265)</f>
        <v>0</v>
      </c>
      <c r="BS263" s="18"/>
    </row>
    <row r="264" spans="3:71" s="1" customFormat="1" outlineLevel="1" x14ac:dyDescent="0.25">
      <c r="F264" s="4"/>
      <c r="G264" s="4" t="s">
        <v>576</v>
      </c>
      <c r="I264" s="21"/>
      <c r="J264" s="21"/>
      <c r="N264" s="23"/>
      <c r="R264" s="4"/>
      <c r="S264" s="16"/>
      <c r="T264" s="35">
        <v>0</v>
      </c>
      <c r="U264" s="18"/>
      <c r="V264" s="35">
        <v>1500</v>
      </c>
      <c r="W264" s="18"/>
      <c r="X264" s="35">
        <v>0</v>
      </c>
      <c r="Y264" s="18"/>
      <c r="Z264" s="35">
        <v>0</v>
      </c>
      <c r="AA264" s="18"/>
      <c r="AB264" s="35">
        <v>0</v>
      </c>
      <c r="AC264" s="18"/>
      <c r="AD264" s="35">
        <v>0</v>
      </c>
      <c r="AE264" s="18" t="s">
        <v>577</v>
      </c>
      <c r="AF264" s="35">
        <v>500</v>
      </c>
      <c r="AG264" s="18"/>
      <c r="AH264" s="35">
        <v>0</v>
      </c>
      <c r="AI264" s="18"/>
      <c r="AJ264" s="35">
        <v>0</v>
      </c>
      <c r="AK264" s="18"/>
      <c r="AL264" s="35">
        <v>0</v>
      </c>
      <c r="AM264" s="18"/>
      <c r="AN264" s="35">
        <v>0</v>
      </c>
      <c r="AO264" s="18"/>
      <c r="AP264" s="35">
        <v>0</v>
      </c>
      <c r="AQ264" s="18"/>
      <c r="AR264" s="35">
        <v>0</v>
      </c>
      <c r="AS264" s="18"/>
      <c r="AT264" s="137">
        <v>0</v>
      </c>
      <c r="AU264" s="18"/>
      <c r="AV264" s="35">
        <v>0</v>
      </c>
      <c r="AW264" s="18"/>
      <c r="AX264" s="35">
        <v>0</v>
      </c>
      <c r="AY264" s="18"/>
      <c r="AZ264" s="35">
        <v>0</v>
      </c>
      <c r="BA264" s="18"/>
      <c r="BB264" s="35">
        <v>101.52</v>
      </c>
      <c r="BC264" s="18"/>
      <c r="BD264" s="35">
        <v>0</v>
      </c>
      <c r="BE264" s="18"/>
      <c r="BF264" s="35">
        <v>0</v>
      </c>
      <c r="BG264" s="18"/>
      <c r="BH264" s="35">
        <v>0</v>
      </c>
      <c r="BI264" s="18"/>
      <c r="BJ264" s="35">
        <v>0</v>
      </c>
      <c r="BK264" s="18"/>
      <c r="BL264" s="35">
        <v>0</v>
      </c>
      <c r="BM264" s="18"/>
      <c r="BN264" s="35">
        <v>0</v>
      </c>
      <c r="BO264" s="18"/>
      <c r="BP264" s="35">
        <v>0</v>
      </c>
      <c r="BQ264" s="18"/>
      <c r="BR264" s="35">
        <v>0</v>
      </c>
      <c r="BS264" s="18"/>
    </row>
    <row r="265" spans="3:71" s="1" customFormat="1" outlineLevel="1" x14ac:dyDescent="0.25">
      <c r="F265" s="4"/>
      <c r="G265" s="4" t="s">
        <v>578</v>
      </c>
      <c r="I265" s="21"/>
      <c r="J265" s="21"/>
      <c r="N265" s="23"/>
      <c r="R265" s="4"/>
      <c r="S265" s="16"/>
      <c r="T265" s="35"/>
      <c r="U265" s="18"/>
      <c r="V265" s="35"/>
      <c r="W265" s="18"/>
      <c r="X265" s="35"/>
      <c r="Y265" s="18"/>
      <c r="Z265" s="35"/>
      <c r="AA265" s="18"/>
      <c r="AB265" s="35"/>
      <c r="AC265" s="18"/>
      <c r="AD265" s="35"/>
      <c r="AE265" s="18"/>
      <c r="AF265" s="35"/>
      <c r="AG265" s="18"/>
      <c r="AH265" s="35"/>
      <c r="AI265" s="18"/>
      <c r="AJ265" s="35"/>
      <c r="AK265" s="18"/>
      <c r="AL265" s="35"/>
      <c r="AM265" s="18"/>
      <c r="AN265" s="35"/>
      <c r="AO265" s="18"/>
      <c r="AP265" s="35"/>
      <c r="AQ265" s="18"/>
      <c r="AR265" s="35"/>
      <c r="AS265" s="18"/>
      <c r="AT265" s="137"/>
      <c r="AU265" s="18"/>
      <c r="AV265" s="35"/>
      <c r="AW265" s="18"/>
      <c r="AX265" s="35"/>
      <c r="AY265" s="18"/>
      <c r="AZ265" s="35"/>
      <c r="BA265" s="18" t="s">
        <v>579</v>
      </c>
      <c r="BB265" s="35">
        <v>2889</v>
      </c>
      <c r="BC265" s="18"/>
      <c r="BD265" s="35"/>
      <c r="BE265" s="18"/>
      <c r="BF265" s="35"/>
      <c r="BG265" s="18"/>
      <c r="BH265" s="35"/>
      <c r="BI265" s="18"/>
      <c r="BJ265" s="35"/>
      <c r="BK265" s="18"/>
      <c r="BL265" s="35"/>
      <c r="BM265" s="18"/>
      <c r="BN265" s="35"/>
      <c r="BO265" s="18"/>
      <c r="BP265" s="35"/>
      <c r="BQ265" s="18"/>
      <c r="BR265" s="35"/>
      <c r="BS265" s="18"/>
    </row>
    <row r="266" spans="3:71" s="21" customFormat="1" x14ac:dyDescent="0.25">
      <c r="F266" s="4" t="s">
        <v>580</v>
      </c>
      <c r="G266" s="14"/>
      <c r="I266" s="1"/>
      <c r="J266" s="1"/>
      <c r="N266" s="30"/>
      <c r="S266" s="22"/>
      <c r="U266" s="22"/>
      <c r="W266" s="22"/>
      <c r="Y266" s="22"/>
      <c r="AA266" s="22"/>
      <c r="AC266" s="22"/>
      <c r="AE266" s="18"/>
      <c r="AG266" s="22"/>
      <c r="AH266" s="21">
        <f>SUM(AH267:AH269)</f>
        <v>10992</v>
      </c>
      <c r="AI266" s="22"/>
      <c r="AK266" s="22"/>
      <c r="AM266" s="22"/>
      <c r="AO266" s="22"/>
      <c r="AQ266" s="22"/>
      <c r="AS266" s="22"/>
      <c r="AT266" s="134"/>
      <c r="AU266" s="22"/>
      <c r="AV266" s="21">
        <f>SUM(AV267:AV269)</f>
        <v>6501.38</v>
      </c>
      <c r="AW266" s="22"/>
      <c r="AX266" s="21">
        <f>SUM(AX267:AX269)</f>
        <v>405</v>
      </c>
      <c r="AY266" s="22"/>
      <c r="AZ266" s="21">
        <f>SUM(AZ267:AZ269)</f>
        <v>7673.66</v>
      </c>
      <c r="BA266" s="22"/>
      <c r="BB266" s="21">
        <f>SUM(BB267:BB269)</f>
        <v>0</v>
      </c>
      <c r="BC266" s="22"/>
      <c r="BD266" s="21">
        <f>SUM(BD267:BD269)</f>
        <v>0</v>
      </c>
      <c r="BE266" s="22"/>
      <c r="BF266" s="21">
        <f>SUM(BF267:BF269)</f>
        <v>0</v>
      </c>
      <c r="BG266" s="22"/>
      <c r="BH266" s="21">
        <f>SUM(BH267:BH269)</f>
        <v>0</v>
      </c>
      <c r="BI266" s="22"/>
      <c r="BK266" s="22"/>
      <c r="BM266" s="22"/>
      <c r="BO266" s="22"/>
      <c r="BQ266" s="22"/>
      <c r="BS266" s="22"/>
    </row>
    <row r="267" spans="3:71" s="1" customFormat="1" outlineLevel="1" x14ac:dyDescent="0.25">
      <c r="F267" s="14"/>
      <c r="G267" s="4"/>
      <c r="N267" s="23"/>
      <c r="R267" s="4"/>
      <c r="S267" s="16"/>
      <c r="U267" s="18"/>
      <c r="W267" s="18"/>
      <c r="Y267" s="18"/>
      <c r="AA267" s="18"/>
      <c r="AC267" s="18"/>
      <c r="AE267" s="18"/>
      <c r="AF267" s="35"/>
      <c r="AG267" s="18"/>
      <c r="AH267" s="35">
        <v>10992</v>
      </c>
      <c r="AI267" s="18"/>
      <c r="AJ267" s="35"/>
      <c r="AK267" s="18"/>
      <c r="AL267" s="35"/>
      <c r="AM267" s="18"/>
      <c r="AN267" s="35"/>
      <c r="AO267" s="18"/>
      <c r="AP267" s="35"/>
      <c r="AQ267" s="18"/>
      <c r="AR267" s="35"/>
      <c r="AS267" s="18"/>
      <c r="AT267" s="137"/>
      <c r="AU267" s="18"/>
      <c r="AV267" s="35">
        <v>6501.38</v>
      </c>
      <c r="AW267" s="18"/>
      <c r="AX267" s="35">
        <v>405</v>
      </c>
      <c r="AY267" s="18" t="s">
        <v>744</v>
      </c>
      <c r="AZ267" s="35">
        <v>7673.66</v>
      </c>
      <c r="BA267" s="18"/>
      <c r="BB267" s="35"/>
      <c r="BC267" s="18"/>
      <c r="BD267" s="35"/>
      <c r="BE267" s="18"/>
      <c r="BF267" s="35"/>
      <c r="BG267" s="18"/>
      <c r="BH267" s="35"/>
      <c r="BI267" s="18"/>
      <c r="BJ267" s="35"/>
      <c r="BK267" s="18"/>
      <c r="BL267" s="35"/>
      <c r="BM267" s="18"/>
      <c r="BO267" s="18"/>
      <c r="BQ267" s="18"/>
      <c r="BS267" s="18"/>
    </row>
    <row r="268" spans="3:71" s="1" customFormat="1" outlineLevel="1" x14ac:dyDescent="0.25">
      <c r="F268" s="14"/>
      <c r="G268" s="4"/>
      <c r="N268" s="23"/>
      <c r="R268" s="4"/>
      <c r="S268" s="16"/>
      <c r="U268" s="18"/>
      <c r="W268" s="18"/>
      <c r="Y268" s="18"/>
      <c r="AA268" s="18"/>
      <c r="AC268" s="18"/>
      <c r="AE268" s="18"/>
      <c r="AF268" s="35"/>
      <c r="AG268" s="18"/>
      <c r="AH268" s="35"/>
      <c r="AI268" s="18"/>
      <c r="AJ268" s="35"/>
      <c r="AK268" s="18"/>
      <c r="AL268" s="35"/>
      <c r="AM268" s="18"/>
      <c r="AN268" s="35"/>
      <c r="AO268" s="18"/>
      <c r="AP268" s="35"/>
      <c r="AQ268" s="18"/>
      <c r="AR268" s="35"/>
      <c r="AS268" s="18"/>
      <c r="AT268" s="137"/>
      <c r="AU268" s="18"/>
      <c r="AV268" s="35"/>
      <c r="AW268" s="18"/>
      <c r="AX268" s="35"/>
      <c r="AY268" s="18"/>
      <c r="AZ268" s="35"/>
      <c r="BA268" s="18"/>
      <c r="BB268" s="35"/>
      <c r="BC268" s="18"/>
      <c r="BD268" s="35"/>
      <c r="BE268" s="18"/>
      <c r="BF268" s="35"/>
      <c r="BG268" s="18"/>
      <c r="BH268" s="35"/>
      <c r="BI268" s="18"/>
      <c r="BJ268" s="35"/>
      <c r="BK268" s="18"/>
      <c r="BL268" s="35"/>
      <c r="BM268" s="18"/>
      <c r="BO268" s="18"/>
      <c r="BQ268" s="18"/>
      <c r="BS268" s="18"/>
    </row>
    <row r="269" spans="3:71" s="1" customFormat="1" outlineLevel="1" x14ac:dyDescent="0.25">
      <c r="F269" s="14"/>
      <c r="G269" s="4"/>
      <c r="N269" s="23"/>
      <c r="R269" s="4"/>
      <c r="S269" s="16"/>
      <c r="U269" s="18"/>
      <c r="W269" s="18"/>
      <c r="Y269" s="18"/>
      <c r="AA269" s="18"/>
      <c r="AC269" s="18"/>
      <c r="AE269" s="18"/>
      <c r="AF269" s="35"/>
      <c r="AG269" s="18"/>
      <c r="AH269" s="35"/>
      <c r="AI269" s="18"/>
      <c r="AJ269" s="35"/>
      <c r="AK269" s="18"/>
      <c r="AL269" s="35"/>
      <c r="AM269" s="18"/>
      <c r="AN269" s="35"/>
      <c r="AO269" s="18"/>
      <c r="AP269" s="35"/>
      <c r="AQ269" s="18"/>
      <c r="AR269" s="35"/>
      <c r="AS269" s="18"/>
      <c r="AT269" s="137"/>
      <c r="AU269" s="18"/>
      <c r="AV269" s="35"/>
      <c r="AW269" s="18"/>
      <c r="AX269" s="35"/>
      <c r="AY269" s="18"/>
      <c r="AZ269" s="35"/>
      <c r="BA269" s="18"/>
      <c r="BB269" s="35"/>
      <c r="BC269" s="18"/>
      <c r="BD269" s="35"/>
      <c r="BE269" s="18"/>
      <c r="BF269" s="35"/>
      <c r="BG269" s="18"/>
      <c r="BH269" s="35"/>
      <c r="BI269" s="18"/>
      <c r="BJ269" s="35"/>
      <c r="BK269" s="18"/>
      <c r="BL269" s="35"/>
      <c r="BM269" s="18"/>
      <c r="BO269" s="18"/>
      <c r="BQ269" s="18"/>
      <c r="BS269" s="18"/>
    </row>
    <row r="270" spans="3:71" s="1" customFormat="1" x14ac:dyDescent="0.25">
      <c r="AT270" s="129"/>
    </row>
    <row r="271" spans="3:71" s="92" customFormat="1" x14ac:dyDescent="0.25">
      <c r="C271" s="107"/>
      <c r="E271" s="92" t="s">
        <v>740</v>
      </c>
      <c r="G271" s="115"/>
      <c r="N271" s="108"/>
      <c r="R271" s="107"/>
      <c r="S271" s="116"/>
      <c r="T271" s="92">
        <f>T272+T275+T280+T286</f>
        <v>15146</v>
      </c>
      <c r="U271" s="117"/>
      <c r="V271" s="92">
        <f>V272+V275+V280+V286</f>
        <v>9131</v>
      </c>
      <c r="W271" s="117"/>
      <c r="X271" s="92">
        <f>X272+X275+X280+X286</f>
        <v>18212</v>
      </c>
      <c r="Y271" s="117"/>
      <c r="Z271" s="92">
        <f>Z272+Z275+Z280+Z286</f>
        <v>9860</v>
      </c>
      <c r="AA271" s="117"/>
      <c r="AB271" s="92">
        <f>AB272+AB275+AB280+AB286</f>
        <v>9664</v>
      </c>
      <c r="AC271" s="117"/>
      <c r="AD271" s="92">
        <f>AD272+AD275+AD280+AD286</f>
        <v>9746</v>
      </c>
      <c r="AE271" s="118"/>
      <c r="AF271" s="92">
        <f>AF272+AF275+AF280+AF286</f>
        <v>13102</v>
      </c>
      <c r="AG271" s="117"/>
      <c r="AH271" s="92">
        <f>AH272+AH275+AH280+AH286</f>
        <v>9525</v>
      </c>
      <c r="AI271" s="117"/>
      <c r="AJ271" s="92">
        <f>AJ272+AJ275+AJ280+AJ286</f>
        <v>16273</v>
      </c>
      <c r="AK271" s="117"/>
      <c r="AL271" s="92">
        <f>AL272+AL275+AL280+AL286</f>
        <v>13421</v>
      </c>
      <c r="AM271" s="117"/>
      <c r="AN271" s="92">
        <f>AN272+AN275+AN280+AN286</f>
        <v>18584</v>
      </c>
      <c r="AO271" s="117"/>
      <c r="AP271" s="92">
        <f>AP272+AP275+AP280+AP286</f>
        <v>13994</v>
      </c>
      <c r="AQ271" s="117"/>
      <c r="AR271" s="92">
        <f>AR272+AR275+AR280+AR286</f>
        <v>13348</v>
      </c>
      <c r="AS271" s="117"/>
      <c r="AT271" s="140">
        <f>AT272+AT275+AT280+AT286</f>
        <v>15163</v>
      </c>
      <c r="AU271" s="117"/>
      <c r="AV271" s="92">
        <f>AV272+AV275+AV280+AV286</f>
        <v>12581.51</v>
      </c>
      <c r="AX271" s="92">
        <f>AX272+AX275+AX280+AX286</f>
        <v>18004.440000000002</v>
      </c>
      <c r="AZ271" s="92">
        <f>AZ272+AZ275+AZ280+AZ286</f>
        <v>16648.47</v>
      </c>
      <c r="BB271" s="92">
        <f>BB272+BB275+BB280+BB286</f>
        <v>11846.87</v>
      </c>
      <c r="BD271" s="92">
        <f>BD272+BD275+BD280+BD286</f>
        <v>11794.77</v>
      </c>
      <c r="BF271" s="92">
        <f>BF272+BF275+BF280+BF286</f>
        <v>14215.6</v>
      </c>
      <c r="BH271" s="92">
        <f>BH272+BH275+BH280+BH286</f>
        <v>14369</v>
      </c>
      <c r="BJ271" s="92">
        <f>BJ272+BJ275+BJ280+BJ286</f>
        <v>13640</v>
      </c>
      <c r="BK271" s="117"/>
      <c r="BL271" s="92">
        <f>BL272+BL275+BL280+BL286</f>
        <v>8840</v>
      </c>
      <c r="BM271" s="117"/>
      <c r="BN271" s="92">
        <f>BN272+BN275+BN280+BN286</f>
        <v>8840</v>
      </c>
      <c r="BO271" s="117"/>
      <c r="BP271" s="92">
        <f>BP272+BP275+BP280+BP286</f>
        <v>8840</v>
      </c>
      <c r="BQ271" s="117"/>
      <c r="BR271" s="92">
        <f>BR272+BR275+BR280+BR286</f>
        <v>8840</v>
      </c>
      <c r="BS271" s="117"/>
    </row>
    <row r="272" spans="3:71" x14ac:dyDescent="0.25">
      <c r="F272" s="4" t="s">
        <v>440</v>
      </c>
      <c r="G272" s="4"/>
      <c r="H272" s="1"/>
      <c r="T272" s="4">
        <f>SUM(T273:T274)</f>
        <v>0</v>
      </c>
      <c r="V272" s="4">
        <f>SUM(V273:V274)</f>
        <v>0</v>
      </c>
      <c r="X272" s="4">
        <f>SUM(X273:X274)</f>
        <v>0</v>
      </c>
      <c r="Z272" s="4">
        <f>SUM(Z273:Z274)</f>
        <v>0</v>
      </c>
      <c r="AB272" s="4">
        <f>SUM(AB273:AB274)</f>
        <v>0</v>
      </c>
      <c r="AD272" s="4">
        <f>SUM(AD273:AD274)</f>
        <v>0</v>
      </c>
      <c r="AF272" s="4">
        <f>SUM(AF273:AF274)</f>
        <v>0</v>
      </c>
      <c r="AH272" s="4">
        <f>SUM(AH273:AH274)</f>
        <v>0</v>
      </c>
      <c r="AJ272" s="4">
        <f>SUM(AJ273:AJ274)</f>
        <v>0</v>
      </c>
      <c r="AL272" s="4">
        <f>SUM(AL273:AL274)</f>
        <v>0</v>
      </c>
      <c r="AN272" s="4">
        <f>SUM(AN273:AN274)</f>
        <v>0</v>
      </c>
      <c r="AP272" s="4">
        <f>SUM(AP273:AP274)</f>
        <v>0</v>
      </c>
      <c r="AR272" s="4">
        <f>SUM(AR273:AR274)</f>
        <v>0</v>
      </c>
      <c r="AT272" s="121">
        <f>SUM(AT273:AT274)</f>
        <v>0</v>
      </c>
      <c r="AV272" s="4">
        <f>SUM(AV273:AV274)</f>
        <v>0</v>
      </c>
      <c r="AX272" s="4">
        <f>SUM(AX273:AX274)</f>
        <v>0</v>
      </c>
      <c r="AZ272" s="4">
        <f>SUM(AZ273:AZ274)</f>
        <v>0</v>
      </c>
      <c r="BB272" s="4">
        <f>SUM(BB273:BB274)</f>
        <v>0</v>
      </c>
      <c r="BC272" s="18"/>
      <c r="BD272" s="4">
        <f>SUM(BD273:BD274)</f>
        <v>0</v>
      </c>
      <c r="BF272" s="4">
        <f>SUM(BF273:BF274)</f>
        <v>575.6</v>
      </c>
      <c r="BH272" s="4">
        <f>SUM(BH273:BH274)</f>
        <v>0</v>
      </c>
      <c r="BJ272" s="4">
        <f>SUM(BJ273:BJ274)</f>
        <v>0</v>
      </c>
      <c r="BL272" s="4">
        <f>SUM(BL273:BL274)</f>
        <v>0</v>
      </c>
      <c r="BN272" s="4">
        <f>SUM(BN273:BN274)</f>
        <v>0</v>
      </c>
      <c r="BP272" s="4">
        <f>SUM(BP273:BP274)</f>
        <v>0</v>
      </c>
      <c r="BR272" s="4">
        <f>SUM(BR273:BR274)</f>
        <v>0</v>
      </c>
    </row>
    <row r="273" spans="6:71" s="14" customFormat="1" outlineLevel="1" x14ac:dyDescent="0.25">
      <c r="F273" s="4"/>
      <c r="H273" s="21"/>
      <c r="N273" s="19"/>
      <c r="S273" s="20"/>
      <c r="U273" s="22"/>
      <c r="W273" s="22"/>
      <c r="Y273" s="22"/>
      <c r="AA273" s="22"/>
      <c r="AC273" s="22"/>
      <c r="AE273" s="18"/>
      <c r="AG273" s="18"/>
      <c r="AH273" s="34"/>
      <c r="AI273" s="18"/>
      <c r="AJ273" s="46"/>
      <c r="AL273" s="34"/>
      <c r="AM273" s="18"/>
      <c r="AN273" s="46"/>
      <c r="AO273" s="18"/>
      <c r="AP273" s="46"/>
      <c r="AQ273" s="18"/>
      <c r="AR273" s="46"/>
      <c r="AS273" s="18"/>
      <c r="AT273" s="138"/>
      <c r="AU273" s="18"/>
      <c r="AV273" s="46"/>
      <c r="AW273" s="18"/>
      <c r="AX273" s="46"/>
      <c r="AY273" s="18"/>
      <c r="AZ273" s="46"/>
      <c r="BA273" s="22"/>
      <c r="BB273" s="34"/>
      <c r="BC273" s="18"/>
      <c r="BD273" s="46"/>
      <c r="BE273" s="18" t="s">
        <v>743</v>
      </c>
      <c r="BF273" s="34">
        <f>2878*0.2</f>
        <v>575.6</v>
      </c>
      <c r="BG273" s="18"/>
      <c r="BH273" s="34"/>
      <c r="BI273" s="18"/>
      <c r="BJ273" s="75"/>
      <c r="BK273" s="18"/>
      <c r="BL273" s="75"/>
      <c r="BM273" s="22"/>
      <c r="BN273" s="34"/>
      <c r="BO273" s="22"/>
      <c r="BP273" s="34"/>
      <c r="BQ273" s="22"/>
      <c r="BR273" s="34"/>
      <c r="BS273" s="22"/>
    </row>
    <row r="274" spans="6:71" s="14" customFormat="1" outlineLevel="1" x14ac:dyDescent="0.25">
      <c r="F274" s="4"/>
      <c r="H274" s="21"/>
      <c r="N274" s="19"/>
      <c r="S274" s="20"/>
      <c r="U274" s="22"/>
      <c r="W274" s="22"/>
      <c r="Y274" s="22"/>
      <c r="AA274" s="22"/>
      <c r="AC274" s="22"/>
      <c r="AE274" s="18"/>
      <c r="AG274" s="18"/>
      <c r="AH274" s="34"/>
      <c r="AI274" s="18"/>
      <c r="AJ274" s="46"/>
      <c r="AL274" s="34"/>
      <c r="AM274" s="18"/>
      <c r="AN274" s="46"/>
      <c r="AO274" s="18"/>
      <c r="AP274" s="46"/>
      <c r="AQ274" s="18"/>
      <c r="AR274" s="46"/>
      <c r="AS274" s="18"/>
      <c r="AT274" s="138"/>
      <c r="AU274" s="18"/>
      <c r="AV274" s="46"/>
      <c r="AW274" s="18"/>
      <c r="AX274" s="46"/>
      <c r="AY274" s="18"/>
      <c r="AZ274" s="46"/>
      <c r="BA274" s="22"/>
      <c r="BB274" s="34"/>
      <c r="BC274" s="18"/>
      <c r="BD274" s="46"/>
      <c r="BE274" s="18"/>
      <c r="BF274" s="34"/>
      <c r="BG274" s="18"/>
      <c r="BH274" s="34"/>
      <c r="BI274" s="18"/>
      <c r="BJ274" s="75"/>
      <c r="BK274" s="18"/>
      <c r="BL274" s="75"/>
      <c r="BM274" s="22"/>
      <c r="BN274" s="34"/>
      <c r="BO274" s="22"/>
      <c r="BP274" s="34"/>
      <c r="BQ274" s="22"/>
      <c r="BR274" s="34"/>
      <c r="BS274" s="22"/>
    </row>
    <row r="275" spans="6:71" x14ac:dyDescent="0.25">
      <c r="F275" s="4" t="s">
        <v>493</v>
      </c>
      <c r="G275" s="4"/>
      <c r="H275" s="1"/>
      <c r="T275" s="4">
        <f>SUM(T276:T279)</f>
        <v>3786</v>
      </c>
      <c r="V275" s="4">
        <f>SUM(V276:V279)</f>
        <v>1771</v>
      </c>
      <c r="X275" s="4">
        <f>SUM(X276:X279)</f>
        <v>4543</v>
      </c>
      <c r="Z275" s="4">
        <f>SUM(Z276:Z279)</f>
        <v>2500</v>
      </c>
      <c r="AB275" s="4">
        <f>SUM(AB276:AB279)</f>
        <v>2304</v>
      </c>
      <c r="AD275" s="4">
        <f>SUM(AD276:AD279)</f>
        <v>2386</v>
      </c>
      <c r="AF275" s="4">
        <f>SUM(AF276:AF279)</f>
        <v>3005</v>
      </c>
      <c r="AH275" s="4">
        <f>SUM(AH276:AH279)</f>
        <v>2165</v>
      </c>
      <c r="AJ275" s="4">
        <f>SUM(AJ276:AJ279)</f>
        <v>3953</v>
      </c>
      <c r="AL275" s="4">
        <f>SUM(AL276:AL279)</f>
        <v>3501</v>
      </c>
      <c r="AN275" s="4">
        <f>SUM(AN276:AN279)</f>
        <v>3739</v>
      </c>
      <c r="AP275" s="4">
        <f>SUM(AP276:AP279)</f>
        <v>2794</v>
      </c>
      <c r="AR275" s="4">
        <f>SUM(AR276:AR279)</f>
        <v>2148</v>
      </c>
      <c r="AT275" s="121">
        <f>SUM(AT276:AT279)</f>
        <v>3963</v>
      </c>
      <c r="AV275" s="4">
        <f>SUM(AV276:AV279)</f>
        <v>1381.51</v>
      </c>
      <c r="AX275" s="4">
        <f>SUM(AX276:AX279)</f>
        <v>6804.4400000000005</v>
      </c>
      <c r="AZ275" s="4">
        <f>SUM(AZ276:AZ279)</f>
        <v>5448.47</v>
      </c>
      <c r="BB275" s="4">
        <f>SUM(BB276:BB279)</f>
        <v>646.87</v>
      </c>
      <c r="BC275" s="18"/>
      <c r="BD275" s="4">
        <f>SUM(BD276:BD279)</f>
        <v>904.77</v>
      </c>
      <c r="BF275" s="4">
        <f>SUM(BF276:BF279)</f>
        <v>5000</v>
      </c>
      <c r="BH275" s="4">
        <f>SUM(BH276:BH279)</f>
        <v>5000</v>
      </c>
      <c r="BJ275" s="4">
        <f>SUM(BJ276:BJ279)</f>
        <v>5000</v>
      </c>
      <c r="BL275" s="4">
        <f>SUM(BL276:BL279)</f>
        <v>5000</v>
      </c>
      <c r="BN275" s="4">
        <f>SUM(BN276:BN279)</f>
        <v>5000</v>
      </c>
      <c r="BP275" s="4">
        <f>SUM(BP276:BP279)</f>
        <v>5000</v>
      </c>
      <c r="BR275" s="4">
        <f>SUM(BR276:BR279)</f>
        <v>5000</v>
      </c>
    </row>
    <row r="276" spans="6:71" s="58" customFormat="1" outlineLevel="1" x14ac:dyDescent="0.25">
      <c r="G276" s="4" t="s">
        <v>494</v>
      </c>
      <c r="H276" s="1"/>
      <c r="I276" s="4"/>
      <c r="S276" s="66" t="s">
        <v>495</v>
      </c>
      <c r="T276" s="75">
        <v>500</v>
      </c>
      <c r="U276" s="76"/>
      <c r="V276" s="75">
        <v>500</v>
      </c>
      <c r="W276" s="76"/>
      <c r="X276" s="75">
        <v>500</v>
      </c>
      <c r="Y276" s="76"/>
      <c r="Z276" s="75">
        <v>500</v>
      </c>
      <c r="AA276" s="76"/>
      <c r="AB276" s="34">
        <v>304</v>
      </c>
      <c r="AC276" s="52"/>
      <c r="AD276" s="34">
        <v>386</v>
      </c>
      <c r="AE276" s="52"/>
      <c r="AF276" s="34">
        <v>1005</v>
      </c>
      <c r="AG276" s="52"/>
      <c r="AH276" s="34">
        <v>165</v>
      </c>
      <c r="AI276" s="52"/>
      <c r="AJ276" s="34">
        <v>1953</v>
      </c>
      <c r="AK276" s="52"/>
      <c r="AL276" s="34">
        <v>1501</v>
      </c>
      <c r="AM276" s="52"/>
      <c r="AN276" s="34">
        <v>1739</v>
      </c>
      <c r="AO276" s="52"/>
      <c r="AP276" s="34">
        <v>794</v>
      </c>
      <c r="AQ276" s="52"/>
      <c r="AR276" s="34">
        <v>148</v>
      </c>
      <c r="AS276" s="4"/>
      <c r="AT276" s="126">
        <v>1963</v>
      </c>
      <c r="AU276" s="4"/>
      <c r="AV276" s="34">
        <v>0</v>
      </c>
      <c r="AW276" s="4"/>
      <c r="AX276" s="34">
        <v>4895.7</v>
      </c>
      <c r="AY276" s="4"/>
      <c r="AZ276" s="34">
        <v>3366.25</v>
      </c>
      <c r="BA276" s="4"/>
      <c r="BB276" s="36">
        <v>524.20000000000005</v>
      </c>
      <c r="BC276" s="31"/>
      <c r="BD276" s="36">
        <v>245.3</v>
      </c>
      <c r="BE276" s="31"/>
      <c r="BF276" s="34">
        <v>5000</v>
      </c>
      <c r="BG276" s="76"/>
      <c r="BH276" s="34">
        <v>5000</v>
      </c>
      <c r="BI276" s="52"/>
      <c r="BJ276" s="34">
        <v>5000</v>
      </c>
      <c r="BK276" s="52"/>
      <c r="BL276" s="34">
        <v>5000</v>
      </c>
      <c r="BM276" s="52"/>
      <c r="BN276" s="34">
        <v>5000</v>
      </c>
      <c r="BO276" s="52"/>
      <c r="BP276" s="34">
        <v>5000</v>
      </c>
      <c r="BQ276" s="52"/>
      <c r="BR276" s="34">
        <v>5000</v>
      </c>
      <c r="BS276" s="76"/>
    </row>
    <row r="277" spans="6:71" s="58" customFormat="1" outlineLevel="1" x14ac:dyDescent="0.25">
      <c r="G277" s="4" t="s">
        <v>496</v>
      </c>
      <c r="H277" s="1"/>
      <c r="I277" s="4"/>
      <c r="S277" s="66" t="s">
        <v>495</v>
      </c>
      <c r="T277" s="75">
        <v>0</v>
      </c>
      <c r="U277" s="76"/>
      <c r="V277" s="75">
        <v>0</v>
      </c>
      <c r="W277" s="76"/>
      <c r="X277" s="75"/>
      <c r="Y277" s="76"/>
      <c r="Z277" s="75">
        <v>500</v>
      </c>
      <c r="AA277" s="76"/>
      <c r="AB277" s="34">
        <v>500</v>
      </c>
      <c r="AC277" s="52"/>
      <c r="AD277" s="34">
        <v>500</v>
      </c>
      <c r="AE277" s="52"/>
      <c r="AF277" s="34">
        <v>500</v>
      </c>
      <c r="AG277" s="52"/>
      <c r="AH277" s="34">
        <v>500</v>
      </c>
      <c r="AI277" s="52"/>
      <c r="AJ277" s="34">
        <v>500</v>
      </c>
      <c r="AK277" s="52"/>
      <c r="AL277" s="34">
        <v>500</v>
      </c>
      <c r="AM277" s="52"/>
      <c r="AN277" s="34">
        <v>500</v>
      </c>
      <c r="AO277" s="52"/>
      <c r="AP277" s="34">
        <v>500</v>
      </c>
      <c r="AQ277" s="52"/>
      <c r="AR277" s="34">
        <v>500</v>
      </c>
      <c r="AS277" s="4"/>
      <c r="AT277" s="126">
        <v>500</v>
      </c>
      <c r="AU277" s="4"/>
      <c r="AV277" s="34">
        <f>296.97+84.54</f>
        <v>381.51000000000005</v>
      </c>
      <c r="AW277" s="4"/>
      <c r="AX277" s="34">
        <v>73.930000000000007</v>
      </c>
      <c r="AY277" s="4"/>
      <c r="AZ277" s="34">
        <v>99.3</v>
      </c>
      <c r="BA277" s="4"/>
      <c r="BB277" s="36">
        <v>0</v>
      </c>
      <c r="BC277" s="31"/>
      <c r="BD277" s="36">
        <v>173.61</v>
      </c>
      <c r="BE277" s="31"/>
      <c r="BF277" s="34">
        <v>0</v>
      </c>
      <c r="BG277" s="76"/>
      <c r="BH277" s="34">
        <v>0</v>
      </c>
      <c r="BI277" s="52"/>
      <c r="BJ277" s="34">
        <v>0</v>
      </c>
      <c r="BK277" s="52"/>
      <c r="BL277" s="34">
        <v>0</v>
      </c>
      <c r="BM277" s="52"/>
      <c r="BN277" s="34">
        <v>0</v>
      </c>
      <c r="BO277" s="52"/>
      <c r="BP277" s="34">
        <v>0</v>
      </c>
      <c r="BQ277" s="52"/>
      <c r="BR277" s="34">
        <v>0</v>
      </c>
      <c r="BS277" s="76"/>
    </row>
    <row r="278" spans="6:71" s="58" customFormat="1" outlineLevel="1" x14ac:dyDescent="0.25">
      <c r="G278" s="4" t="s">
        <v>497</v>
      </c>
      <c r="H278" s="1"/>
      <c r="I278" s="4"/>
      <c r="S278" s="66" t="s">
        <v>495</v>
      </c>
      <c r="T278" s="75">
        <f>3286</f>
        <v>3286</v>
      </c>
      <c r="U278" s="76"/>
      <c r="V278" s="75">
        <v>1271</v>
      </c>
      <c r="W278" s="76"/>
      <c r="X278" s="75">
        <v>4043</v>
      </c>
      <c r="Y278" s="76"/>
      <c r="Z278" s="75">
        <v>1500</v>
      </c>
      <c r="AA278" s="76"/>
      <c r="AB278" s="34">
        <v>1500</v>
      </c>
      <c r="AC278" s="52"/>
      <c r="AD278" s="34">
        <v>1500</v>
      </c>
      <c r="AE278" s="52"/>
      <c r="AF278" s="34">
        <v>1500</v>
      </c>
      <c r="AG278" s="52"/>
      <c r="AH278" s="34">
        <v>1500</v>
      </c>
      <c r="AI278" s="52"/>
      <c r="AJ278" s="34">
        <v>1500</v>
      </c>
      <c r="AK278" s="52"/>
      <c r="AL278" s="34">
        <v>1500</v>
      </c>
      <c r="AM278" s="52"/>
      <c r="AN278" s="34">
        <v>1500</v>
      </c>
      <c r="AO278" s="52"/>
      <c r="AP278" s="34">
        <v>1500</v>
      </c>
      <c r="AQ278" s="52"/>
      <c r="AR278" s="34">
        <v>1500</v>
      </c>
      <c r="AS278" s="4"/>
      <c r="AT278" s="126">
        <v>1500</v>
      </c>
      <c r="AU278" s="4"/>
      <c r="AV278" s="34">
        <v>1000</v>
      </c>
      <c r="AW278" s="4"/>
      <c r="AX278" s="34">
        <v>1834.81</v>
      </c>
      <c r="AY278" s="4"/>
      <c r="AZ278" s="34">
        <v>1982.92</v>
      </c>
      <c r="BA278" s="4"/>
      <c r="BB278" s="36">
        <v>122.67</v>
      </c>
      <c r="BC278" s="31"/>
      <c r="BD278" s="36">
        <v>485.86</v>
      </c>
      <c r="BE278" s="31"/>
      <c r="BF278" s="34">
        <v>0</v>
      </c>
      <c r="BG278" s="76"/>
      <c r="BH278" s="34">
        <v>0</v>
      </c>
      <c r="BI278" s="52"/>
      <c r="BJ278" s="34">
        <v>0</v>
      </c>
      <c r="BK278" s="52"/>
      <c r="BL278" s="34">
        <v>0</v>
      </c>
      <c r="BM278" s="52"/>
      <c r="BN278" s="34">
        <v>0</v>
      </c>
      <c r="BO278" s="52"/>
      <c r="BP278" s="34">
        <v>0</v>
      </c>
      <c r="BQ278" s="52"/>
      <c r="BR278" s="34">
        <v>0</v>
      </c>
      <c r="BS278" s="76"/>
    </row>
    <row r="279" spans="6:71" s="58" customFormat="1" outlineLevel="1" x14ac:dyDescent="0.25">
      <c r="G279" s="4" t="s">
        <v>498</v>
      </c>
      <c r="H279" s="1"/>
      <c r="I279" s="4"/>
      <c r="S279" s="66" t="s">
        <v>495</v>
      </c>
      <c r="T279" s="75">
        <v>0</v>
      </c>
      <c r="U279" s="76"/>
      <c r="V279" s="75">
        <v>0</v>
      </c>
      <c r="W279" s="76"/>
      <c r="X279" s="75">
        <v>0</v>
      </c>
      <c r="Y279" s="76"/>
      <c r="Z279" s="75">
        <v>0</v>
      </c>
      <c r="AA279" s="76"/>
      <c r="AB279" s="34">
        <v>0</v>
      </c>
      <c r="AC279" s="52"/>
      <c r="AD279" s="34">
        <v>0</v>
      </c>
      <c r="AE279" s="52"/>
      <c r="AF279" s="34">
        <v>0</v>
      </c>
      <c r="AG279" s="52"/>
      <c r="AH279" s="34">
        <v>0</v>
      </c>
      <c r="AI279" s="52"/>
      <c r="AJ279" s="34">
        <v>0</v>
      </c>
      <c r="AK279" s="52"/>
      <c r="AL279" s="34">
        <v>0</v>
      </c>
      <c r="AM279" s="52"/>
      <c r="AN279" s="34">
        <v>0</v>
      </c>
      <c r="AO279" s="52"/>
      <c r="AP279" s="34">
        <v>0</v>
      </c>
      <c r="AQ279" s="52"/>
      <c r="AR279" s="34">
        <v>0</v>
      </c>
      <c r="AS279" s="4"/>
      <c r="AT279" s="126">
        <v>0</v>
      </c>
      <c r="AU279" s="4"/>
      <c r="AV279" s="34">
        <v>0</v>
      </c>
      <c r="AW279" s="4"/>
      <c r="AX279" s="34">
        <v>0</v>
      </c>
      <c r="AY279" s="4"/>
      <c r="AZ279" s="34">
        <v>0</v>
      </c>
      <c r="BA279" s="4"/>
      <c r="BB279" s="36">
        <v>0</v>
      </c>
      <c r="BC279" s="31"/>
      <c r="BD279" s="36">
        <v>0</v>
      </c>
      <c r="BE279" s="31"/>
      <c r="BF279" s="34">
        <v>0</v>
      </c>
      <c r="BG279" s="76"/>
      <c r="BH279" s="34">
        <v>0</v>
      </c>
      <c r="BI279" s="52"/>
      <c r="BJ279" s="34">
        <v>0</v>
      </c>
      <c r="BK279" s="52"/>
      <c r="BL279" s="34">
        <v>0</v>
      </c>
      <c r="BM279" s="52"/>
      <c r="BN279" s="34">
        <v>0</v>
      </c>
      <c r="BO279" s="52"/>
      <c r="BP279" s="34">
        <v>0</v>
      </c>
      <c r="BQ279" s="52"/>
      <c r="BR279" s="34">
        <v>0</v>
      </c>
      <c r="BS279" s="76"/>
    </row>
    <row r="280" spans="6:71" x14ac:dyDescent="0.25">
      <c r="F280" s="4" t="s">
        <v>500</v>
      </c>
      <c r="G280" s="4"/>
      <c r="H280" s="1"/>
      <c r="T280" s="4">
        <f>SUM(T281:T285)</f>
        <v>11360</v>
      </c>
      <c r="V280" s="4">
        <f>SUM(V281:V285)</f>
        <v>7360</v>
      </c>
      <c r="X280" s="4">
        <f>SUM(X281:X285)</f>
        <v>7360</v>
      </c>
      <c r="Z280" s="4">
        <f>SUM(Z281:Z285)</f>
        <v>7360</v>
      </c>
      <c r="AB280" s="4">
        <f>SUM(AB281:AB285)</f>
        <v>7360</v>
      </c>
      <c r="AD280" s="4">
        <f>SUM(AD281:AD285)</f>
        <v>7360</v>
      </c>
      <c r="AF280" s="4">
        <f>SUM(AF281:AF285)</f>
        <v>7360</v>
      </c>
      <c r="AH280" s="4">
        <f>SUM(AH281:AH285)</f>
        <v>7360</v>
      </c>
      <c r="AJ280" s="4">
        <f>SUM(AJ281:AJ285)</f>
        <v>9920</v>
      </c>
      <c r="AL280" s="4">
        <f>SUM(AL281:AL285)</f>
        <v>9920</v>
      </c>
      <c r="AN280" s="4">
        <f>SUM(AN281:AN285)</f>
        <v>14845</v>
      </c>
      <c r="AP280" s="4">
        <f>SUM(AP281:AP285)</f>
        <v>11200</v>
      </c>
      <c r="AR280" s="4">
        <f>SUM(AR281:AR285)</f>
        <v>11200</v>
      </c>
      <c r="AT280" s="121">
        <f>SUM(AT281:AT285)</f>
        <v>11200</v>
      </c>
      <c r="AV280" s="4">
        <f>SUM(AV281:AV285)</f>
        <v>11200</v>
      </c>
      <c r="AX280" s="4">
        <f>SUM(AX281:AX285)</f>
        <v>11200</v>
      </c>
      <c r="AZ280" s="4">
        <f>SUM(AZ281:AZ285)</f>
        <v>11200</v>
      </c>
      <c r="BB280" s="4">
        <f>SUM(BB281:BB285)</f>
        <v>11200</v>
      </c>
      <c r="BC280" s="18"/>
      <c r="BD280" s="4">
        <f>SUM(BD281:BD285)</f>
        <v>10890</v>
      </c>
      <c r="BF280" s="4">
        <f>SUM(BF281:BF285)</f>
        <v>8640</v>
      </c>
      <c r="BH280" s="4">
        <f>SUM(BH281:BH285)</f>
        <v>8640</v>
      </c>
      <c r="BJ280" s="4">
        <f>SUM(BJ281:BJ285)</f>
        <v>8640</v>
      </c>
      <c r="BL280" s="4">
        <f>SUM(BL281:BL285)</f>
        <v>3840</v>
      </c>
      <c r="BN280" s="4">
        <f>SUM(BN281:BN285)</f>
        <v>3840</v>
      </c>
      <c r="BP280" s="4">
        <f>SUM(BP281:BP285)</f>
        <v>3840</v>
      </c>
      <c r="BR280" s="4">
        <f>SUM(BR281:BR285)</f>
        <v>3840</v>
      </c>
    </row>
    <row r="281" spans="6:71" s="1" customFormat="1" outlineLevel="1" x14ac:dyDescent="0.25">
      <c r="F281" s="4"/>
      <c r="G281" s="4" t="s">
        <v>501</v>
      </c>
      <c r="I281" s="14"/>
      <c r="J281" s="14"/>
      <c r="N281" s="23"/>
      <c r="R281" s="4"/>
      <c r="S281" s="16"/>
      <c r="T281" s="35">
        <v>2560</v>
      </c>
      <c r="U281" s="18"/>
      <c r="V281" s="35">
        <v>2560</v>
      </c>
      <c r="W281" s="18"/>
      <c r="X281" s="35">
        <v>2560</v>
      </c>
      <c r="Y281" s="18"/>
      <c r="Z281" s="35">
        <v>2560</v>
      </c>
      <c r="AA281" s="18"/>
      <c r="AB281" s="35">
        <v>2560</v>
      </c>
      <c r="AC281" s="18"/>
      <c r="AD281" s="35">
        <v>2560</v>
      </c>
      <c r="AE281" s="18"/>
      <c r="AF281" s="35">
        <v>2560</v>
      </c>
      <c r="AG281" s="18"/>
      <c r="AH281" s="35">
        <v>2560</v>
      </c>
      <c r="AI281" s="18"/>
      <c r="AJ281" s="45">
        <v>2560</v>
      </c>
      <c r="AK281" s="61"/>
      <c r="AL281" s="45">
        <v>2560</v>
      </c>
      <c r="AM281" s="61"/>
      <c r="AN281" s="45">
        <v>2560</v>
      </c>
      <c r="AO281" s="61"/>
      <c r="AP281" s="45">
        <v>2560</v>
      </c>
      <c r="AQ281" s="18"/>
      <c r="AR281" s="47">
        <v>2560</v>
      </c>
      <c r="AS281" s="18"/>
      <c r="AT281" s="137">
        <v>2560</v>
      </c>
      <c r="AU281" s="18"/>
      <c r="AV281" s="35">
        <v>2560</v>
      </c>
      <c r="AW281" s="18"/>
      <c r="AX281" s="35">
        <v>2560</v>
      </c>
      <c r="AY281" s="18"/>
      <c r="AZ281" s="35">
        <v>2560</v>
      </c>
      <c r="BA281" s="18"/>
      <c r="BB281" s="35">
        <v>2560</v>
      </c>
      <c r="BD281" s="35">
        <v>0</v>
      </c>
      <c r="BE281" s="18"/>
      <c r="BF281" s="35">
        <v>0</v>
      </c>
      <c r="BG281" s="18"/>
      <c r="BH281" s="35">
        <v>0</v>
      </c>
      <c r="BI281" s="18"/>
      <c r="BJ281" s="35">
        <v>0</v>
      </c>
      <c r="BK281" s="18"/>
      <c r="BL281" s="35">
        <v>0</v>
      </c>
      <c r="BM281" s="18"/>
      <c r="BN281" s="35">
        <v>0</v>
      </c>
      <c r="BO281" s="18"/>
      <c r="BP281" s="35">
        <v>0</v>
      </c>
      <c r="BQ281" s="18"/>
      <c r="BR281" s="35">
        <v>0</v>
      </c>
      <c r="BS281" s="18"/>
    </row>
    <row r="282" spans="6:71" s="1" customFormat="1" outlineLevel="1" x14ac:dyDescent="0.25">
      <c r="F282" s="4"/>
      <c r="G282" s="4" t="s">
        <v>598</v>
      </c>
      <c r="N282" s="23"/>
      <c r="R282" s="4"/>
      <c r="S282" s="16"/>
      <c r="T282" s="35">
        <v>4800</v>
      </c>
      <c r="U282" s="18"/>
      <c r="V282" s="35">
        <v>4800</v>
      </c>
      <c r="W282" s="18"/>
      <c r="X282" s="35">
        <v>4800</v>
      </c>
      <c r="Y282" s="18"/>
      <c r="Z282" s="35">
        <v>4800</v>
      </c>
      <c r="AA282" s="18"/>
      <c r="AB282" s="35">
        <v>4800</v>
      </c>
      <c r="AC282" s="18"/>
      <c r="AD282" s="45">
        <v>4800</v>
      </c>
      <c r="AE282" s="18"/>
      <c r="AF282" s="35">
        <v>4800</v>
      </c>
      <c r="AG282" s="18"/>
      <c r="AH282" s="35">
        <v>4800</v>
      </c>
      <c r="AI282" s="18"/>
      <c r="AJ282" s="45">
        <v>4800</v>
      </c>
      <c r="AK282" s="61"/>
      <c r="AL282" s="45">
        <v>4800</v>
      </c>
      <c r="AM282" s="61"/>
      <c r="AN282" s="45">
        <v>4800</v>
      </c>
      <c r="AO282" s="61"/>
      <c r="AP282" s="45">
        <v>4800</v>
      </c>
      <c r="AQ282" s="18"/>
      <c r="AR282" s="47">
        <v>4800</v>
      </c>
      <c r="AS282" s="18"/>
      <c r="AT282" s="137">
        <v>4800</v>
      </c>
      <c r="AU282" s="18"/>
      <c r="AV282" s="35">
        <v>4800</v>
      </c>
      <c r="AW282" s="18"/>
      <c r="AX282" s="35">
        <v>4800</v>
      </c>
      <c r="AY282" s="18"/>
      <c r="AZ282" s="35">
        <v>4800</v>
      </c>
      <c r="BA282" s="18"/>
      <c r="BB282" s="35">
        <v>4800</v>
      </c>
      <c r="BC282" s="18"/>
      <c r="BD282" s="35">
        <v>4800</v>
      </c>
      <c r="BE282" s="18"/>
      <c r="BF282" s="35">
        <v>4800</v>
      </c>
      <c r="BG282" s="18"/>
      <c r="BH282" s="35">
        <v>4800</v>
      </c>
      <c r="BI282" s="18"/>
      <c r="BJ282" s="35">
        <v>4800</v>
      </c>
      <c r="BK282" s="18"/>
      <c r="BL282" s="35">
        <v>0</v>
      </c>
      <c r="BM282" s="18"/>
      <c r="BN282" s="35">
        <v>0</v>
      </c>
      <c r="BO282" s="18"/>
      <c r="BP282" s="35">
        <v>0</v>
      </c>
      <c r="BQ282" s="18"/>
      <c r="BR282" s="35">
        <v>0</v>
      </c>
      <c r="BS282" s="18"/>
    </row>
    <row r="283" spans="6:71" s="1" customFormat="1" outlineLevel="1" x14ac:dyDescent="0.25">
      <c r="F283" s="4"/>
      <c r="G283" s="4" t="s">
        <v>502</v>
      </c>
      <c r="N283" s="23"/>
      <c r="R283" s="4"/>
      <c r="S283" s="16"/>
      <c r="T283" s="35">
        <v>0</v>
      </c>
      <c r="U283" s="18"/>
      <c r="V283" s="35">
        <v>0</v>
      </c>
      <c r="W283" s="18"/>
      <c r="X283" s="35">
        <v>0</v>
      </c>
      <c r="Y283" s="18"/>
      <c r="Z283" s="35">
        <v>0</v>
      </c>
      <c r="AA283" s="18"/>
      <c r="AB283" s="35">
        <v>0</v>
      </c>
      <c r="AC283" s="18"/>
      <c r="AD283" s="35">
        <v>0</v>
      </c>
      <c r="AE283" s="18"/>
      <c r="AF283" s="35">
        <v>0</v>
      </c>
      <c r="AG283" s="18"/>
      <c r="AH283" s="35">
        <v>0</v>
      </c>
      <c r="AI283" s="18"/>
      <c r="AJ283" s="45">
        <f>16*160</f>
        <v>2560</v>
      </c>
      <c r="AK283" s="61"/>
      <c r="AL283" s="45">
        <f>16*160</f>
        <v>2560</v>
      </c>
      <c r="AM283" s="61"/>
      <c r="AN283" s="45">
        <v>0</v>
      </c>
      <c r="AO283" s="61"/>
      <c r="AP283" s="45">
        <v>0</v>
      </c>
      <c r="AQ283" s="18"/>
      <c r="AR283" s="47">
        <v>0</v>
      </c>
      <c r="AS283" s="18"/>
      <c r="AT283" s="137">
        <v>0</v>
      </c>
      <c r="AU283" s="18"/>
      <c r="AV283" s="35">
        <v>0</v>
      </c>
      <c r="AW283" s="18"/>
      <c r="AX283" s="35">
        <v>0</v>
      </c>
      <c r="AY283" s="18"/>
      <c r="AZ283" s="35">
        <v>0</v>
      </c>
      <c r="BA283" s="18"/>
      <c r="BB283" s="35">
        <v>0</v>
      </c>
      <c r="BD283" s="35">
        <v>0</v>
      </c>
      <c r="BE283" s="18"/>
      <c r="BF283" s="35">
        <v>0</v>
      </c>
      <c r="BG283" s="18"/>
      <c r="BH283" s="35">
        <v>0</v>
      </c>
      <c r="BI283" s="18"/>
      <c r="BJ283" s="35">
        <v>0</v>
      </c>
      <c r="BK283" s="18"/>
      <c r="BL283" s="35">
        <v>0</v>
      </c>
      <c r="BM283" s="18"/>
      <c r="BN283" s="35">
        <v>0</v>
      </c>
      <c r="BO283" s="18"/>
      <c r="BP283" s="35">
        <v>0</v>
      </c>
      <c r="BQ283" s="18"/>
      <c r="BR283" s="35">
        <v>0</v>
      </c>
      <c r="BS283" s="18"/>
    </row>
    <row r="284" spans="6:71" s="1" customFormat="1" outlineLevel="1" x14ac:dyDescent="0.25">
      <c r="F284" s="4"/>
      <c r="G284" s="4" t="s">
        <v>503</v>
      </c>
      <c r="N284" s="23"/>
      <c r="R284" s="4"/>
      <c r="S284" s="16"/>
      <c r="T284" s="35">
        <v>0</v>
      </c>
      <c r="U284" s="18"/>
      <c r="V284" s="35">
        <v>0</v>
      </c>
      <c r="W284" s="18"/>
      <c r="X284" s="35">
        <v>0</v>
      </c>
      <c r="Y284" s="18"/>
      <c r="Z284" s="35">
        <v>0</v>
      </c>
      <c r="AA284" s="18"/>
      <c r="AB284" s="35">
        <v>0</v>
      </c>
      <c r="AC284" s="18"/>
      <c r="AD284" s="35">
        <v>0</v>
      </c>
      <c r="AE284" s="18"/>
      <c r="AF284" s="35">
        <v>0</v>
      </c>
      <c r="AG284" s="18"/>
      <c r="AH284" s="35">
        <v>0</v>
      </c>
      <c r="AI284" s="18"/>
      <c r="AJ284" s="45">
        <v>0</v>
      </c>
      <c r="AK284" s="61"/>
      <c r="AL284" s="45">
        <v>0</v>
      </c>
      <c r="AM284" s="61"/>
      <c r="AN284" s="45">
        <f>23*80</f>
        <v>1840</v>
      </c>
      <c r="AO284" s="61"/>
      <c r="AP284" s="45">
        <f>24*160</f>
        <v>3840</v>
      </c>
      <c r="AQ284" s="18"/>
      <c r="AR284" s="47">
        <f>24*160</f>
        <v>3840</v>
      </c>
      <c r="AS284" s="18"/>
      <c r="AT284" s="137">
        <f>24*160</f>
        <v>3840</v>
      </c>
      <c r="AU284" s="18"/>
      <c r="AV284" s="35">
        <f>24*160</f>
        <v>3840</v>
      </c>
      <c r="AW284" s="18"/>
      <c r="AX284" s="35">
        <f>24*160</f>
        <v>3840</v>
      </c>
      <c r="AY284" s="18"/>
      <c r="AZ284" s="35">
        <f>24*160</f>
        <v>3840</v>
      </c>
      <c r="BA284" s="18"/>
      <c r="BB284" s="35">
        <f>24*160</f>
        <v>3840</v>
      </c>
      <c r="BD284" s="35">
        <f>24*160</f>
        <v>3840</v>
      </c>
      <c r="BE284" s="18"/>
      <c r="BF284" s="35">
        <f>24*160</f>
        <v>3840</v>
      </c>
      <c r="BG284" s="18"/>
      <c r="BH284" s="35">
        <f>24*160</f>
        <v>3840</v>
      </c>
      <c r="BI284" s="18"/>
      <c r="BJ284" s="35">
        <f>24*160</f>
        <v>3840</v>
      </c>
      <c r="BK284" s="18"/>
      <c r="BL284" s="35">
        <f>24*160</f>
        <v>3840</v>
      </c>
      <c r="BM284" s="18"/>
      <c r="BN284" s="35">
        <f>24*160</f>
        <v>3840</v>
      </c>
      <c r="BO284" s="18"/>
      <c r="BP284" s="35">
        <f>24*160</f>
        <v>3840</v>
      </c>
      <c r="BQ284" s="18"/>
      <c r="BR284" s="35">
        <f>24*160</f>
        <v>3840</v>
      </c>
      <c r="BS284" s="18"/>
    </row>
    <row r="285" spans="6:71" s="1" customFormat="1" outlineLevel="1" x14ac:dyDescent="0.25">
      <c r="F285" s="4"/>
      <c r="G285" s="4" t="s">
        <v>504</v>
      </c>
      <c r="N285" s="23"/>
      <c r="R285" s="4"/>
      <c r="S285" s="16" t="s">
        <v>505</v>
      </c>
      <c r="T285" s="35">
        <v>4000</v>
      </c>
      <c r="U285" s="18"/>
      <c r="V285" s="35">
        <v>0</v>
      </c>
      <c r="W285" s="18"/>
      <c r="X285" s="35">
        <v>0</v>
      </c>
      <c r="Y285" s="18"/>
      <c r="Z285" s="35">
        <v>0</v>
      </c>
      <c r="AA285" s="18"/>
      <c r="AB285" s="35">
        <v>0</v>
      </c>
      <c r="AC285" s="18"/>
      <c r="AD285" s="35">
        <v>0</v>
      </c>
      <c r="AE285" s="18"/>
      <c r="AF285" s="35">
        <v>0</v>
      </c>
      <c r="AG285" s="18"/>
      <c r="AH285" s="35">
        <v>0</v>
      </c>
      <c r="AI285" s="18"/>
      <c r="AJ285" s="35">
        <v>0</v>
      </c>
      <c r="AK285" s="18"/>
      <c r="AL285" s="35">
        <v>0</v>
      </c>
      <c r="AM285" s="18" t="s">
        <v>506</v>
      </c>
      <c r="AN285" s="45">
        <v>5645</v>
      </c>
      <c r="AO285" s="18"/>
      <c r="AP285" s="35">
        <v>0</v>
      </c>
      <c r="AQ285" s="18"/>
      <c r="AR285" s="35">
        <v>0</v>
      </c>
      <c r="AS285" s="18"/>
      <c r="AT285" s="137">
        <v>0</v>
      </c>
      <c r="AU285" s="18"/>
      <c r="AV285" s="35">
        <v>0</v>
      </c>
      <c r="AW285" s="18"/>
      <c r="AX285" s="35">
        <v>0</v>
      </c>
      <c r="AY285" s="18"/>
      <c r="AZ285" s="35">
        <v>0</v>
      </c>
      <c r="BA285" s="18"/>
      <c r="BB285" s="35">
        <v>0</v>
      </c>
      <c r="BC285" s="18" t="s">
        <v>507</v>
      </c>
      <c r="BD285" s="45">
        <f>1500*1.5</f>
        <v>2250</v>
      </c>
      <c r="BE285" s="18"/>
      <c r="BF285" s="35">
        <v>0</v>
      </c>
      <c r="BG285" s="18"/>
      <c r="BH285" s="35">
        <v>0</v>
      </c>
      <c r="BI285" s="18"/>
      <c r="BJ285" s="35">
        <v>0</v>
      </c>
      <c r="BK285" s="18"/>
      <c r="BL285" s="35">
        <v>0</v>
      </c>
      <c r="BM285" s="18"/>
      <c r="BN285" s="35">
        <v>0</v>
      </c>
      <c r="BO285" s="18"/>
      <c r="BP285" s="35">
        <v>0</v>
      </c>
      <c r="BQ285" s="18"/>
      <c r="BR285" s="35">
        <v>0</v>
      </c>
      <c r="BS285" s="18"/>
    </row>
    <row r="286" spans="6:71" s="1" customFormat="1" x14ac:dyDescent="0.25">
      <c r="F286" s="4" t="s">
        <v>541</v>
      </c>
      <c r="G286" s="4"/>
      <c r="N286" s="23"/>
      <c r="S286" s="18"/>
      <c r="T286" s="1">
        <f>SUM(T287:T288)</f>
        <v>0</v>
      </c>
      <c r="U286" s="18"/>
      <c r="V286" s="1">
        <f>SUM(V287:V288)</f>
        <v>0</v>
      </c>
      <c r="W286" s="18"/>
      <c r="X286" s="1">
        <f>SUM(X287:X288)</f>
        <v>6309</v>
      </c>
      <c r="Y286" s="18"/>
      <c r="Z286" s="1">
        <f>SUM(Z287:Z288)</f>
        <v>0</v>
      </c>
      <c r="AA286" s="18"/>
      <c r="AB286" s="1">
        <f>SUM(AB287:AB288)</f>
        <v>0</v>
      </c>
      <c r="AC286" s="18"/>
      <c r="AD286" s="1">
        <f>SUM(AD287:AD288)</f>
        <v>0</v>
      </c>
      <c r="AE286" s="18"/>
      <c r="AF286" s="1">
        <f>SUM(AF287:AF288)</f>
        <v>2737</v>
      </c>
      <c r="AG286" s="18"/>
      <c r="AH286" s="1">
        <f>SUM(AH287:AH288)</f>
        <v>0</v>
      </c>
      <c r="AI286" s="18"/>
      <c r="AJ286" s="1">
        <f>SUM(AJ287:AJ288)</f>
        <v>2400</v>
      </c>
      <c r="AK286" s="18"/>
      <c r="AL286" s="1">
        <f>SUM(AL287:AL288)</f>
        <v>0</v>
      </c>
      <c r="AM286" s="18"/>
      <c r="AN286" s="1">
        <f>SUM(AN287:AN288)</f>
        <v>0</v>
      </c>
      <c r="AO286" s="18"/>
      <c r="AP286" s="1">
        <f>SUM(AP287:AP288)</f>
        <v>0</v>
      </c>
      <c r="AQ286" s="18"/>
      <c r="AR286" s="1">
        <f>SUM(AR287:AR288)</f>
        <v>0</v>
      </c>
      <c r="AS286" s="18"/>
      <c r="AT286" s="129">
        <f>SUM(AT287:AT288)</f>
        <v>0</v>
      </c>
      <c r="AU286" s="18"/>
      <c r="AV286" s="1">
        <f>SUM(AV287:AV288)</f>
        <v>0</v>
      </c>
      <c r="AW286" s="18"/>
      <c r="AX286" s="1">
        <f>SUM(AX287:AX288)</f>
        <v>0</v>
      </c>
      <c r="AY286" s="18"/>
      <c r="AZ286" s="1">
        <f>SUM(AZ287:AZ288)</f>
        <v>0</v>
      </c>
      <c r="BA286" s="18"/>
      <c r="BB286" s="1">
        <f>SUM(BB287:BB288)</f>
        <v>0</v>
      </c>
      <c r="BC286" s="18"/>
      <c r="BD286" s="1">
        <f>SUM(BD287:BD288)</f>
        <v>0</v>
      </c>
      <c r="BE286" s="18"/>
      <c r="BF286" s="1">
        <f>SUM(BF287:BF288)</f>
        <v>0</v>
      </c>
      <c r="BG286" s="18"/>
      <c r="BH286" s="1">
        <f>SUM(BH287:BH288)</f>
        <v>729</v>
      </c>
      <c r="BI286" s="18"/>
      <c r="BJ286" s="1">
        <f>SUM(BJ287:BJ288)</f>
        <v>0</v>
      </c>
      <c r="BK286" s="18"/>
      <c r="BL286" s="1">
        <f>SUM(BL287:BL288)</f>
        <v>0</v>
      </c>
      <c r="BM286" s="18"/>
      <c r="BN286" s="1">
        <f>SUM(BN287:BN288)</f>
        <v>0</v>
      </c>
      <c r="BO286" s="18"/>
      <c r="BP286" s="1">
        <f>SUM(BP287:BP288)</f>
        <v>0</v>
      </c>
      <c r="BQ286" s="18"/>
      <c r="BR286" s="1">
        <f>SUM(BR287:BR288)</f>
        <v>0</v>
      </c>
      <c r="BS286" s="18"/>
    </row>
    <row r="287" spans="6:71" s="95" customFormat="1" outlineLevel="1" x14ac:dyDescent="0.25">
      <c r="F287" s="58"/>
      <c r="G287" s="58" t="s">
        <v>546</v>
      </c>
      <c r="R287" s="58"/>
      <c r="S287" s="66"/>
      <c r="T287" s="91">
        <v>0</v>
      </c>
      <c r="U287" s="76"/>
      <c r="V287" s="91">
        <v>0</v>
      </c>
      <c r="W287" s="76"/>
      <c r="X287" s="91">
        <v>0</v>
      </c>
      <c r="Y287" s="76"/>
      <c r="Z287" s="91">
        <v>0</v>
      </c>
      <c r="AA287" s="76"/>
      <c r="AB287" s="91">
        <v>0</v>
      </c>
      <c r="AC287" s="76"/>
      <c r="AD287" s="91">
        <v>0</v>
      </c>
      <c r="AE287" s="76" t="s">
        <v>55</v>
      </c>
      <c r="AF287" s="91">
        <v>2737</v>
      </c>
      <c r="AG287" s="76"/>
      <c r="AH287" s="91">
        <v>0</v>
      </c>
      <c r="AI287" s="76" t="s">
        <v>55</v>
      </c>
      <c r="AJ287" s="91">
        <v>2400</v>
      </c>
      <c r="AK287" s="76"/>
      <c r="AL287" s="91">
        <v>0</v>
      </c>
      <c r="AM287" s="76"/>
      <c r="AN287" s="91">
        <v>0</v>
      </c>
      <c r="AO287" s="76"/>
      <c r="AP287" s="91">
        <v>0</v>
      </c>
      <c r="AQ287" s="76"/>
      <c r="AR287" s="91">
        <v>0</v>
      </c>
      <c r="AS287" s="76"/>
      <c r="AT287" s="143">
        <v>0</v>
      </c>
      <c r="AU287" s="76"/>
      <c r="AV287" s="91">
        <v>0</v>
      </c>
      <c r="AW287" s="76"/>
      <c r="AX287" s="91">
        <v>0</v>
      </c>
      <c r="AY287" s="76"/>
      <c r="AZ287" s="91">
        <v>0</v>
      </c>
      <c r="BA287" s="76"/>
      <c r="BB287" s="91">
        <v>0</v>
      </c>
      <c r="BC287" s="76"/>
      <c r="BD287" s="91">
        <v>0</v>
      </c>
      <c r="BE287" s="76"/>
      <c r="BF287" s="91">
        <v>0</v>
      </c>
      <c r="BG287" s="76"/>
      <c r="BH287" s="91">
        <v>0</v>
      </c>
      <c r="BI287" s="76"/>
      <c r="BJ287" s="91">
        <v>0</v>
      </c>
      <c r="BK287" s="76"/>
      <c r="BL287" s="91">
        <v>0</v>
      </c>
      <c r="BM287" s="76"/>
      <c r="BN287" s="91">
        <v>0</v>
      </c>
      <c r="BO287" s="76"/>
      <c r="BP287" s="91">
        <v>0</v>
      </c>
      <c r="BQ287" s="76"/>
      <c r="BR287" s="91">
        <v>0</v>
      </c>
      <c r="BS287" s="76"/>
    </row>
    <row r="288" spans="6:71" s="63" customFormat="1" outlineLevel="1" x14ac:dyDescent="0.25">
      <c r="F288" s="62"/>
      <c r="G288" s="62" t="s">
        <v>553</v>
      </c>
      <c r="R288" s="62"/>
      <c r="S288" s="80"/>
      <c r="T288" s="39">
        <v>0</v>
      </c>
      <c r="U288" s="64"/>
      <c r="V288" s="39">
        <v>0</v>
      </c>
      <c r="W288" s="64"/>
      <c r="X288" s="39">
        <v>6309</v>
      </c>
      <c r="Y288" s="64"/>
      <c r="Z288" s="39">
        <v>0</v>
      </c>
      <c r="AA288" s="64"/>
      <c r="AB288" s="39">
        <v>0</v>
      </c>
      <c r="AC288" s="64"/>
      <c r="AD288" s="39">
        <v>0</v>
      </c>
      <c r="AE288" s="64"/>
      <c r="AF288" s="39">
        <v>0</v>
      </c>
      <c r="AG288" s="64"/>
      <c r="AH288" s="39">
        <v>0</v>
      </c>
      <c r="AI288" s="64"/>
      <c r="AJ288" s="39">
        <v>0</v>
      </c>
      <c r="AK288" s="64"/>
      <c r="AL288" s="39">
        <v>0</v>
      </c>
      <c r="AM288" s="64"/>
      <c r="AN288" s="39">
        <v>0</v>
      </c>
      <c r="AO288" s="64"/>
      <c r="AP288" s="39">
        <v>0</v>
      </c>
      <c r="AQ288" s="64"/>
      <c r="AR288" s="39">
        <v>0</v>
      </c>
      <c r="AS288" s="64"/>
      <c r="AT288" s="142">
        <v>0</v>
      </c>
      <c r="AU288" s="64"/>
      <c r="AV288" s="39">
        <v>0</v>
      </c>
      <c r="AW288" s="64"/>
      <c r="AX288" s="39">
        <v>0</v>
      </c>
      <c r="AY288" s="64"/>
      <c r="AZ288" s="39">
        <v>0</v>
      </c>
      <c r="BA288" s="64"/>
      <c r="BB288" s="39">
        <v>0</v>
      </c>
      <c r="BC288" s="64"/>
      <c r="BD288" s="39">
        <v>0</v>
      </c>
      <c r="BE288" s="64"/>
      <c r="BF288" s="39">
        <v>0</v>
      </c>
      <c r="BG288" s="64"/>
      <c r="BH288" s="39">
        <f>81+405+243</f>
        <v>729</v>
      </c>
      <c r="BI288" s="64"/>
      <c r="BJ288" s="39">
        <v>0</v>
      </c>
      <c r="BK288" s="64"/>
      <c r="BL288" s="39">
        <v>0</v>
      </c>
      <c r="BM288" s="64"/>
      <c r="BN288" s="39">
        <v>0</v>
      </c>
      <c r="BO288" s="64"/>
      <c r="BP288" s="39">
        <v>0</v>
      </c>
      <c r="BQ288" s="64"/>
      <c r="BR288" s="39">
        <v>0</v>
      </c>
      <c r="BS288" s="64"/>
    </row>
    <row r="289" spans="3:71" s="63" customFormat="1" x14ac:dyDescent="0.25">
      <c r="AT289" s="145"/>
    </row>
    <row r="290" spans="3:71" s="92" customFormat="1" x14ac:dyDescent="0.25">
      <c r="C290" s="107"/>
      <c r="E290" s="92" t="s">
        <v>739</v>
      </c>
      <c r="G290" s="115"/>
      <c r="N290" s="108"/>
      <c r="R290" s="107"/>
      <c r="S290" s="116"/>
      <c r="T290" s="92">
        <f>T291</f>
        <v>3000</v>
      </c>
      <c r="U290" s="117"/>
      <c r="V290" s="92">
        <f>V291</f>
        <v>3000</v>
      </c>
      <c r="W290" s="117"/>
      <c r="X290" s="92">
        <f>X291</f>
        <v>6309</v>
      </c>
      <c r="Y290" s="117"/>
      <c r="Z290" s="92">
        <f>Z291</f>
        <v>300</v>
      </c>
      <c r="AA290" s="117"/>
      <c r="AB290" s="92">
        <f>AB291</f>
        <v>300</v>
      </c>
      <c r="AC290" s="117"/>
      <c r="AD290" s="92">
        <f>AD291</f>
        <v>1200</v>
      </c>
      <c r="AE290" s="118"/>
      <c r="AF290" s="92">
        <f>AF291</f>
        <v>300</v>
      </c>
      <c r="AG290" s="117"/>
      <c r="AH290" s="92">
        <f>AH291</f>
        <v>800</v>
      </c>
      <c r="AI290" s="117"/>
      <c r="AJ290" s="92">
        <f>AJ291</f>
        <v>1200</v>
      </c>
      <c r="AK290" s="117"/>
      <c r="AL290" s="92">
        <f>AL291</f>
        <v>300</v>
      </c>
      <c r="AM290" s="117"/>
      <c r="AN290" s="92">
        <f>AN291</f>
        <v>0</v>
      </c>
      <c r="AO290" s="117"/>
      <c r="AP290" s="92">
        <f>AP291</f>
        <v>300</v>
      </c>
      <c r="AQ290" s="117"/>
      <c r="AR290" s="92">
        <f>AR291</f>
        <v>1800</v>
      </c>
      <c r="AS290" s="117"/>
      <c r="AT290" s="140">
        <f>AT291</f>
        <v>1600</v>
      </c>
      <c r="AU290" s="117"/>
      <c r="AV290" s="92">
        <f>AV291</f>
        <v>1977.27</v>
      </c>
      <c r="AX290" s="92">
        <f>AX291</f>
        <v>3404.2262809917356</v>
      </c>
      <c r="AZ290" s="92">
        <f>AZ291</f>
        <v>1199.2</v>
      </c>
      <c r="BB290" s="92">
        <f>BB291</f>
        <v>2896.7</v>
      </c>
      <c r="BD290" s="92">
        <f>BD291</f>
        <v>1705</v>
      </c>
      <c r="BF290" s="92">
        <f>BF291</f>
        <v>1300</v>
      </c>
      <c r="BH290" s="92">
        <f>BH291</f>
        <v>1434</v>
      </c>
      <c r="BJ290" s="92">
        <f>BJ291</f>
        <v>300</v>
      </c>
      <c r="BK290" s="117"/>
      <c r="BL290" s="92">
        <f>BL291</f>
        <v>300</v>
      </c>
      <c r="BM290" s="117"/>
      <c r="BN290" s="92">
        <f>BN291</f>
        <v>300</v>
      </c>
      <c r="BO290" s="117"/>
      <c r="BP290" s="92">
        <f>BP291</f>
        <v>300</v>
      </c>
      <c r="BQ290" s="117"/>
      <c r="BR290" s="92">
        <f>BR291</f>
        <v>300</v>
      </c>
      <c r="BS290" s="117"/>
    </row>
    <row r="291" spans="3:71" s="1" customFormat="1" x14ac:dyDescent="0.25">
      <c r="F291" s="4" t="s">
        <v>541</v>
      </c>
      <c r="G291" s="4"/>
      <c r="N291" s="23"/>
      <c r="S291" s="18"/>
      <c r="T291" s="1">
        <f>SUM(T292:T296)</f>
        <v>3000</v>
      </c>
      <c r="U291" s="18"/>
      <c r="V291" s="1">
        <f>SUM(V292:V296)</f>
        <v>3000</v>
      </c>
      <c r="W291" s="18"/>
      <c r="X291" s="1">
        <f>SUM(X292:X296)</f>
        <v>6309</v>
      </c>
      <c r="Y291" s="18"/>
      <c r="Z291" s="1">
        <f>SUM(Z292:Z296)</f>
        <v>300</v>
      </c>
      <c r="AA291" s="18"/>
      <c r="AB291" s="1">
        <f>SUM(AB292:AB296)</f>
        <v>300</v>
      </c>
      <c r="AC291" s="18"/>
      <c r="AD291" s="1">
        <f>SUM(AD292:AD296)</f>
        <v>1200</v>
      </c>
      <c r="AE291" s="18"/>
      <c r="AF291" s="1">
        <f>SUM(AF292:AF296)</f>
        <v>300</v>
      </c>
      <c r="AG291" s="18"/>
      <c r="AH291" s="1">
        <f>SUM(AH292:AH296)</f>
        <v>800</v>
      </c>
      <c r="AI291" s="18"/>
      <c r="AJ291" s="1">
        <f>SUM(AJ292:AJ296)</f>
        <v>1200</v>
      </c>
      <c r="AK291" s="18"/>
      <c r="AL291" s="1">
        <f>SUM(AL292:AL296)</f>
        <v>300</v>
      </c>
      <c r="AM291" s="18"/>
      <c r="AN291" s="1">
        <f>SUM(AN292:AN296)</f>
        <v>0</v>
      </c>
      <c r="AO291" s="18"/>
      <c r="AP291" s="1">
        <f>SUM(AP292:AP296)</f>
        <v>300</v>
      </c>
      <c r="AQ291" s="18"/>
      <c r="AR291" s="1">
        <f>SUM(AR292:AR296)</f>
        <v>1800</v>
      </c>
      <c r="AS291" s="18"/>
      <c r="AT291" s="129">
        <f>SUM(AT292:AT296)</f>
        <v>1600</v>
      </c>
      <c r="AU291" s="18"/>
      <c r="AV291" s="1">
        <f>SUM(AV292:AV296)</f>
        <v>1977.27</v>
      </c>
      <c r="AW291" s="18"/>
      <c r="AX291" s="1">
        <f>SUM(AX292:AX296)</f>
        <v>3404.2262809917356</v>
      </c>
      <c r="AY291" s="18"/>
      <c r="AZ291" s="1">
        <f>SUM(AZ292:AZ296)</f>
        <v>1199.2</v>
      </c>
      <c r="BA291" s="18"/>
      <c r="BB291" s="1">
        <f>SUM(BB292:BB296)</f>
        <v>2896.7</v>
      </c>
      <c r="BC291" s="18"/>
      <c r="BD291" s="1">
        <f>SUM(BD292:BD296)</f>
        <v>1705</v>
      </c>
      <c r="BE291" s="18"/>
      <c r="BF291" s="1">
        <f>SUM(BF292:BF296)</f>
        <v>1300</v>
      </c>
      <c r="BG291" s="18"/>
      <c r="BH291" s="1">
        <f>SUM(BH292:BH296)</f>
        <v>1434</v>
      </c>
      <c r="BI291" s="18"/>
      <c r="BJ291" s="1">
        <f>SUM(BJ292:BJ296)</f>
        <v>300</v>
      </c>
      <c r="BK291" s="18"/>
      <c r="BL291" s="1">
        <f>SUM(BL292:BL296)</f>
        <v>300</v>
      </c>
      <c r="BM291" s="18"/>
      <c r="BN291" s="1">
        <f>SUM(BN292:BN296)</f>
        <v>300</v>
      </c>
      <c r="BO291" s="18"/>
      <c r="BP291" s="1">
        <f>SUM(BP292:BP296)</f>
        <v>300</v>
      </c>
      <c r="BQ291" s="18"/>
      <c r="BR291" s="1">
        <f>SUM(BR292:BR296)</f>
        <v>300</v>
      </c>
      <c r="BS291" s="18"/>
    </row>
    <row r="292" spans="3:71" s="95" customFormat="1" outlineLevel="1" x14ac:dyDescent="0.25">
      <c r="F292" s="58"/>
      <c r="G292" s="58" t="s">
        <v>549</v>
      </c>
      <c r="R292" s="58"/>
      <c r="S292" s="66"/>
      <c r="T292" s="91">
        <v>0</v>
      </c>
      <c r="U292" s="76"/>
      <c r="V292" s="91">
        <v>0</v>
      </c>
      <c r="W292" s="76"/>
      <c r="X292" s="91">
        <v>6309</v>
      </c>
      <c r="Y292" s="76"/>
      <c r="Z292" s="91">
        <v>0</v>
      </c>
      <c r="AA292" s="76"/>
      <c r="AB292" s="91">
        <v>0</v>
      </c>
      <c r="AC292" s="76" t="s">
        <v>550</v>
      </c>
      <c r="AD292" s="91">
        <v>900</v>
      </c>
      <c r="AE292" s="76"/>
      <c r="AF292" s="91">
        <v>0</v>
      </c>
      <c r="AG292" s="76"/>
      <c r="AH292" s="91">
        <v>0</v>
      </c>
      <c r="AI292" s="76" t="s">
        <v>550</v>
      </c>
      <c r="AJ292" s="91">
        <v>900</v>
      </c>
      <c r="AK292" s="76"/>
      <c r="AL292" s="91">
        <v>0</v>
      </c>
      <c r="AM292" s="76"/>
      <c r="AN292" s="91">
        <v>0</v>
      </c>
      <c r="AO292" s="76"/>
      <c r="AP292" s="91">
        <v>0</v>
      </c>
      <c r="AQ292" s="76"/>
      <c r="AR292" s="91">
        <v>0</v>
      </c>
      <c r="AS292" s="76"/>
      <c r="AT292" s="143">
        <v>0</v>
      </c>
      <c r="AU292" s="76" t="s">
        <v>551</v>
      </c>
      <c r="AV292" s="91">
        <f>500.94/1.21</f>
        <v>414</v>
      </c>
      <c r="AW292" s="76" t="s">
        <v>551</v>
      </c>
      <c r="AX292" s="91">
        <f>1000/1.21</f>
        <v>826.44628099173553</v>
      </c>
      <c r="AY292" s="76"/>
      <c r="AZ292" s="91">
        <v>0</v>
      </c>
      <c r="BA292" s="76" t="s">
        <v>551</v>
      </c>
      <c r="BB292" s="91">
        <v>1134</v>
      </c>
      <c r="BC292" s="76"/>
      <c r="BD292" s="91">
        <v>0</v>
      </c>
      <c r="BE292" s="76" t="s">
        <v>552</v>
      </c>
      <c r="BF292" s="91">
        <v>1000</v>
      </c>
      <c r="BG292" s="64" t="s">
        <v>551</v>
      </c>
      <c r="BH292" s="39">
        <v>1134</v>
      </c>
      <c r="BI292" s="76"/>
      <c r="BJ292" s="91">
        <v>0</v>
      </c>
      <c r="BK292" s="76"/>
      <c r="BL292" s="91">
        <v>0</v>
      </c>
      <c r="BM292" s="76"/>
      <c r="BN292" s="91">
        <v>0</v>
      </c>
      <c r="BO292" s="76"/>
      <c r="BP292" s="91">
        <v>0</v>
      </c>
      <c r="BQ292" s="76"/>
      <c r="BR292" s="91">
        <v>0</v>
      </c>
      <c r="BS292" s="76"/>
    </row>
    <row r="293" spans="3:71" s="95" customFormat="1" outlineLevel="1" x14ac:dyDescent="0.25">
      <c r="F293" s="58"/>
      <c r="G293" s="58" t="s">
        <v>547</v>
      </c>
      <c r="R293" s="58"/>
      <c r="S293" s="66" t="s">
        <v>544</v>
      </c>
      <c r="T293" s="91">
        <v>3000</v>
      </c>
      <c r="U293" s="66" t="s">
        <v>544</v>
      </c>
      <c r="V293" s="91">
        <v>3000</v>
      </c>
      <c r="W293" s="76"/>
      <c r="X293" s="91">
        <v>0</v>
      </c>
      <c r="Y293" s="76"/>
      <c r="Z293" s="91">
        <v>0</v>
      </c>
      <c r="AA293" s="76"/>
      <c r="AB293" s="91">
        <v>0</v>
      </c>
      <c r="AC293" s="76"/>
      <c r="AD293" s="91">
        <v>0</v>
      </c>
      <c r="AE293" s="76" t="s">
        <v>132</v>
      </c>
      <c r="AF293" s="91">
        <v>0</v>
      </c>
      <c r="AG293" s="76"/>
      <c r="AH293" s="91">
        <v>0</v>
      </c>
      <c r="AI293" s="76"/>
      <c r="AJ293" s="91">
        <v>0</v>
      </c>
      <c r="AK293" s="76"/>
      <c r="AL293" s="91">
        <v>0</v>
      </c>
      <c r="AM293" s="76"/>
      <c r="AN293" s="91">
        <v>0</v>
      </c>
      <c r="AO293" s="76"/>
      <c r="AP293" s="91">
        <v>0</v>
      </c>
      <c r="AQ293" s="76"/>
      <c r="AR293" s="91">
        <v>0</v>
      </c>
      <c r="AS293" s="76"/>
      <c r="AT293" s="143">
        <v>0</v>
      </c>
      <c r="AU293" s="76"/>
      <c r="AV293" s="91">
        <v>1331</v>
      </c>
      <c r="AW293" s="76"/>
      <c r="AX293" s="91">
        <v>2420</v>
      </c>
      <c r="AY293" s="76"/>
      <c r="AZ293" s="91">
        <v>0</v>
      </c>
      <c r="BB293" s="91">
        <v>0</v>
      </c>
      <c r="BC293" s="76" t="s">
        <v>548</v>
      </c>
      <c r="BD293" s="91">
        <v>1405</v>
      </c>
      <c r="BE293" s="76"/>
      <c r="BF293" s="91">
        <v>0</v>
      </c>
      <c r="BG293" s="76"/>
      <c r="BH293" s="91">
        <v>0</v>
      </c>
      <c r="BI293" s="76"/>
      <c r="BJ293" s="91">
        <v>0</v>
      </c>
      <c r="BK293" s="76"/>
      <c r="BL293" s="91">
        <v>0</v>
      </c>
      <c r="BM293" s="76"/>
      <c r="BN293" s="91">
        <v>0</v>
      </c>
      <c r="BO293" s="76"/>
      <c r="BP293" s="91">
        <v>0</v>
      </c>
      <c r="BQ293" s="76"/>
      <c r="BR293" s="91">
        <v>0</v>
      </c>
      <c r="BS293" s="76"/>
    </row>
    <row r="294" spans="3:71" s="97" customFormat="1" outlineLevel="1" x14ac:dyDescent="0.25">
      <c r="F294" s="96"/>
      <c r="G294" s="58" t="s">
        <v>542</v>
      </c>
      <c r="I294" s="95"/>
      <c r="J294" s="95"/>
      <c r="S294" s="79"/>
      <c r="T294" s="91">
        <v>0</v>
      </c>
      <c r="U294" s="79"/>
      <c r="V294" s="91">
        <v>0</v>
      </c>
      <c r="W294" s="79"/>
      <c r="X294" s="91">
        <v>0</v>
      </c>
      <c r="Y294" s="79"/>
      <c r="Z294" s="91">
        <v>0</v>
      </c>
      <c r="AA294" s="79"/>
      <c r="AB294" s="91">
        <v>0</v>
      </c>
      <c r="AC294" s="79"/>
      <c r="AD294" s="91">
        <v>0</v>
      </c>
      <c r="AE294" s="76"/>
      <c r="AF294" s="91">
        <v>0</v>
      </c>
      <c r="AG294" s="79"/>
      <c r="AH294" s="91">
        <v>0</v>
      </c>
      <c r="AI294" s="79"/>
      <c r="AJ294" s="91">
        <v>0</v>
      </c>
      <c r="AK294" s="79"/>
      <c r="AL294" s="91">
        <v>0</v>
      </c>
      <c r="AM294" s="79"/>
      <c r="AN294" s="91">
        <v>0</v>
      </c>
      <c r="AO294" s="79"/>
      <c r="AP294" s="91">
        <v>0</v>
      </c>
      <c r="AQ294" s="79"/>
      <c r="AR294" s="91">
        <v>0</v>
      </c>
      <c r="AS294" s="79"/>
      <c r="AT294" s="143">
        <v>0</v>
      </c>
      <c r="AU294" s="79"/>
      <c r="AV294" s="91">
        <v>0</v>
      </c>
      <c r="AW294" s="79"/>
      <c r="AX294" s="91">
        <v>0</v>
      </c>
      <c r="AY294" s="79"/>
      <c r="AZ294" s="91">
        <v>13.99</v>
      </c>
      <c r="BA294" s="79"/>
      <c r="BB294" s="91">
        <v>0</v>
      </c>
      <c r="BC294" s="79"/>
      <c r="BD294" s="91">
        <v>0</v>
      </c>
      <c r="BE294" s="79"/>
      <c r="BF294" s="91">
        <v>0</v>
      </c>
      <c r="BG294" s="79"/>
      <c r="BH294" s="91">
        <v>0</v>
      </c>
      <c r="BI294" s="79"/>
      <c r="BJ294" s="91">
        <v>0</v>
      </c>
      <c r="BK294" s="79"/>
      <c r="BL294" s="91">
        <v>0</v>
      </c>
      <c r="BM294" s="79"/>
      <c r="BN294" s="91">
        <v>0</v>
      </c>
      <c r="BO294" s="79"/>
      <c r="BP294" s="91">
        <v>0</v>
      </c>
      <c r="BQ294" s="79"/>
      <c r="BR294" s="91">
        <v>0</v>
      </c>
      <c r="BS294" s="79"/>
    </row>
    <row r="295" spans="3:71" s="95" customFormat="1" outlineLevel="1" x14ac:dyDescent="0.25">
      <c r="F295" s="58"/>
      <c r="G295" s="58" t="s">
        <v>543</v>
      </c>
      <c r="I295" s="97"/>
      <c r="J295" s="97"/>
      <c r="R295" s="58"/>
      <c r="S295" s="66"/>
      <c r="T295" s="91">
        <v>0</v>
      </c>
      <c r="U295" s="76"/>
      <c r="V295" s="91">
        <v>0</v>
      </c>
      <c r="W295" s="76"/>
      <c r="X295" s="91">
        <v>0</v>
      </c>
      <c r="Y295" s="76"/>
      <c r="Z295" s="91">
        <v>300</v>
      </c>
      <c r="AA295" s="76"/>
      <c r="AB295" s="91">
        <v>300</v>
      </c>
      <c r="AC295" s="76"/>
      <c r="AD295" s="91">
        <v>300</v>
      </c>
      <c r="AE295" s="76"/>
      <c r="AF295" s="91">
        <v>300</v>
      </c>
      <c r="AG295" s="76"/>
      <c r="AH295" s="91">
        <v>300</v>
      </c>
      <c r="AI295" s="76"/>
      <c r="AJ295" s="91">
        <v>300</v>
      </c>
      <c r="AK295" s="76"/>
      <c r="AL295" s="91">
        <v>300</v>
      </c>
      <c r="AM295" s="76"/>
      <c r="AN295" s="91">
        <v>0</v>
      </c>
      <c r="AO295" s="76"/>
      <c r="AP295" s="91">
        <v>300</v>
      </c>
      <c r="AQ295" s="76"/>
      <c r="AR295" s="91">
        <v>300</v>
      </c>
      <c r="AS295" s="76"/>
      <c r="AT295" s="143">
        <v>300</v>
      </c>
      <c r="AU295" s="76"/>
      <c r="AV295" s="91">
        <v>162.27000000000001</v>
      </c>
      <c r="AW295" s="76"/>
      <c r="AX295" s="91">
        <v>92.78</v>
      </c>
      <c r="AY295" s="76"/>
      <c r="AZ295" s="91">
        <v>1185.21</v>
      </c>
      <c r="BA295" s="76" t="s">
        <v>545</v>
      </c>
      <c r="BB295" s="91">
        <v>1762.7</v>
      </c>
      <c r="BC295" s="76"/>
      <c r="BD295" s="91">
        <v>300</v>
      </c>
      <c r="BE295" s="76"/>
      <c r="BF295" s="91">
        <v>300</v>
      </c>
      <c r="BG295" s="76"/>
      <c r="BH295" s="91">
        <v>300</v>
      </c>
      <c r="BI295" s="76"/>
      <c r="BJ295" s="91">
        <v>300</v>
      </c>
      <c r="BK295" s="76"/>
      <c r="BL295" s="91">
        <v>300</v>
      </c>
      <c r="BM295" s="76"/>
      <c r="BN295" s="91">
        <v>300</v>
      </c>
      <c r="BO295" s="76"/>
      <c r="BP295" s="91">
        <v>300</v>
      </c>
      <c r="BQ295" s="76"/>
      <c r="BR295" s="91">
        <v>300</v>
      </c>
      <c r="BS295" s="76"/>
    </row>
    <row r="296" spans="3:71" s="95" customFormat="1" outlineLevel="1" x14ac:dyDescent="0.25">
      <c r="F296" s="58"/>
      <c r="G296" s="58" t="s">
        <v>568</v>
      </c>
      <c r="R296" s="58"/>
      <c r="S296" s="66"/>
      <c r="T296" s="91">
        <v>0</v>
      </c>
      <c r="U296" s="76"/>
      <c r="V296" s="91">
        <v>0</v>
      </c>
      <c r="W296" s="76"/>
      <c r="X296" s="91">
        <v>0</v>
      </c>
      <c r="Y296" s="76"/>
      <c r="Z296" s="91">
        <v>0</v>
      </c>
      <c r="AA296" s="76"/>
      <c r="AB296" s="91">
        <v>0</v>
      </c>
      <c r="AC296" s="76"/>
      <c r="AD296" s="91">
        <v>0</v>
      </c>
      <c r="AE296" s="76"/>
      <c r="AF296" s="91">
        <v>0</v>
      </c>
      <c r="AG296" s="76" t="s">
        <v>569</v>
      </c>
      <c r="AH296" s="91">
        <v>500</v>
      </c>
      <c r="AI296" s="76"/>
      <c r="AJ296" s="91">
        <v>0</v>
      </c>
      <c r="AK296" s="76"/>
      <c r="AL296" s="91">
        <v>0</v>
      </c>
      <c r="AM296" s="76"/>
      <c r="AN296" s="91">
        <v>0</v>
      </c>
      <c r="AO296" s="76"/>
      <c r="AP296" s="91">
        <v>0</v>
      </c>
      <c r="AQ296" s="76" t="s">
        <v>570</v>
      </c>
      <c r="AR296" s="91">
        <f>1100+400</f>
        <v>1500</v>
      </c>
      <c r="AS296" s="76" t="s">
        <v>571</v>
      </c>
      <c r="AT296" s="143">
        <f>1300</f>
        <v>1300</v>
      </c>
      <c r="AU296" s="76"/>
      <c r="AV296" s="91">
        <v>70</v>
      </c>
      <c r="AW296" s="76"/>
      <c r="AX296" s="91">
        <v>65</v>
      </c>
      <c r="AY296" s="76"/>
      <c r="AZ296" s="91">
        <v>0</v>
      </c>
      <c r="BA296" s="76"/>
      <c r="BB296" s="91">
        <v>0</v>
      </c>
      <c r="BC296" s="76"/>
      <c r="BD296" s="91">
        <v>0</v>
      </c>
      <c r="BE296" s="76"/>
      <c r="BF296" s="91">
        <v>0</v>
      </c>
      <c r="BG296" s="76"/>
      <c r="BH296" s="91">
        <v>0</v>
      </c>
      <c r="BI296" s="76"/>
      <c r="BJ296" s="91">
        <v>0</v>
      </c>
      <c r="BK296" s="76"/>
      <c r="BL296" s="91">
        <v>0</v>
      </c>
      <c r="BM296" s="76"/>
      <c r="BN296" s="91">
        <v>0</v>
      </c>
      <c r="BO296" s="76"/>
      <c r="BP296" s="91">
        <v>0</v>
      </c>
      <c r="BQ296" s="76"/>
      <c r="BR296" s="91">
        <v>0</v>
      </c>
      <c r="BS296" s="76"/>
    </row>
    <row r="297" spans="3:71" s="1" customFormat="1" x14ac:dyDescent="0.25">
      <c r="F297" s="14"/>
      <c r="G297" s="4"/>
      <c r="N297" s="23"/>
      <c r="R297" s="4"/>
      <c r="S297" s="16"/>
      <c r="U297" s="18"/>
      <c r="W297" s="18"/>
      <c r="Y297" s="18"/>
      <c r="AA297" s="18"/>
      <c r="AC297" s="18"/>
      <c r="AE297" s="18"/>
      <c r="AG297" s="18"/>
      <c r="AI297" s="18"/>
      <c r="AK297" s="18"/>
      <c r="AM297" s="18"/>
      <c r="AO297" s="18"/>
      <c r="AQ297" s="18"/>
      <c r="AS297" s="18"/>
      <c r="AT297" s="129"/>
      <c r="AU297" s="18"/>
      <c r="AW297" s="18"/>
      <c r="AY297" s="18"/>
      <c r="BA297" s="18"/>
      <c r="BC297" s="18"/>
      <c r="BE297" s="18"/>
      <c r="BG297" s="18"/>
      <c r="BI297" s="18"/>
      <c r="BK297" s="18"/>
      <c r="BM297" s="18"/>
      <c r="BO297" s="18"/>
      <c r="BQ297" s="18"/>
      <c r="BS297" s="18"/>
    </row>
    <row r="298" spans="3:71" s="107" customFormat="1" x14ac:dyDescent="0.25">
      <c r="C298" s="92"/>
      <c r="D298" s="92"/>
      <c r="H298" s="109"/>
      <c r="N298" s="109"/>
      <c r="P298" s="110"/>
      <c r="Q298" s="110"/>
      <c r="S298" s="111"/>
      <c r="T298" s="112">
        <v>45231</v>
      </c>
      <c r="U298" s="113"/>
      <c r="V298" s="112">
        <v>45261</v>
      </c>
      <c r="W298" s="113"/>
      <c r="X298" s="112">
        <v>45292</v>
      </c>
      <c r="Y298" s="113"/>
      <c r="Z298" s="112">
        <v>45323</v>
      </c>
      <c r="AA298" s="113"/>
      <c r="AB298" s="112">
        <v>45352</v>
      </c>
      <c r="AC298" s="113"/>
      <c r="AD298" s="112">
        <v>45383</v>
      </c>
      <c r="AE298" s="113"/>
      <c r="AF298" s="112">
        <v>45413</v>
      </c>
      <c r="AG298" s="113"/>
      <c r="AH298" s="112">
        <v>45444</v>
      </c>
      <c r="AI298" s="113"/>
      <c r="AJ298" s="112">
        <v>45474</v>
      </c>
      <c r="AK298" s="113"/>
      <c r="AL298" s="112">
        <v>45528</v>
      </c>
      <c r="AM298" s="113"/>
      <c r="AN298" s="114">
        <f>AN$2</f>
        <v>45559</v>
      </c>
      <c r="AO298" s="113"/>
      <c r="AP298" s="114" t="str">
        <f>AP$2</f>
        <v>Okt-24</v>
      </c>
      <c r="AQ298" s="113"/>
      <c r="AR298" s="114">
        <f>AR$2</f>
        <v>45620</v>
      </c>
      <c r="AS298" s="113"/>
      <c r="AT298" s="146">
        <f>AT$2</f>
        <v>45650</v>
      </c>
      <c r="AU298" s="113"/>
      <c r="AV298" s="114">
        <f>AV$2</f>
        <v>45658</v>
      </c>
      <c r="AW298" s="113"/>
      <c r="AX298" s="114">
        <f>AX$2</f>
        <v>45689</v>
      </c>
      <c r="AY298" s="113"/>
      <c r="AZ298" s="114">
        <f>AZ$2</f>
        <v>45719</v>
      </c>
      <c r="BA298" s="113"/>
      <c r="BB298" s="114">
        <f>BB$2</f>
        <v>45749</v>
      </c>
      <c r="BC298" s="113"/>
      <c r="BD298" s="114">
        <f>BD$2</f>
        <v>45779</v>
      </c>
      <c r="BE298" s="113"/>
      <c r="BF298" s="114">
        <f>BF$2</f>
        <v>45809</v>
      </c>
      <c r="BG298" s="113"/>
      <c r="BH298" s="114">
        <f>BH$2</f>
        <v>45839</v>
      </c>
      <c r="BI298" s="113"/>
      <c r="BJ298" s="114">
        <f>BJ$2</f>
        <v>45870</v>
      </c>
      <c r="BK298" s="113"/>
      <c r="BL298" s="114">
        <f>BL$2</f>
        <v>45901</v>
      </c>
      <c r="BM298" s="113"/>
      <c r="BN298" s="114">
        <f>BN$2</f>
        <v>45932</v>
      </c>
      <c r="BO298" s="113"/>
      <c r="BP298" s="114">
        <f>BP$2</f>
        <v>45963</v>
      </c>
      <c r="BQ298" s="113"/>
      <c r="BR298" s="114">
        <f>BR$2</f>
        <v>45994</v>
      </c>
      <c r="BS298" s="113"/>
    </row>
    <row r="299" spans="3:71" s="14" customFormat="1" x14ac:dyDescent="0.25">
      <c r="C299" s="25"/>
      <c r="D299" s="26" t="s">
        <v>581</v>
      </c>
      <c r="E299" s="26"/>
      <c r="F299" s="26"/>
      <c r="G299" s="57"/>
      <c r="H299" s="67"/>
      <c r="I299" s="67"/>
      <c r="J299" s="67"/>
      <c r="K299" s="26"/>
      <c r="L299" s="26"/>
      <c r="M299" s="26"/>
      <c r="N299" s="27"/>
      <c r="O299" s="26"/>
      <c r="P299" s="26"/>
      <c r="Q299" s="26"/>
      <c r="R299" s="4"/>
      <c r="S299" s="28"/>
      <c r="T299" s="26">
        <f>T300+T405+T456</f>
        <v>9414.9775000000009</v>
      </c>
      <c r="U299" s="29"/>
      <c r="V299" s="26">
        <f>V300+V405+V456</f>
        <v>21809.0275</v>
      </c>
      <c r="W299" s="29"/>
      <c r="X299" s="26">
        <f>X300+X405+X456</f>
        <v>23309.0275</v>
      </c>
      <c r="Y299" s="29"/>
      <c r="Z299" s="26">
        <f>Z300+Z405+Z456</f>
        <v>23406.5275</v>
      </c>
      <c r="AA299" s="29"/>
      <c r="AB299" s="26">
        <f>AB300+AB405+AB456</f>
        <v>26918.682499999999</v>
      </c>
      <c r="AC299" s="29"/>
      <c r="AD299" s="26">
        <f>AD300+AD405+AD456</f>
        <v>30430.645833333332</v>
      </c>
      <c r="AE299" s="50"/>
      <c r="AF299" s="26">
        <f>AF300+AF405+AF456</f>
        <v>38681.675833333335</v>
      </c>
      <c r="AG299" s="29"/>
      <c r="AH299" s="26">
        <f>AH300+AH405+AH456</f>
        <v>34980.595833333333</v>
      </c>
      <c r="AI299" s="29"/>
      <c r="AJ299" s="26">
        <f>AJ300+AJ405+AJ456</f>
        <v>35413.779166666667</v>
      </c>
      <c r="AK299" s="29"/>
      <c r="AL299" s="26">
        <f>AL300+AL405+AL456</f>
        <v>30342.759166666667</v>
      </c>
      <c r="AM299" s="29"/>
      <c r="AN299" s="26">
        <f>AN300+AN405+AN456</f>
        <v>31701.139166666668</v>
      </c>
      <c r="AO299" s="29"/>
      <c r="AP299" s="26">
        <f>AP300+AP405+AP456</f>
        <v>33853.515833333338</v>
      </c>
      <c r="AQ299" s="29"/>
      <c r="AR299" s="26">
        <f>AR300+AR405+AR456</f>
        <v>34542.195833333331</v>
      </c>
      <c r="AS299" s="29"/>
      <c r="AT299" s="139">
        <f>AT300+AT405+AT456</f>
        <v>46814.127499999995</v>
      </c>
      <c r="AU299" s="29"/>
      <c r="AV299" s="26">
        <f>AV300+AV405+AV456</f>
        <v>36770.256666666668</v>
      </c>
      <c r="AW299" s="29"/>
      <c r="AX299" s="26">
        <f>AX300+AX405+AX456</f>
        <v>39219.26666666667</v>
      </c>
      <c r="AY299" s="29"/>
      <c r="AZ299" s="26">
        <f>AZ300+AZ405+AZ456</f>
        <v>38726.459166666667</v>
      </c>
      <c r="BA299" s="29"/>
      <c r="BB299" s="26">
        <f>BB300+BB405+BB456</f>
        <v>41112.152499999997</v>
      </c>
      <c r="BC299" s="29"/>
      <c r="BD299" s="26">
        <f>BD300+BD405+BD456</f>
        <v>52835.764166666668</v>
      </c>
      <c r="BE299" s="29"/>
      <c r="BF299" s="26">
        <f>BF300+BF405+BF456</f>
        <v>58345.674166666664</v>
      </c>
      <c r="BG299" s="29"/>
      <c r="BH299" s="26">
        <f>BH300+BH405+BH456</f>
        <v>74349.759999999995</v>
      </c>
      <c r="BI299" s="29"/>
      <c r="BJ299" s="26">
        <f>BJ300+BJ405+BJ456</f>
        <v>93563.76</v>
      </c>
      <c r="BK299" s="29"/>
      <c r="BL299" s="26">
        <f>BL300+BL405+BL456</f>
        <v>119812.03333333334</v>
      </c>
      <c r="BM299" s="29"/>
      <c r="BN299" s="26">
        <f>BN300+BN405+BN456</f>
        <v>120798.03333333334</v>
      </c>
      <c r="BO299" s="29"/>
      <c r="BP299" s="26">
        <f>BP300+BP405+BP456</f>
        <v>120798.03333333334</v>
      </c>
      <c r="BQ299" s="29"/>
      <c r="BR299" s="26">
        <f>BR300+BR405+BR456</f>
        <v>140912.02333333335</v>
      </c>
      <c r="BS299" s="29"/>
    </row>
    <row r="300" spans="3:71" s="14" customFormat="1" x14ac:dyDescent="0.25">
      <c r="E300" s="14" t="s">
        <v>753</v>
      </c>
      <c r="G300" s="21"/>
      <c r="I300" s="92"/>
      <c r="N300" s="19"/>
      <c r="R300" s="4"/>
      <c r="S300" s="20"/>
      <c r="T300" s="14">
        <f>T301+T333+T350+T356+T360+T364+T383+T400</f>
        <v>1255.9949999999999</v>
      </c>
      <c r="U300" s="22"/>
      <c r="V300" s="14">
        <f>V301+V333+V350+V356+V360+V364+V383+V400</f>
        <v>1255.9949999999999</v>
      </c>
      <c r="W300" s="22"/>
      <c r="X300" s="14">
        <f>X301+X333+X350+X356+X360+X364+X383+X400</f>
        <v>2399.9949999999999</v>
      </c>
      <c r="Y300" s="22"/>
      <c r="Z300" s="14">
        <f>Z301+Z333+Z350+Z356+Z360+Z364+Z383+Z400</f>
        <v>2399.9949999999999</v>
      </c>
      <c r="AA300" s="22"/>
      <c r="AB300" s="14">
        <f>AB301+AB333+AB350+AB356+AB360+AB364+AB383+AB400</f>
        <v>2572.08</v>
      </c>
      <c r="AC300" s="22"/>
      <c r="AD300" s="14">
        <f>AD301+AD333+AD350+AD356+AD360+AD364+AD383+AD400</f>
        <v>4355.7300000000005</v>
      </c>
      <c r="AE300" s="18"/>
      <c r="AF300" s="14">
        <f>AF301+AF333+AF350+AF356+AF360+AF364+AF383+AF400</f>
        <v>12542.76</v>
      </c>
      <c r="AG300" s="22"/>
      <c r="AH300" s="14">
        <f>AH301+AH333+AH350+AH356+AH360+AH364+AH383+AH400</f>
        <v>8942.68</v>
      </c>
      <c r="AI300" s="22"/>
      <c r="AJ300" s="14">
        <f>AJ301+AJ333+AJ350+AJ356+AJ360+AJ364+AJ383+AJ400</f>
        <v>8686.7799999999988</v>
      </c>
      <c r="AK300" s="22"/>
      <c r="AL300" s="14">
        <f>AL301+AL333+AL350+AL356+AL360+AL364+AL383+AL400</f>
        <v>7518.76</v>
      </c>
      <c r="AM300" s="22"/>
      <c r="AN300" s="14">
        <f>AN301+AN333+AN350+AN356+AN360+AN364+AN383+AN400</f>
        <v>7540.32</v>
      </c>
      <c r="AO300" s="22"/>
      <c r="AP300" s="14">
        <f>AP301+AP333+AP350+AP356+AP360+AP364+AP383+AP400</f>
        <v>7513.0600000000013</v>
      </c>
      <c r="AQ300" s="22"/>
      <c r="AR300" s="14">
        <f>AR301+AR333+AR350+AR356+AR360+AR364+AR383+AR400</f>
        <v>8190.96</v>
      </c>
      <c r="AS300" s="22"/>
      <c r="AT300" s="125">
        <f>AT301+AT333+AT350+AT356+AT360+AT364+AT383+AT400</f>
        <v>20273.438333333332</v>
      </c>
      <c r="AU300" s="22"/>
      <c r="AV300" s="14">
        <f>AV301+AV333+AV350+AV356+AV360+AV364+AV383+AV400</f>
        <v>9209.8533333333344</v>
      </c>
      <c r="AW300" s="22"/>
      <c r="AX300" s="14">
        <f>AX301+AX333+AX350+AX356+AX360+AX364+AX383+AX400</f>
        <v>12405.843333333334</v>
      </c>
      <c r="AY300" s="22"/>
      <c r="AZ300" s="14">
        <f>AZ301+AZ333+AZ350+AZ356+AZ360+AZ364+AZ383+AZ400</f>
        <v>11394.943333333331</v>
      </c>
      <c r="BA300" s="22"/>
      <c r="BB300" s="14">
        <f>BB301+BB333+BB350+BB356+BB360+BB364+BB383+BB400</f>
        <v>13809.01</v>
      </c>
      <c r="BC300" s="22"/>
      <c r="BD300" s="14">
        <f>BD301+BD333+BD350+BD356+BD360+BD364+BD383+BD400</f>
        <v>15389.281666666666</v>
      </c>
      <c r="BE300" s="22"/>
      <c r="BF300" s="14">
        <f>BF301+BF333+BF350+BF356+BF360+BF364+BF383+BF400</f>
        <v>23359.141666666666</v>
      </c>
      <c r="BG300" s="22"/>
      <c r="BH300" s="14">
        <f>BH301+BH333+BH350+BH356+BH360+BH364+BH383+BH400</f>
        <v>37256.925000000003</v>
      </c>
      <c r="BI300" s="22"/>
      <c r="BJ300" s="14">
        <f>BJ301+BJ333+BJ350+BJ356+BJ360+BJ364+BJ383+BJ400</f>
        <v>51598.925000000003</v>
      </c>
      <c r="BK300" s="22"/>
      <c r="BL300" s="14">
        <f>BL301+BL333+BL350+BL356+BL360+BL364+BL383+BL400</f>
        <v>73337.198333333334</v>
      </c>
      <c r="BM300" s="22"/>
      <c r="BN300" s="14">
        <f>BN301+BN333+BN350+BN356+BN360+BN364+BN383+BN400</f>
        <v>73323.198333333334</v>
      </c>
      <c r="BO300" s="22"/>
      <c r="BP300" s="14">
        <f>BP301+BP333+BP350+BP356+BP360+BP364+BP383+BP400</f>
        <v>73323.198333333334</v>
      </c>
      <c r="BQ300" s="22"/>
      <c r="BR300" s="14">
        <f>BR301+BR333+BR350+BR356+BR360+BR364+BR383+BR400</f>
        <v>93437.188333333339</v>
      </c>
      <c r="BS300" s="22"/>
    </row>
    <row r="301" spans="3:71" x14ac:dyDescent="0.25">
      <c r="F301" s="4" t="s">
        <v>582</v>
      </c>
      <c r="G301" s="4"/>
      <c r="H301" s="1"/>
      <c r="I301" s="107"/>
      <c r="T301" s="4">
        <f>T302+T305+T308+T311+T314+T317+T320+T323+T326+T329</f>
        <v>0</v>
      </c>
      <c r="V301" s="4">
        <f>V302+V305+V308+V311+V314+V317+V320+V323+V326+V329</f>
        <v>0</v>
      </c>
      <c r="X301" s="4">
        <f>X302+X305+X308+X311+X314+X317+X320+X323+X326+X329</f>
        <v>0</v>
      </c>
      <c r="Z301" s="4">
        <f>Z302+Z305+Z308+Z311+Z314+Z317+Z320+Z323+Z326+Z329</f>
        <v>0</v>
      </c>
      <c r="AB301" s="4">
        <f>AB302+AB305+AB308+AB311+AB314+AB317+AB320+AB323+AB326+AB329</f>
        <v>139</v>
      </c>
      <c r="AD301" s="4">
        <f>AD302+AD305+AD308+AD311+AD314+AD317+AD320+AD323+AD326+AD329</f>
        <v>139</v>
      </c>
      <c r="AF301" s="4">
        <f>AF302+AF305+AF308+AF311+AF314+AF317+AF320+AF323+AF326+AF329</f>
        <v>3430</v>
      </c>
      <c r="AH301" s="4">
        <f>AH302+AH305+AH308+AH311+AH314+AH317+AH320+AH323+AH326+AH329</f>
        <v>2006</v>
      </c>
      <c r="AJ301" s="4">
        <f>AJ302+AJ305+AJ308+AJ311+AJ314+AJ317+AJ320+AJ323+AJ326+AJ329</f>
        <v>2006</v>
      </c>
      <c r="AL301" s="4">
        <f>AL302+AL305+AL308+AL311+AL314+AL317+AL320+AL323+AL326+AL329</f>
        <v>2006</v>
      </c>
      <c r="AN301" s="4">
        <f>AN302+AN305+AN308+AN311+AN314+AN317+AN320+AN323+AN326+AN329</f>
        <v>2006</v>
      </c>
      <c r="AP301" s="4">
        <f>AP302+AP305+AP308+AP311+AP314+AP317+AP320+AP323+AP326+AP329</f>
        <v>2201.77</v>
      </c>
      <c r="AR301" s="4">
        <f>AR302+AR305+AR308+AR311+AR314+AR317+AR320+AR323+AR326+AR329</f>
        <v>2322.9899999999998</v>
      </c>
      <c r="AT301" s="121">
        <f>AT302+AT305+AT308+AT311+AT314+AT317+AT320+AT323+AT326+AT329</f>
        <v>2286.9899999999998</v>
      </c>
      <c r="AV301" s="4">
        <f>AV302+AV305+AV308+AV311+AV314+AV317+AV320+AV323+AV326+AV329</f>
        <v>2786.46</v>
      </c>
      <c r="AX301" s="4">
        <f>AX302+AX305+AX308+AX311+AX314+AX317+AX320+AX323+AX326+AX329</f>
        <v>2786.46</v>
      </c>
      <c r="AZ301" s="4">
        <f>AZ302+AZ305+AZ308+AZ311+AZ314+AZ317+AZ320+AZ323+AZ326+AZ329</f>
        <v>2786.46</v>
      </c>
      <c r="BB301" s="4">
        <f>BB302+BB305+BB308+BB311+BB314+BB317+BB320+BB323+BB326+BB329</f>
        <v>4298.6100000000006</v>
      </c>
      <c r="BC301" s="18"/>
      <c r="BD301" s="4">
        <f>BD302+BD305+BD308+BD311+BD314+BD317+BD320+BD323+BD326+BD329</f>
        <v>4298.6100000000006</v>
      </c>
      <c r="BF301" s="4">
        <f>BF302+BF305+BF308+BF311+BF314+BF317+BF320+BF323+BF326+BF329</f>
        <v>6490.77</v>
      </c>
      <c r="BH301" s="4">
        <f>BH302+BH305+BH308+BH311+BH314+BH317+BH320+BH323+BH326+BH329</f>
        <v>6227.77</v>
      </c>
      <c r="BJ301" s="4">
        <f>BJ302+BJ305+BJ308+BJ311+BJ314+BJ317+BJ320+BJ323+BJ326+BJ329</f>
        <v>8233.77</v>
      </c>
      <c r="BL301" s="4">
        <f>BL302+BL305+BL308+BL311+BL314+BL317+BL320+BL323+BL326+BL329</f>
        <v>11308.710000000001</v>
      </c>
      <c r="BN301" s="4">
        <f>BN302+BN305+BN308+BN311+BN314+BN317+BN320+BN323+BN326+BN329</f>
        <v>11308.710000000001</v>
      </c>
      <c r="BP301" s="4">
        <f>BP302+BP305+BP308+BP311+BP314+BP317+BP320+BP323+BP326+BP329</f>
        <v>11308.710000000001</v>
      </c>
      <c r="BR301" s="4">
        <f>BR302+BR305+BR308+BR311+BR314+BR317+BR320+BR323+BR326+BR329</f>
        <v>11308.710000000001</v>
      </c>
    </row>
    <row r="302" spans="3:71" outlineLevel="1" x14ac:dyDescent="0.25">
      <c r="G302" s="4" t="s">
        <v>589</v>
      </c>
      <c r="H302" s="1"/>
      <c r="I302" s="1"/>
      <c r="J302" s="1"/>
      <c r="P302" s="31"/>
      <c r="T302" s="4">
        <f>T303+T304</f>
        <v>0</v>
      </c>
      <c r="U302" s="16"/>
      <c r="V302" s="4">
        <f>V303+V304</f>
        <v>0</v>
      </c>
      <c r="W302" s="16"/>
      <c r="X302" s="4">
        <f>X303+X304</f>
        <v>0</v>
      </c>
      <c r="Y302" s="16"/>
      <c r="Z302" s="4">
        <f>Z303+Z304</f>
        <v>0</v>
      </c>
      <c r="AA302" s="16"/>
      <c r="AB302" s="4">
        <f>AB303+AB304</f>
        <v>0</v>
      </c>
      <c r="AC302" s="16"/>
      <c r="AD302" s="4">
        <f>AD303+AD304</f>
        <v>0</v>
      </c>
      <c r="AE302" s="16"/>
      <c r="AF302" s="4">
        <f>AF303+AF304</f>
        <v>3291</v>
      </c>
      <c r="AG302" s="16"/>
      <c r="AH302" s="4">
        <f>AH303+AH304</f>
        <v>2006</v>
      </c>
      <c r="AI302" s="16"/>
      <c r="AJ302" s="4">
        <f>AJ303+AJ304</f>
        <v>2006</v>
      </c>
      <c r="AK302" s="16"/>
      <c r="AL302" s="4">
        <f>AL303+AL304</f>
        <v>2006</v>
      </c>
      <c r="AM302" s="16"/>
      <c r="AN302" s="4">
        <f>AN303+AN304</f>
        <v>2006</v>
      </c>
      <c r="AO302" s="16"/>
      <c r="AP302" s="4">
        <f>AP303+AP304</f>
        <v>2006</v>
      </c>
      <c r="AQ302" s="16"/>
      <c r="AR302" s="4">
        <f>AR303+AR304</f>
        <v>2006</v>
      </c>
      <c r="AS302" s="16"/>
      <c r="AT302" s="121">
        <f>AT303+AT304</f>
        <v>2006</v>
      </c>
      <c r="AU302" s="16"/>
      <c r="AV302" s="4">
        <f>AV303+AV304</f>
        <v>2204</v>
      </c>
      <c r="AW302" s="16"/>
      <c r="AX302" s="4">
        <f>AX303+AX304</f>
        <v>2204</v>
      </c>
      <c r="AY302" s="16"/>
      <c r="AZ302" s="4">
        <f>AZ303+AZ304</f>
        <v>2204</v>
      </c>
      <c r="BA302" s="16"/>
      <c r="BB302" s="4">
        <f>BB303+BB304</f>
        <v>3453.15</v>
      </c>
      <c r="BC302" s="16"/>
      <c r="BD302" s="4">
        <f>BD303+BD304</f>
        <v>3453.15</v>
      </c>
      <c r="BE302" s="16"/>
      <c r="BF302" s="4">
        <f>BF303+BF304</f>
        <v>3453.15</v>
      </c>
      <c r="BG302" s="16"/>
      <c r="BH302" s="4">
        <f>BH303+BH304</f>
        <v>3453.15</v>
      </c>
      <c r="BI302" s="16"/>
      <c r="BJ302" s="4">
        <f>BJ303+BJ304</f>
        <v>3453.15</v>
      </c>
      <c r="BK302" s="16"/>
      <c r="BL302" s="4">
        <f>BL303+BL304</f>
        <v>3453.15</v>
      </c>
      <c r="BM302" s="16"/>
      <c r="BN302" s="4">
        <f>BN303+BN304</f>
        <v>3453.15</v>
      </c>
      <c r="BO302" s="16"/>
      <c r="BP302" s="4">
        <f>BP303+BP304</f>
        <v>3453.15</v>
      </c>
      <c r="BQ302" s="16"/>
      <c r="BR302" s="4">
        <f>BR303+BR304</f>
        <v>3453.15</v>
      </c>
      <c r="BS302" s="16"/>
    </row>
    <row r="303" spans="3:71" s="63" customFormat="1" outlineLevel="2" x14ac:dyDescent="0.25">
      <c r="E303" s="62"/>
      <c r="F303" s="62"/>
      <c r="G303" s="62"/>
      <c r="H303" s="63" t="s">
        <v>584</v>
      </c>
      <c r="I303" s="4"/>
      <c r="J303" s="1"/>
      <c r="P303" s="64"/>
      <c r="S303" s="64"/>
      <c r="T303" s="65">
        <v>0</v>
      </c>
      <c r="U303" s="64"/>
      <c r="V303" s="65">
        <v>0</v>
      </c>
      <c r="W303" s="64"/>
      <c r="X303" s="65">
        <v>0</v>
      </c>
      <c r="Y303" s="64"/>
      <c r="Z303" s="65">
        <v>0</v>
      </c>
      <c r="AA303" s="64"/>
      <c r="AB303" s="65">
        <v>0</v>
      </c>
      <c r="AC303" s="64"/>
      <c r="AD303" s="65">
        <v>0</v>
      </c>
      <c r="AE303" s="64"/>
      <c r="AF303" s="65">
        <f>8167-AF304-AF334</f>
        <v>1273</v>
      </c>
      <c r="AG303" s="64"/>
      <c r="AH303" s="65">
        <v>924</v>
      </c>
      <c r="AI303" s="64"/>
      <c r="AJ303" s="65">
        <v>924</v>
      </c>
      <c r="AK303" s="64"/>
      <c r="AL303" s="65">
        <v>924</v>
      </c>
      <c r="AM303" s="64"/>
      <c r="AN303" s="65">
        <v>924</v>
      </c>
      <c r="AO303" s="64"/>
      <c r="AP303" s="65">
        <v>924</v>
      </c>
      <c r="AQ303" s="64"/>
      <c r="AR303" s="65">
        <v>924</v>
      </c>
      <c r="AS303" s="64"/>
      <c r="AT303" s="147">
        <v>924</v>
      </c>
      <c r="AU303" s="64"/>
      <c r="AV303" s="65">
        <v>1008</v>
      </c>
      <c r="AW303" s="64"/>
      <c r="AX303" s="65">
        <v>1008</v>
      </c>
      <c r="AY303" s="64"/>
      <c r="AZ303" s="65">
        <v>1008</v>
      </c>
      <c r="BA303" s="64"/>
      <c r="BB303" s="65">
        <v>1136</v>
      </c>
      <c r="BC303" s="64"/>
      <c r="BD303" s="65">
        <v>1136</v>
      </c>
      <c r="BE303" s="64"/>
      <c r="BF303" s="65">
        <v>1136</v>
      </c>
      <c r="BG303" s="64"/>
      <c r="BH303" s="65">
        <v>1136</v>
      </c>
      <c r="BI303" s="64"/>
      <c r="BJ303" s="65">
        <v>1136</v>
      </c>
      <c r="BK303" s="64"/>
      <c r="BL303" s="65">
        <v>1136</v>
      </c>
      <c r="BM303" s="64"/>
      <c r="BN303" s="65">
        <v>1136</v>
      </c>
      <c r="BO303" s="64"/>
      <c r="BP303" s="65">
        <v>1136</v>
      </c>
      <c r="BQ303" s="64"/>
      <c r="BR303" s="65">
        <v>1136</v>
      </c>
      <c r="BS303" s="64"/>
    </row>
    <row r="304" spans="3:71" s="63" customFormat="1" outlineLevel="2" x14ac:dyDescent="0.25">
      <c r="E304" s="62"/>
      <c r="F304" s="62"/>
      <c r="G304" s="62"/>
      <c r="H304" s="63" t="s">
        <v>585</v>
      </c>
      <c r="J304" s="4"/>
      <c r="P304" s="64"/>
      <c r="S304" s="64"/>
      <c r="T304" s="65">
        <v>0</v>
      </c>
      <c r="U304" s="64"/>
      <c r="V304" s="65">
        <v>0</v>
      </c>
      <c r="W304" s="64"/>
      <c r="X304" s="65">
        <v>0</v>
      </c>
      <c r="Y304" s="64"/>
      <c r="Z304" s="65">
        <v>0</v>
      </c>
      <c r="AA304" s="64"/>
      <c r="AB304" s="65">
        <v>0</v>
      </c>
      <c r="AC304" s="64"/>
      <c r="AD304" s="65">
        <v>0</v>
      </c>
      <c r="AE304" s="64"/>
      <c r="AF304" s="65">
        <v>2018</v>
      </c>
      <c r="AG304" s="64"/>
      <c r="AH304" s="65">
        <v>1082</v>
      </c>
      <c r="AI304" s="64"/>
      <c r="AJ304" s="65">
        <v>1082</v>
      </c>
      <c r="AK304" s="64"/>
      <c r="AL304" s="65">
        <v>1082</v>
      </c>
      <c r="AM304" s="64"/>
      <c r="AN304" s="65">
        <v>1082</v>
      </c>
      <c r="AO304" s="64"/>
      <c r="AP304" s="65">
        <v>1082</v>
      </c>
      <c r="AQ304" s="64"/>
      <c r="AR304" s="65">
        <v>1082</v>
      </c>
      <c r="AS304" s="64"/>
      <c r="AT304" s="147">
        <v>1082</v>
      </c>
      <c r="AU304" s="64"/>
      <c r="AV304" s="65">
        <v>1196</v>
      </c>
      <c r="AW304" s="64"/>
      <c r="AX304" s="65">
        <v>1196</v>
      </c>
      <c r="AY304" s="64"/>
      <c r="AZ304" s="65">
        <v>1196</v>
      </c>
      <c r="BA304" s="64"/>
      <c r="BB304" s="65">
        <v>2317.15</v>
      </c>
      <c r="BC304" s="64"/>
      <c r="BD304" s="65">
        <v>2317.15</v>
      </c>
      <c r="BE304" s="64"/>
      <c r="BF304" s="65">
        <v>2317.15</v>
      </c>
      <c r="BG304" s="64"/>
      <c r="BH304" s="65">
        <v>2317.15</v>
      </c>
      <c r="BI304" s="64"/>
      <c r="BJ304" s="65">
        <v>2317.15</v>
      </c>
      <c r="BK304" s="64"/>
      <c r="BL304" s="65">
        <v>2317.15</v>
      </c>
      <c r="BM304" s="64"/>
      <c r="BN304" s="65">
        <v>2317.15</v>
      </c>
      <c r="BO304" s="64"/>
      <c r="BP304" s="65">
        <v>2317.15</v>
      </c>
      <c r="BQ304" s="64"/>
      <c r="BR304" s="65">
        <v>2317.15</v>
      </c>
      <c r="BS304" s="64"/>
    </row>
    <row r="305" spans="5:71" outlineLevel="1" x14ac:dyDescent="0.25">
      <c r="G305" s="4" t="s">
        <v>591</v>
      </c>
      <c r="H305" s="1"/>
      <c r="I305" s="63"/>
      <c r="J305" s="63"/>
      <c r="P305" s="31"/>
      <c r="T305" s="4">
        <f>T306+T307</f>
        <v>0</v>
      </c>
      <c r="U305" s="16"/>
      <c r="V305" s="4">
        <f>V306+V307</f>
        <v>0</v>
      </c>
      <c r="W305" s="16"/>
      <c r="X305" s="4">
        <f>X306+X307</f>
        <v>0</v>
      </c>
      <c r="Y305" s="16"/>
      <c r="Z305" s="4">
        <f>Z306+Z307</f>
        <v>0</v>
      </c>
      <c r="AA305" s="16"/>
      <c r="AB305" s="4">
        <f>AB306+AB307</f>
        <v>0</v>
      </c>
      <c r="AC305" s="16"/>
      <c r="AD305" s="4">
        <f>AD306+AD307</f>
        <v>0</v>
      </c>
      <c r="AE305" s="16"/>
      <c r="AF305" s="4">
        <f>AF306+AF307</f>
        <v>0</v>
      </c>
      <c r="AG305" s="16"/>
      <c r="AH305" s="4">
        <f>AH306+AH307</f>
        <v>0</v>
      </c>
      <c r="AI305" s="16"/>
      <c r="AJ305" s="4">
        <f>AJ306+AJ307</f>
        <v>0</v>
      </c>
      <c r="AK305" s="16"/>
      <c r="AL305" s="4">
        <f>AL306+AL307</f>
        <v>0</v>
      </c>
      <c r="AM305" s="16"/>
      <c r="AN305" s="4">
        <f>AN306+AN307</f>
        <v>0</v>
      </c>
      <c r="AO305" s="16"/>
      <c r="AP305" s="4">
        <f>AP306+AP307*0.8</f>
        <v>195.77000000000004</v>
      </c>
      <c r="AQ305" s="16"/>
      <c r="AR305" s="4">
        <f>AR306+AR307*0.8</f>
        <v>316.98999999999995</v>
      </c>
      <c r="AS305" s="16"/>
      <c r="AT305" s="121">
        <f>AT306+AT307*0.8</f>
        <v>280.98999999999995</v>
      </c>
      <c r="AU305" s="16"/>
      <c r="AV305" s="4">
        <f>AV306+AV307*0.8</f>
        <v>319.46000000000004</v>
      </c>
      <c r="AW305" s="16"/>
      <c r="AX305" s="4">
        <f>AX306+AX307*0.8</f>
        <v>319.46000000000004</v>
      </c>
      <c r="AY305" s="16"/>
      <c r="AZ305" s="4">
        <f>AZ306+AZ307*0.8</f>
        <v>319.46000000000004</v>
      </c>
      <c r="BA305" s="16"/>
      <c r="BB305" s="4">
        <f>BB306+BB307*0.8</f>
        <v>319.46000000000004</v>
      </c>
      <c r="BC305" s="16"/>
      <c r="BD305" s="4">
        <f>BD306+BD307*0.8</f>
        <v>319.46000000000004</v>
      </c>
      <c r="BE305" s="16"/>
      <c r="BF305" s="4">
        <f>BF306+BF307*0.8</f>
        <v>319.46000000000004</v>
      </c>
      <c r="BG305" s="16"/>
      <c r="BH305" s="4">
        <f>BH306+BH307*0.8</f>
        <v>319.46000000000004</v>
      </c>
      <c r="BI305" s="16"/>
      <c r="BJ305" s="4">
        <f>BJ306+BJ307*0.8</f>
        <v>319.46000000000004</v>
      </c>
      <c r="BK305" s="16"/>
      <c r="BL305" s="4">
        <f>BL306+BL307</f>
        <v>1604.8000000000002</v>
      </c>
      <c r="BM305" s="16"/>
      <c r="BN305" s="4">
        <f>BN306+BN307</f>
        <v>1604.8000000000002</v>
      </c>
      <c r="BO305" s="16"/>
      <c r="BP305" s="4">
        <f>BP306+BP307</f>
        <v>1604.8000000000002</v>
      </c>
      <c r="BQ305" s="16"/>
      <c r="BR305" s="4">
        <f>BR306+BR307</f>
        <v>1604.8000000000002</v>
      </c>
      <c r="BS305" s="16"/>
    </row>
    <row r="306" spans="5:71" s="63" customFormat="1" outlineLevel="2" x14ac:dyDescent="0.25">
      <c r="E306" s="62"/>
      <c r="F306" s="62"/>
      <c r="G306" s="62"/>
      <c r="H306" s="63" t="s">
        <v>584</v>
      </c>
      <c r="I306" s="4"/>
      <c r="P306" s="64"/>
      <c r="S306" s="64"/>
      <c r="T306" s="65">
        <v>0</v>
      </c>
      <c r="U306" s="64"/>
      <c r="V306" s="65">
        <v>0</v>
      </c>
      <c r="W306" s="64"/>
      <c r="X306" s="65">
        <v>0</v>
      </c>
      <c r="Y306" s="64"/>
      <c r="Z306" s="65">
        <v>0</v>
      </c>
      <c r="AA306" s="64"/>
      <c r="AB306" s="65">
        <v>0</v>
      </c>
      <c r="AC306" s="64"/>
      <c r="AD306" s="65">
        <v>0</v>
      </c>
      <c r="AE306" s="64"/>
      <c r="AF306" s="65">
        <v>0</v>
      </c>
      <c r="AG306" s="64"/>
      <c r="AH306" s="65">
        <v>0</v>
      </c>
      <c r="AI306" s="64"/>
      <c r="AJ306" s="65">
        <v>0</v>
      </c>
      <c r="AK306" s="64"/>
      <c r="AL306" s="65">
        <v>0</v>
      </c>
      <c r="AM306" s="64"/>
      <c r="AN306" s="65">
        <v>0</v>
      </c>
      <c r="AO306" s="64"/>
      <c r="AP306" s="65">
        <f>1113.92-AP335-AP307</f>
        <v>188.57000000000005</v>
      </c>
      <c r="AQ306" s="64"/>
      <c r="AR306" s="65">
        <f>1706.54-AR335-AR307</f>
        <v>302.78999999999996</v>
      </c>
      <c r="AS306" s="64"/>
      <c r="AT306" s="147">
        <f>1706.54-AT335-AT307</f>
        <v>266.78999999999996</v>
      </c>
      <c r="AU306" s="64"/>
      <c r="AV306" s="65">
        <v>285.86</v>
      </c>
      <c r="AW306" s="64"/>
      <c r="AX306" s="65">
        <v>285.86</v>
      </c>
      <c r="AY306" s="64"/>
      <c r="AZ306" s="65">
        <v>285.86</v>
      </c>
      <c r="BA306" s="64"/>
      <c r="BB306" s="65">
        <v>285.86</v>
      </c>
      <c r="BC306" s="64"/>
      <c r="BD306" s="65">
        <v>285.86</v>
      </c>
      <c r="BE306" s="64"/>
      <c r="BF306" s="65">
        <v>285.86</v>
      </c>
      <c r="BG306" s="64"/>
      <c r="BH306" s="65">
        <v>285.86</v>
      </c>
      <c r="BI306" s="64"/>
      <c r="BJ306" s="65">
        <v>285.86</v>
      </c>
      <c r="BK306" s="64"/>
      <c r="BL306" s="65">
        <f>924*0.8</f>
        <v>739.2</v>
      </c>
      <c r="BM306" s="64"/>
      <c r="BN306" s="65">
        <f>924*0.8</f>
        <v>739.2</v>
      </c>
      <c r="BO306" s="64"/>
      <c r="BP306" s="65">
        <f>924*0.8</f>
        <v>739.2</v>
      </c>
      <c r="BQ306" s="64"/>
      <c r="BR306" s="65">
        <f>924*0.8</f>
        <v>739.2</v>
      </c>
      <c r="BS306" s="64"/>
    </row>
    <row r="307" spans="5:71" s="63" customFormat="1" outlineLevel="2" x14ac:dyDescent="0.25">
      <c r="E307" s="62"/>
      <c r="F307" s="62"/>
      <c r="G307" s="62"/>
      <c r="H307" s="63" t="s">
        <v>585</v>
      </c>
      <c r="J307" s="4"/>
      <c r="P307" s="64"/>
      <c r="S307" s="64"/>
      <c r="T307" s="65">
        <v>0</v>
      </c>
      <c r="U307" s="64"/>
      <c r="V307" s="65">
        <v>0</v>
      </c>
      <c r="W307" s="64"/>
      <c r="X307" s="65">
        <v>0</v>
      </c>
      <c r="Y307" s="64"/>
      <c r="Z307" s="65">
        <v>0</v>
      </c>
      <c r="AA307" s="64"/>
      <c r="AB307" s="65">
        <v>0</v>
      </c>
      <c r="AC307" s="64"/>
      <c r="AD307" s="65">
        <v>0</v>
      </c>
      <c r="AE307" s="64"/>
      <c r="AF307" s="65">
        <v>0</v>
      </c>
      <c r="AG307" s="64"/>
      <c r="AH307" s="65">
        <v>0</v>
      </c>
      <c r="AI307" s="64"/>
      <c r="AJ307" s="65">
        <v>0</v>
      </c>
      <c r="AK307" s="64"/>
      <c r="AL307" s="65">
        <v>0</v>
      </c>
      <c r="AM307" s="64"/>
      <c r="AN307" s="65">
        <v>0</v>
      </c>
      <c r="AO307" s="64"/>
      <c r="AP307" s="65">
        <v>9</v>
      </c>
      <c r="AQ307" s="64"/>
      <c r="AR307" s="65">
        <v>17.75</v>
      </c>
      <c r="AS307" s="64"/>
      <c r="AT307" s="147">
        <v>17.75</v>
      </c>
      <c r="AU307" s="64"/>
      <c r="AV307" s="65">
        <v>42</v>
      </c>
      <c r="AW307" s="64"/>
      <c r="AX307" s="65">
        <v>42</v>
      </c>
      <c r="AY307" s="64"/>
      <c r="AZ307" s="65">
        <v>42</v>
      </c>
      <c r="BA307" s="64"/>
      <c r="BB307" s="65">
        <v>42</v>
      </c>
      <c r="BC307" s="64"/>
      <c r="BD307" s="65">
        <v>42</v>
      </c>
      <c r="BE307" s="64"/>
      <c r="BF307" s="65">
        <v>42</v>
      </c>
      <c r="BG307" s="64"/>
      <c r="BH307" s="65">
        <v>42</v>
      </c>
      <c r="BI307" s="64"/>
      <c r="BJ307" s="65">
        <v>42</v>
      </c>
      <c r="BK307" s="64"/>
      <c r="BL307" s="65">
        <f>1082*0.8</f>
        <v>865.6</v>
      </c>
      <c r="BM307" s="64"/>
      <c r="BN307" s="65">
        <f>1082*0.8</f>
        <v>865.6</v>
      </c>
      <c r="BO307" s="64"/>
      <c r="BP307" s="65">
        <f>1082*0.8</f>
        <v>865.6</v>
      </c>
      <c r="BQ307" s="64"/>
      <c r="BR307" s="65">
        <f>1082*0.8</f>
        <v>865.6</v>
      </c>
      <c r="BS307" s="64"/>
    </row>
    <row r="308" spans="5:71" outlineLevel="1" x14ac:dyDescent="0.25">
      <c r="G308" s="4" t="s">
        <v>533</v>
      </c>
      <c r="H308" s="1"/>
      <c r="I308" s="63"/>
      <c r="J308" s="63"/>
      <c r="P308" s="31"/>
      <c r="T308" s="4">
        <f>T309+T310</f>
        <v>0</v>
      </c>
      <c r="U308" s="16"/>
      <c r="V308" s="4">
        <f>V309+V310</f>
        <v>0</v>
      </c>
      <c r="W308" s="16"/>
      <c r="X308" s="4">
        <f>X309+X310</f>
        <v>0</v>
      </c>
      <c r="Y308" s="16"/>
      <c r="Z308" s="4">
        <f>Z309+Z310</f>
        <v>0</v>
      </c>
      <c r="AA308" s="16"/>
      <c r="AB308" s="4">
        <f>AB309+AB310</f>
        <v>0</v>
      </c>
      <c r="AC308" s="16"/>
      <c r="AD308" s="4">
        <f>AD309+AD310</f>
        <v>0</v>
      </c>
      <c r="AE308" s="16"/>
      <c r="AF308" s="4">
        <f>AF309+AF310</f>
        <v>0</v>
      </c>
      <c r="AG308" s="16"/>
      <c r="AH308" s="4">
        <f>AH309+AH310</f>
        <v>0</v>
      </c>
      <c r="AI308" s="16"/>
      <c r="AJ308" s="4">
        <f>AJ309+AJ310</f>
        <v>0</v>
      </c>
      <c r="AK308" s="16"/>
      <c r="AL308" s="4">
        <f>AL309+AL310</f>
        <v>0</v>
      </c>
      <c r="AM308" s="16"/>
      <c r="AN308" s="4">
        <f>AN309+AN310</f>
        <v>0</v>
      </c>
      <c r="AO308" s="16"/>
      <c r="AP308" s="4">
        <f>AP309+AP310</f>
        <v>0</v>
      </c>
      <c r="AQ308" s="16"/>
      <c r="AR308" s="4">
        <f>AR309+AR310</f>
        <v>0</v>
      </c>
      <c r="AS308" s="16"/>
      <c r="AT308" s="121">
        <f>AT309+AT310</f>
        <v>0</v>
      </c>
      <c r="AU308" s="16"/>
      <c r="AV308" s="4">
        <f>AV309+AV310</f>
        <v>0</v>
      </c>
      <c r="AW308" s="16"/>
      <c r="AX308" s="4">
        <f>AX309+AX310</f>
        <v>0</v>
      </c>
      <c r="AY308" s="16"/>
      <c r="AZ308" s="4">
        <f>AZ309+AZ310</f>
        <v>0</v>
      </c>
      <c r="BA308" s="16"/>
      <c r="BB308" s="4">
        <f>BB309+BB310</f>
        <v>0</v>
      </c>
      <c r="BC308" s="16"/>
      <c r="BD308" s="4">
        <f>BD309+BD310</f>
        <v>0</v>
      </c>
      <c r="BE308" s="16"/>
      <c r="BF308" s="4">
        <f>BF309+BF310</f>
        <v>2192.16</v>
      </c>
      <c r="BG308" s="16"/>
      <c r="BH308" s="4">
        <f>BH309+BH310</f>
        <v>2192.16</v>
      </c>
      <c r="BI308" s="16"/>
      <c r="BJ308" s="4">
        <f>BJ309+BJ310</f>
        <v>2192.16</v>
      </c>
      <c r="BK308" s="16"/>
      <c r="BL308" s="4">
        <f>BL309+BL310</f>
        <v>2192.16</v>
      </c>
      <c r="BM308" s="16"/>
      <c r="BN308" s="4">
        <f>BN309+BN310</f>
        <v>2192.16</v>
      </c>
      <c r="BO308" s="16"/>
      <c r="BP308" s="4">
        <f>BP309+BP310</f>
        <v>2192.16</v>
      </c>
      <c r="BQ308" s="16"/>
      <c r="BR308" s="4">
        <f>BR309+BR310</f>
        <v>2192.16</v>
      </c>
      <c r="BS308" s="16"/>
    </row>
    <row r="309" spans="5:71" s="63" customFormat="1" outlineLevel="2" x14ac:dyDescent="0.25">
      <c r="E309" s="62"/>
      <c r="F309" s="62"/>
      <c r="G309" s="62"/>
      <c r="H309" s="63" t="s">
        <v>584</v>
      </c>
      <c r="I309" s="4"/>
      <c r="P309" s="64"/>
      <c r="S309" s="64"/>
      <c r="T309" s="65">
        <v>0</v>
      </c>
      <c r="U309" s="64"/>
      <c r="V309" s="65">
        <v>0</v>
      </c>
      <c r="W309" s="64"/>
      <c r="X309" s="65">
        <v>0</v>
      </c>
      <c r="Y309" s="64"/>
      <c r="Z309" s="65">
        <v>0</v>
      </c>
      <c r="AA309" s="64"/>
      <c r="AB309" s="65">
        <v>0</v>
      </c>
      <c r="AC309" s="64"/>
      <c r="AD309" s="65">
        <v>0</v>
      </c>
      <c r="AE309" s="64"/>
      <c r="AF309" s="65">
        <v>0</v>
      </c>
      <c r="AG309" s="64"/>
      <c r="AH309" s="65">
        <v>0</v>
      </c>
      <c r="AI309" s="64"/>
      <c r="AJ309" s="65">
        <v>0</v>
      </c>
      <c r="AK309" s="64"/>
      <c r="AL309" s="65">
        <v>0</v>
      </c>
      <c r="AM309" s="64"/>
      <c r="AN309" s="65">
        <v>0</v>
      </c>
      <c r="AO309" s="64"/>
      <c r="AP309" s="65">
        <v>0</v>
      </c>
      <c r="AQ309" s="64"/>
      <c r="AR309" s="65">
        <v>0</v>
      </c>
      <c r="AS309" s="64"/>
      <c r="AT309" s="147">
        <v>0</v>
      </c>
      <c r="AU309" s="64"/>
      <c r="AV309" s="65">
        <v>0</v>
      </c>
      <c r="AW309" s="64"/>
      <c r="AX309" s="65">
        <v>0</v>
      </c>
      <c r="AY309" s="64"/>
      <c r="AZ309" s="65">
        <v>0</v>
      </c>
      <c r="BA309" s="64"/>
      <c r="BB309" s="65">
        <v>0</v>
      </c>
      <c r="BC309" s="64"/>
      <c r="BD309" s="65">
        <v>0</v>
      </c>
      <c r="BE309" s="64"/>
      <c r="BF309" s="65">
        <v>1004.49</v>
      </c>
      <c r="BG309" s="64"/>
      <c r="BH309" s="65">
        <v>1004.49</v>
      </c>
      <c r="BI309" s="64"/>
      <c r="BJ309" s="65">
        <v>1004.49</v>
      </c>
      <c r="BK309" s="64"/>
      <c r="BL309" s="65">
        <v>1004.49</v>
      </c>
      <c r="BM309" s="64"/>
      <c r="BN309" s="65">
        <v>1004.49</v>
      </c>
      <c r="BO309" s="64"/>
      <c r="BP309" s="65">
        <v>1004.49</v>
      </c>
      <c r="BQ309" s="64"/>
      <c r="BR309" s="65">
        <v>1004.49</v>
      </c>
      <c r="BS309" s="64"/>
    </row>
    <row r="310" spans="5:71" s="63" customFormat="1" outlineLevel="2" x14ac:dyDescent="0.25">
      <c r="E310" s="62"/>
      <c r="F310" s="62"/>
      <c r="G310" s="62"/>
      <c r="H310" s="63" t="s">
        <v>585</v>
      </c>
      <c r="J310" s="4"/>
      <c r="P310" s="64"/>
      <c r="S310" s="64"/>
      <c r="T310" s="65">
        <v>0</v>
      </c>
      <c r="U310" s="64"/>
      <c r="V310" s="65">
        <v>0</v>
      </c>
      <c r="W310" s="64"/>
      <c r="X310" s="65">
        <v>0</v>
      </c>
      <c r="Y310" s="64"/>
      <c r="Z310" s="65">
        <v>0</v>
      </c>
      <c r="AA310" s="64"/>
      <c r="AB310" s="65">
        <v>0</v>
      </c>
      <c r="AC310" s="64"/>
      <c r="AD310" s="65">
        <v>0</v>
      </c>
      <c r="AE310" s="64"/>
      <c r="AF310" s="65">
        <v>0</v>
      </c>
      <c r="AG310" s="64"/>
      <c r="AH310" s="65">
        <v>0</v>
      </c>
      <c r="AI310" s="64"/>
      <c r="AJ310" s="65">
        <v>0</v>
      </c>
      <c r="AK310" s="64"/>
      <c r="AL310" s="65">
        <v>0</v>
      </c>
      <c r="AM310" s="64"/>
      <c r="AN310" s="65">
        <v>0</v>
      </c>
      <c r="AO310" s="64"/>
      <c r="AP310" s="65">
        <v>0</v>
      </c>
      <c r="AQ310" s="64"/>
      <c r="AR310" s="65">
        <v>0</v>
      </c>
      <c r="AS310" s="64"/>
      <c r="AT310" s="147">
        <v>0</v>
      </c>
      <c r="AU310" s="64"/>
      <c r="AV310" s="65">
        <v>0</v>
      </c>
      <c r="AW310" s="64"/>
      <c r="AX310" s="65">
        <v>0</v>
      </c>
      <c r="AY310" s="64"/>
      <c r="AZ310" s="65">
        <v>0</v>
      </c>
      <c r="BA310" s="64"/>
      <c r="BB310" s="65">
        <v>0</v>
      </c>
      <c r="BC310" s="64"/>
      <c r="BD310" s="65">
        <v>0</v>
      </c>
      <c r="BE310" s="64"/>
      <c r="BF310" s="65">
        <v>1187.67</v>
      </c>
      <c r="BG310" s="64"/>
      <c r="BH310" s="65">
        <v>1187.67</v>
      </c>
      <c r="BI310" s="64"/>
      <c r="BJ310" s="65">
        <v>1187.67</v>
      </c>
      <c r="BK310" s="64"/>
      <c r="BL310" s="65">
        <v>1187.67</v>
      </c>
      <c r="BM310" s="64"/>
      <c r="BN310" s="65">
        <v>1187.67</v>
      </c>
      <c r="BO310" s="64"/>
      <c r="BP310" s="65">
        <v>1187.67</v>
      </c>
      <c r="BQ310" s="64"/>
      <c r="BR310" s="65">
        <v>1187.67</v>
      </c>
      <c r="BS310" s="64"/>
    </row>
    <row r="311" spans="5:71" outlineLevel="1" x14ac:dyDescent="0.25">
      <c r="G311" s="4" t="s">
        <v>596</v>
      </c>
      <c r="H311" s="1"/>
      <c r="I311" s="63"/>
      <c r="J311" s="63"/>
      <c r="P311" s="31"/>
      <c r="T311" s="4">
        <f>T312+T313</f>
        <v>0</v>
      </c>
      <c r="U311" s="16"/>
      <c r="V311" s="4">
        <f>V312+V313</f>
        <v>0</v>
      </c>
      <c r="W311" s="16"/>
      <c r="X311" s="4">
        <f>X312+X313</f>
        <v>0</v>
      </c>
      <c r="Y311" s="16"/>
      <c r="Z311" s="4">
        <f>Z312+Z313</f>
        <v>0</v>
      </c>
      <c r="AA311" s="16"/>
      <c r="AB311" s="4">
        <f>AB312+AB313</f>
        <v>0</v>
      </c>
      <c r="AC311" s="16"/>
      <c r="AD311" s="4">
        <f>AD312+AD313</f>
        <v>0</v>
      </c>
      <c r="AE311" s="16"/>
      <c r="AF311" s="4">
        <f>AF312+AF313</f>
        <v>0</v>
      </c>
      <c r="AG311" s="16"/>
      <c r="AH311" s="4">
        <f>AH312+AH313</f>
        <v>0</v>
      </c>
      <c r="AI311" s="16"/>
      <c r="AJ311" s="4">
        <f>AJ312+AJ313</f>
        <v>0</v>
      </c>
      <c r="AK311" s="16"/>
      <c r="AL311" s="4">
        <f>AL312+AL313</f>
        <v>0</v>
      </c>
      <c r="AM311" s="16"/>
      <c r="AN311" s="4">
        <f>AN312+AN313</f>
        <v>0</v>
      </c>
      <c r="AO311" s="16"/>
      <c r="AP311" s="4">
        <f>AP312+AP313*0.8</f>
        <v>0</v>
      </c>
      <c r="AQ311" s="16"/>
      <c r="AR311" s="4">
        <f>AR312+AR313*0.8</f>
        <v>0</v>
      </c>
      <c r="AS311" s="16"/>
      <c r="AT311" s="121">
        <f>AT312+AT313*0.8</f>
        <v>0</v>
      </c>
      <c r="AU311" s="16"/>
      <c r="AV311" s="4">
        <f>AV312+AV313*0.8</f>
        <v>263</v>
      </c>
      <c r="AW311" s="16"/>
      <c r="AX311" s="4">
        <f>AX312+AX313*0.8</f>
        <v>263</v>
      </c>
      <c r="AY311" s="16"/>
      <c r="AZ311" s="4">
        <f>AZ312+AZ313*0.8</f>
        <v>263</v>
      </c>
      <c r="BA311" s="16"/>
      <c r="BB311" s="4">
        <f>BB312+BB313*0.8</f>
        <v>263</v>
      </c>
      <c r="BC311" s="16"/>
      <c r="BD311" s="4">
        <f>BD312+BD313*0.8</f>
        <v>263</v>
      </c>
      <c r="BE311" s="16"/>
      <c r="BF311" s="4">
        <f>BF312+BF313*0.8</f>
        <v>263</v>
      </c>
      <c r="BG311" s="16"/>
      <c r="BH311" s="4">
        <f>BH312+BH313*0.8</f>
        <v>263</v>
      </c>
      <c r="BI311" s="16"/>
      <c r="BJ311" s="4">
        <f>BJ312+BJ313*0.8</f>
        <v>263</v>
      </c>
      <c r="BK311" s="16"/>
      <c r="BL311" s="4">
        <f>BL312+BL313*0.8</f>
        <v>263</v>
      </c>
      <c r="BM311" s="16"/>
      <c r="BN311" s="4">
        <f>BN312+BN313*0.8</f>
        <v>263</v>
      </c>
      <c r="BO311" s="16"/>
      <c r="BP311" s="4">
        <f>BP312+BP313*0.8</f>
        <v>263</v>
      </c>
      <c r="BQ311" s="16"/>
      <c r="BR311" s="4">
        <f>BR312+BR313*0.8</f>
        <v>263</v>
      </c>
      <c r="BS311" s="16"/>
    </row>
    <row r="312" spans="5:71" s="63" customFormat="1" outlineLevel="2" x14ac:dyDescent="0.25">
      <c r="E312" s="62"/>
      <c r="F312" s="62"/>
      <c r="G312" s="62"/>
      <c r="H312" s="63" t="s">
        <v>584</v>
      </c>
      <c r="I312" s="4"/>
      <c r="P312" s="64"/>
      <c r="S312" s="64"/>
      <c r="T312" s="65">
        <v>0</v>
      </c>
      <c r="U312" s="64"/>
      <c r="V312" s="65">
        <v>0</v>
      </c>
      <c r="W312" s="64"/>
      <c r="X312" s="65">
        <v>0</v>
      </c>
      <c r="Y312" s="64"/>
      <c r="Z312" s="65">
        <v>0</v>
      </c>
      <c r="AA312" s="64"/>
      <c r="AB312" s="65">
        <v>0</v>
      </c>
      <c r="AC312" s="64"/>
      <c r="AD312" s="65">
        <v>0</v>
      </c>
      <c r="AE312" s="64"/>
      <c r="AF312" s="65">
        <v>0</v>
      </c>
      <c r="AG312" s="64"/>
      <c r="AH312" s="65">
        <v>0</v>
      </c>
      <c r="AI312" s="64"/>
      <c r="AJ312" s="65">
        <v>0</v>
      </c>
      <c r="AK312" s="64"/>
      <c r="AL312" s="65">
        <v>0</v>
      </c>
      <c r="AM312" s="64"/>
      <c r="AN312" s="65">
        <v>0</v>
      </c>
      <c r="AO312" s="64"/>
      <c r="AP312" s="65">
        <v>0</v>
      </c>
      <c r="AQ312" s="64"/>
      <c r="AR312" s="65">
        <v>0</v>
      </c>
      <c r="AS312" s="64"/>
      <c r="AT312" s="147">
        <v>0</v>
      </c>
      <c r="AU312" s="64"/>
      <c r="AV312" s="65">
        <v>239</v>
      </c>
      <c r="AW312" s="64"/>
      <c r="AX312" s="65">
        <v>239</v>
      </c>
      <c r="AY312" s="64"/>
      <c r="AZ312" s="65">
        <v>239</v>
      </c>
      <c r="BA312" s="64"/>
      <c r="BB312" s="65">
        <v>239</v>
      </c>
      <c r="BC312" s="64"/>
      <c r="BD312" s="65">
        <v>239</v>
      </c>
      <c r="BE312" s="64"/>
      <c r="BF312" s="65">
        <v>239</v>
      </c>
      <c r="BG312" s="64"/>
      <c r="BH312" s="65">
        <v>239</v>
      </c>
      <c r="BI312" s="64"/>
      <c r="BJ312" s="65">
        <v>239</v>
      </c>
      <c r="BK312" s="64"/>
      <c r="BL312" s="65">
        <v>239</v>
      </c>
      <c r="BM312" s="64"/>
      <c r="BN312" s="65">
        <v>239</v>
      </c>
      <c r="BO312" s="64"/>
      <c r="BP312" s="65">
        <v>239</v>
      </c>
      <c r="BQ312" s="64"/>
      <c r="BR312" s="65">
        <v>239</v>
      </c>
      <c r="BS312" s="64"/>
    </row>
    <row r="313" spans="5:71" s="63" customFormat="1" outlineLevel="2" x14ac:dyDescent="0.25">
      <c r="E313" s="62"/>
      <c r="F313" s="62"/>
      <c r="G313" s="62"/>
      <c r="H313" s="63" t="s">
        <v>585</v>
      </c>
      <c r="J313" s="4"/>
      <c r="P313" s="64"/>
      <c r="S313" s="64"/>
      <c r="T313" s="65">
        <v>0</v>
      </c>
      <c r="U313" s="64"/>
      <c r="V313" s="65">
        <v>0</v>
      </c>
      <c r="W313" s="64"/>
      <c r="X313" s="65">
        <v>0</v>
      </c>
      <c r="Y313" s="64"/>
      <c r="Z313" s="65">
        <v>0</v>
      </c>
      <c r="AA313" s="64"/>
      <c r="AB313" s="65">
        <v>0</v>
      </c>
      <c r="AC313" s="64"/>
      <c r="AD313" s="65">
        <v>0</v>
      </c>
      <c r="AE313" s="64"/>
      <c r="AF313" s="65">
        <v>0</v>
      </c>
      <c r="AG313" s="64"/>
      <c r="AH313" s="65">
        <v>0</v>
      </c>
      <c r="AI313" s="64"/>
      <c r="AJ313" s="65">
        <v>0</v>
      </c>
      <c r="AK313" s="64"/>
      <c r="AL313" s="65">
        <v>0</v>
      </c>
      <c r="AM313" s="64"/>
      <c r="AN313" s="65">
        <v>0</v>
      </c>
      <c r="AO313" s="64"/>
      <c r="AP313" s="65">
        <v>0</v>
      </c>
      <c r="AQ313" s="64"/>
      <c r="AR313" s="65">
        <v>0</v>
      </c>
      <c r="AS313" s="64"/>
      <c r="AT313" s="147">
        <v>0</v>
      </c>
      <c r="AU313" s="64"/>
      <c r="AV313" s="65">
        <v>30</v>
      </c>
      <c r="AW313" s="64"/>
      <c r="AX313" s="65">
        <v>30</v>
      </c>
      <c r="AY313" s="64"/>
      <c r="AZ313" s="65">
        <v>30</v>
      </c>
      <c r="BA313" s="64"/>
      <c r="BB313" s="65">
        <v>30</v>
      </c>
      <c r="BC313" s="64"/>
      <c r="BD313" s="65">
        <v>30</v>
      </c>
      <c r="BE313" s="64"/>
      <c r="BF313" s="65">
        <v>30</v>
      </c>
      <c r="BG313" s="64"/>
      <c r="BH313" s="65">
        <v>30</v>
      </c>
      <c r="BI313" s="64"/>
      <c r="BJ313" s="65">
        <v>30</v>
      </c>
      <c r="BK313" s="64"/>
      <c r="BL313" s="65">
        <v>30</v>
      </c>
      <c r="BM313" s="64"/>
      <c r="BN313" s="65">
        <v>30</v>
      </c>
      <c r="BO313" s="64"/>
      <c r="BP313" s="65">
        <v>30</v>
      </c>
      <c r="BQ313" s="64"/>
      <c r="BR313" s="65">
        <v>30</v>
      </c>
      <c r="BS313" s="64"/>
    </row>
    <row r="314" spans="5:71" outlineLevel="1" x14ac:dyDescent="0.25">
      <c r="G314" s="4" t="s">
        <v>592</v>
      </c>
      <c r="H314" s="1"/>
      <c r="I314" s="63"/>
      <c r="J314" s="63"/>
      <c r="P314" s="31"/>
      <c r="T314" s="4">
        <f>T315+T316</f>
        <v>0</v>
      </c>
      <c r="U314" s="16"/>
      <c r="V314" s="4">
        <f>V315+V316</f>
        <v>0</v>
      </c>
      <c r="W314" s="16"/>
      <c r="X314" s="4">
        <f>X315+X316</f>
        <v>0</v>
      </c>
      <c r="Y314" s="16"/>
      <c r="Z314" s="4">
        <f>Z315+Z316</f>
        <v>0</v>
      </c>
      <c r="AA314" s="16"/>
      <c r="AB314" s="4">
        <f>AB315+AB316</f>
        <v>0</v>
      </c>
      <c r="AC314" s="16"/>
      <c r="AD314" s="4">
        <f>AD315+AD316</f>
        <v>0</v>
      </c>
      <c r="AE314" s="16"/>
      <c r="AF314" s="4">
        <f>AF315+AF316</f>
        <v>0</v>
      </c>
      <c r="AG314" s="16"/>
      <c r="AH314" s="4">
        <f>AH315+AH316</f>
        <v>0</v>
      </c>
      <c r="AI314" s="16"/>
      <c r="AJ314" s="4">
        <f>AJ315+AJ316</f>
        <v>0</v>
      </c>
      <c r="AK314" s="16"/>
      <c r="AL314" s="4">
        <f>AL315+AL316</f>
        <v>0</v>
      </c>
      <c r="AM314" s="16"/>
      <c r="AN314" s="4">
        <f>AN315+AN316</f>
        <v>0</v>
      </c>
      <c r="AO314" s="16"/>
      <c r="AP314" s="4">
        <f>AP315+AP316*0.8</f>
        <v>0</v>
      </c>
      <c r="AQ314" s="16"/>
      <c r="AR314" s="4">
        <f>AR315+AR316*0.8</f>
        <v>0</v>
      </c>
      <c r="AS314" s="16"/>
      <c r="AT314" s="121">
        <f>AT315+AT316*0.8</f>
        <v>0</v>
      </c>
      <c r="AU314" s="16"/>
      <c r="AV314" s="4">
        <f>AV315+AV316*0.8</f>
        <v>0</v>
      </c>
      <c r="AW314" s="16"/>
      <c r="AX314" s="4">
        <f>AX315+AX316*0.8</f>
        <v>0</v>
      </c>
      <c r="AY314" s="16"/>
      <c r="AZ314" s="4">
        <f>AZ315+AZ316*0.8</f>
        <v>0</v>
      </c>
      <c r="BA314" s="16"/>
      <c r="BB314" s="4">
        <f>BB315+BB316*0.8</f>
        <v>263</v>
      </c>
      <c r="BC314" s="16"/>
      <c r="BD314" s="4">
        <f>BD315+BD316*0.8</f>
        <v>263</v>
      </c>
      <c r="BE314" s="16"/>
      <c r="BF314" s="4">
        <f>BF315+BF316*0.8</f>
        <v>263</v>
      </c>
      <c r="BG314" s="16"/>
      <c r="BH314" s="4">
        <f>BH315+BH316*0.8</f>
        <v>0</v>
      </c>
      <c r="BI314" s="16"/>
      <c r="BJ314" s="4">
        <f>BJ315+BJ316*0.8</f>
        <v>0</v>
      </c>
      <c r="BK314" s="16"/>
      <c r="BL314" s="4">
        <f>BL315+BL316*0.8</f>
        <v>1789.6</v>
      </c>
      <c r="BM314" s="16"/>
      <c r="BN314" s="4">
        <f>BN315+BN316*0.8</f>
        <v>1789.6</v>
      </c>
      <c r="BO314" s="16"/>
      <c r="BP314" s="4">
        <f>BP315+BP316*0.8</f>
        <v>1789.6</v>
      </c>
      <c r="BQ314" s="16"/>
      <c r="BR314" s="4">
        <f>BR315+BR316*0.8</f>
        <v>1789.6</v>
      </c>
      <c r="BS314" s="16"/>
    </row>
    <row r="315" spans="5:71" s="63" customFormat="1" outlineLevel="2" x14ac:dyDescent="0.25">
      <c r="E315" s="62"/>
      <c r="F315" s="62"/>
      <c r="G315" s="62"/>
      <c r="H315" s="63" t="s">
        <v>584</v>
      </c>
      <c r="I315" s="4"/>
      <c r="P315" s="64"/>
      <c r="S315" s="64"/>
      <c r="T315" s="65">
        <v>0</v>
      </c>
      <c r="U315" s="64"/>
      <c r="V315" s="65">
        <v>0</v>
      </c>
      <c r="W315" s="64"/>
      <c r="X315" s="65">
        <v>0</v>
      </c>
      <c r="Y315" s="64"/>
      <c r="Z315" s="65">
        <v>0</v>
      </c>
      <c r="AA315" s="64"/>
      <c r="AB315" s="65">
        <v>0</v>
      </c>
      <c r="AC315" s="64"/>
      <c r="AD315" s="65">
        <v>0</v>
      </c>
      <c r="AE315" s="64"/>
      <c r="AF315" s="65">
        <v>0</v>
      </c>
      <c r="AG315" s="64"/>
      <c r="AH315" s="65">
        <v>0</v>
      </c>
      <c r="AI315" s="64"/>
      <c r="AJ315" s="65">
        <v>0</v>
      </c>
      <c r="AK315" s="64"/>
      <c r="AL315" s="65">
        <v>0</v>
      </c>
      <c r="AM315" s="64"/>
      <c r="AN315" s="65">
        <v>0</v>
      </c>
      <c r="AO315" s="64"/>
      <c r="AP315" s="65">
        <v>0</v>
      </c>
      <c r="AQ315" s="64"/>
      <c r="AR315" s="65">
        <v>0</v>
      </c>
      <c r="AS315" s="64"/>
      <c r="AT315" s="147">
        <v>0</v>
      </c>
      <c r="AU315" s="64"/>
      <c r="AV315" s="65">
        <v>0</v>
      </c>
      <c r="AW315" s="64"/>
      <c r="AX315" s="65">
        <v>0</v>
      </c>
      <c r="AY315" s="64"/>
      <c r="AZ315" s="65">
        <v>0</v>
      </c>
      <c r="BA315" s="64"/>
      <c r="BB315" s="65">
        <v>239</v>
      </c>
      <c r="BC315" s="64"/>
      <c r="BD315" s="65">
        <v>239</v>
      </c>
      <c r="BE315" s="64"/>
      <c r="BF315" s="65">
        <v>239</v>
      </c>
      <c r="BG315" s="64"/>
      <c r="BH315" s="65">
        <v>0</v>
      </c>
      <c r="BI315" s="64"/>
      <c r="BJ315" s="65">
        <v>0</v>
      </c>
      <c r="BK315" s="64"/>
      <c r="BL315" s="65">
        <f>924</f>
        <v>924</v>
      </c>
      <c r="BM315" s="64"/>
      <c r="BN315" s="65">
        <f>924</f>
        <v>924</v>
      </c>
      <c r="BO315" s="64"/>
      <c r="BP315" s="65">
        <f>924</f>
        <v>924</v>
      </c>
      <c r="BQ315" s="64"/>
      <c r="BR315" s="65">
        <f>924</f>
        <v>924</v>
      </c>
      <c r="BS315" s="64"/>
    </row>
    <row r="316" spans="5:71" s="63" customFormat="1" outlineLevel="2" x14ac:dyDescent="0.25">
      <c r="E316" s="62"/>
      <c r="F316" s="62"/>
      <c r="G316" s="62"/>
      <c r="H316" s="63" t="s">
        <v>585</v>
      </c>
      <c r="J316" s="4"/>
      <c r="P316" s="64"/>
      <c r="S316" s="64"/>
      <c r="T316" s="65">
        <v>0</v>
      </c>
      <c r="U316" s="64"/>
      <c r="V316" s="65">
        <v>0</v>
      </c>
      <c r="W316" s="64"/>
      <c r="X316" s="65">
        <v>0</v>
      </c>
      <c r="Y316" s="64"/>
      <c r="Z316" s="65">
        <v>0</v>
      </c>
      <c r="AA316" s="64"/>
      <c r="AB316" s="65">
        <v>0</v>
      </c>
      <c r="AC316" s="64"/>
      <c r="AD316" s="65">
        <v>0</v>
      </c>
      <c r="AE316" s="64"/>
      <c r="AF316" s="65">
        <v>0</v>
      </c>
      <c r="AG316" s="64"/>
      <c r="AH316" s="65">
        <v>0</v>
      </c>
      <c r="AI316" s="64"/>
      <c r="AJ316" s="65">
        <v>0</v>
      </c>
      <c r="AK316" s="64"/>
      <c r="AL316" s="65">
        <v>0</v>
      </c>
      <c r="AM316" s="64"/>
      <c r="AN316" s="65">
        <v>0</v>
      </c>
      <c r="AO316" s="64"/>
      <c r="AP316" s="65">
        <v>0</v>
      </c>
      <c r="AQ316" s="64"/>
      <c r="AR316" s="65">
        <v>0</v>
      </c>
      <c r="AS316" s="64"/>
      <c r="AT316" s="147">
        <v>0</v>
      </c>
      <c r="AU316" s="64"/>
      <c r="AV316" s="65">
        <v>0</v>
      </c>
      <c r="AW316" s="64"/>
      <c r="AX316" s="65">
        <v>0</v>
      </c>
      <c r="AY316" s="64"/>
      <c r="AZ316" s="65">
        <v>0</v>
      </c>
      <c r="BA316" s="64"/>
      <c r="BB316" s="65">
        <v>30</v>
      </c>
      <c r="BC316" s="64"/>
      <c r="BD316" s="65">
        <v>30</v>
      </c>
      <c r="BE316" s="64"/>
      <c r="BF316" s="65">
        <v>30</v>
      </c>
      <c r="BG316" s="64"/>
      <c r="BH316" s="65">
        <v>0</v>
      </c>
      <c r="BI316" s="64"/>
      <c r="BJ316" s="65">
        <v>0</v>
      </c>
      <c r="BK316" s="64"/>
      <c r="BL316" s="65">
        <f>1082</f>
        <v>1082</v>
      </c>
      <c r="BM316" s="64"/>
      <c r="BN316" s="65">
        <f>1082</f>
        <v>1082</v>
      </c>
      <c r="BO316" s="64"/>
      <c r="BP316" s="65">
        <f>1082</f>
        <v>1082</v>
      </c>
      <c r="BQ316" s="64"/>
      <c r="BR316" s="65">
        <f>1082</f>
        <v>1082</v>
      </c>
      <c r="BS316" s="64"/>
    </row>
    <row r="317" spans="5:71" outlineLevel="1" x14ac:dyDescent="0.25">
      <c r="G317" s="4" t="s">
        <v>597</v>
      </c>
      <c r="H317" s="1"/>
      <c r="I317" s="63"/>
      <c r="J317" s="63"/>
      <c r="P317" s="31"/>
      <c r="T317" s="4">
        <f>T318+T319</f>
        <v>0</v>
      </c>
      <c r="U317" s="16"/>
      <c r="V317" s="4">
        <f>V318+V319</f>
        <v>0</v>
      </c>
      <c r="W317" s="16"/>
      <c r="X317" s="4">
        <f>X318+X319</f>
        <v>0</v>
      </c>
      <c r="Y317" s="16"/>
      <c r="Z317" s="4">
        <f>Z318+Z319</f>
        <v>0</v>
      </c>
      <c r="AA317" s="16"/>
      <c r="AB317" s="4">
        <f>AB318+AB319</f>
        <v>0</v>
      </c>
      <c r="AC317" s="16"/>
      <c r="AD317" s="4">
        <f>AD318+AD319</f>
        <v>0</v>
      </c>
      <c r="AE317" s="16"/>
      <c r="AF317" s="4">
        <f>AF318+AF319</f>
        <v>0</v>
      </c>
      <c r="AG317" s="16"/>
      <c r="AH317" s="4">
        <f>AH318+AH319</f>
        <v>0</v>
      </c>
      <c r="AI317" s="16"/>
      <c r="AJ317" s="4">
        <f>AJ318+AJ319</f>
        <v>0</v>
      </c>
      <c r="AK317" s="16"/>
      <c r="AL317" s="4">
        <f>AL318+AL319</f>
        <v>0</v>
      </c>
      <c r="AM317" s="16"/>
      <c r="AN317" s="4">
        <f>AN318+AN319</f>
        <v>0</v>
      </c>
      <c r="AO317" s="16"/>
      <c r="AP317" s="4">
        <f>AP318+AP319</f>
        <v>0</v>
      </c>
      <c r="AQ317" s="16"/>
      <c r="AR317" s="4">
        <f>AR318+AR319</f>
        <v>0</v>
      </c>
      <c r="AS317" s="16"/>
      <c r="AT317" s="121">
        <f>AT318+AT319</f>
        <v>0</v>
      </c>
      <c r="AU317" s="16"/>
      <c r="AV317" s="4">
        <f>AV318+AV319</f>
        <v>0</v>
      </c>
      <c r="AW317" s="16"/>
      <c r="AX317" s="4">
        <f>AX318+AX319</f>
        <v>0</v>
      </c>
      <c r="AY317" s="16"/>
      <c r="AZ317" s="4">
        <f>AZ318+AZ319</f>
        <v>0</v>
      </c>
      <c r="BA317" s="16"/>
      <c r="BB317" s="4">
        <f>BB318+BB319</f>
        <v>0</v>
      </c>
      <c r="BC317" s="16"/>
      <c r="BD317" s="4">
        <f>BD318+BD319</f>
        <v>0</v>
      </c>
      <c r="BE317" s="16"/>
      <c r="BF317" s="4">
        <f>BF318+BF319</f>
        <v>0</v>
      </c>
      <c r="BG317" s="16"/>
      <c r="BH317" s="4">
        <f>BH318+BH319</f>
        <v>0</v>
      </c>
      <c r="BI317" s="16"/>
      <c r="BJ317" s="4">
        <f>BJ318+BJ319</f>
        <v>2006</v>
      </c>
      <c r="BK317" s="16"/>
      <c r="BL317" s="4">
        <f>BL318+BL319</f>
        <v>2006</v>
      </c>
      <c r="BM317" s="16"/>
      <c r="BN317" s="4">
        <f>BN318+BN319</f>
        <v>2006</v>
      </c>
      <c r="BO317" s="16"/>
      <c r="BP317" s="4">
        <f>BP318+BP319</f>
        <v>2006</v>
      </c>
      <c r="BQ317" s="16"/>
      <c r="BR317" s="4">
        <f>BR318+BR319</f>
        <v>2006</v>
      </c>
      <c r="BS317" s="16"/>
    </row>
    <row r="318" spans="5:71" s="63" customFormat="1" outlineLevel="2" x14ac:dyDescent="0.25">
      <c r="E318" s="62"/>
      <c r="F318" s="62"/>
      <c r="G318" s="62"/>
      <c r="H318" s="63" t="s">
        <v>584</v>
      </c>
      <c r="I318" s="4"/>
      <c r="P318" s="64"/>
      <c r="S318" s="64"/>
      <c r="T318" s="65">
        <v>0</v>
      </c>
      <c r="U318" s="64"/>
      <c r="V318" s="65">
        <v>0</v>
      </c>
      <c r="W318" s="64"/>
      <c r="X318" s="65">
        <v>0</v>
      </c>
      <c r="Y318" s="64"/>
      <c r="Z318" s="65">
        <v>0</v>
      </c>
      <c r="AA318" s="64"/>
      <c r="AB318" s="65">
        <v>0</v>
      </c>
      <c r="AC318" s="64"/>
      <c r="AD318" s="65">
        <v>0</v>
      </c>
      <c r="AE318" s="64"/>
      <c r="AF318" s="65">
        <v>0</v>
      </c>
      <c r="AG318" s="64"/>
      <c r="AH318" s="65">
        <v>0</v>
      </c>
      <c r="AI318" s="64"/>
      <c r="AJ318" s="65">
        <v>0</v>
      </c>
      <c r="AK318" s="64"/>
      <c r="AL318" s="65">
        <v>0</v>
      </c>
      <c r="AM318" s="64"/>
      <c r="AN318" s="65">
        <v>0</v>
      </c>
      <c r="AO318" s="64"/>
      <c r="AP318" s="65">
        <v>0</v>
      </c>
      <c r="AQ318" s="64"/>
      <c r="AR318" s="65">
        <v>0</v>
      </c>
      <c r="AS318" s="64"/>
      <c r="AT318" s="147">
        <v>0</v>
      </c>
      <c r="AU318" s="64"/>
      <c r="AV318" s="65">
        <v>0</v>
      </c>
      <c r="AW318" s="64"/>
      <c r="AX318" s="65">
        <v>0</v>
      </c>
      <c r="AY318" s="64"/>
      <c r="AZ318" s="65">
        <v>0</v>
      </c>
      <c r="BA318" s="64"/>
      <c r="BB318" s="65">
        <v>0</v>
      </c>
      <c r="BC318" s="64"/>
      <c r="BD318" s="65">
        <v>0</v>
      </c>
      <c r="BE318" s="64"/>
      <c r="BF318" s="65">
        <v>0</v>
      </c>
      <c r="BG318" s="64"/>
      <c r="BH318" s="65">
        <v>0</v>
      </c>
      <c r="BI318" s="64"/>
      <c r="BJ318" s="65">
        <f>924</f>
        <v>924</v>
      </c>
      <c r="BK318" s="64"/>
      <c r="BL318" s="65">
        <f>924</f>
        <v>924</v>
      </c>
      <c r="BM318" s="64"/>
      <c r="BN318" s="65">
        <f>924</f>
        <v>924</v>
      </c>
      <c r="BO318" s="64"/>
      <c r="BP318" s="65">
        <f>924</f>
        <v>924</v>
      </c>
      <c r="BQ318" s="64"/>
      <c r="BR318" s="65">
        <f>924</f>
        <v>924</v>
      </c>
      <c r="BS318" s="64"/>
    </row>
    <row r="319" spans="5:71" s="63" customFormat="1" outlineLevel="2" x14ac:dyDescent="0.25">
      <c r="E319" s="62"/>
      <c r="F319" s="62"/>
      <c r="G319" s="62"/>
      <c r="H319" s="63" t="s">
        <v>585</v>
      </c>
      <c r="J319" s="4"/>
      <c r="P319" s="64"/>
      <c r="S319" s="64"/>
      <c r="T319" s="65">
        <v>0</v>
      </c>
      <c r="U319" s="64"/>
      <c r="V319" s="65">
        <v>0</v>
      </c>
      <c r="W319" s="64"/>
      <c r="X319" s="65">
        <v>0</v>
      </c>
      <c r="Y319" s="64"/>
      <c r="Z319" s="65">
        <v>0</v>
      </c>
      <c r="AA319" s="64"/>
      <c r="AB319" s="65">
        <v>0</v>
      </c>
      <c r="AC319" s="64"/>
      <c r="AD319" s="65">
        <v>0</v>
      </c>
      <c r="AE319" s="64"/>
      <c r="AF319" s="65">
        <v>0</v>
      </c>
      <c r="AG319" s="64"/>
      <c r="AH319" s="65">
        <v>0</v>
      </c>
      <c r="AI319" s="64"/>
      <c r="AJ319" s="65">
        <v>0</v>
      </c>
      <c r="AK319" s="64"/>
      <c r="AL319" s="65">
        <v>0</v>
      </c>
      <c r="AM319" s="64"/>
      <c r="AN319" s="65">
        <v>0</v>
      </c>
      <c r="AO319" s="64"/>
      <c r="AP319" s="65">
        <v>0</v>
      </c>
      <c r="AQ319" s="64"/>
      <c r="AR319" s="65">
        <v>0</v>
      </c>
      <c r="AS319" s="64"/>
      <c r="AT319" s="147">
        <v>0</v>
      </c>
      <c r="AU319" s="64"/>
      <c r="AV319" s="65">
        <v>0</v>
      </c>
      <c r="AW319" s="64"/>
      <c r="AX319" s="65">
        <v>0</v>
      </c>
      <c r="AY319" s="64"/>
      <c r="AZ319" s="65">
        <v>0</v>
      </c>
      <c r="BA319" s="64"/>
      <c r="BB319" s="65">
        <v>0</v>
      </c>
      <c r="BC319" s="64"/>
      <c r="BD319" s="65">
        <v>0</v>
      </c>
      <c r="BE319" s="64"/>
      <c r="BF319" s="65">
        <v>0</v>
      </c>
      <c r="BG319" s="64"/>
      <c r="BH319" s="65">
        <v>0</v>
      </c>
      <c r="BI319" s="64"/>
      <c r="BJ319" s="65">
        <f>1082</f>
        <v>1082</v>
      </c>
      <c r="BK319" s="64"/>
      <c r="BL319" s="65">
        <f>1082</f>
        <v>1082</v>
      </c>
      <c r="BM319" s="64"/>
      <c r="BN319" s="65">
        <f>1082</f>
        <v>1082</v>
      </c>
      <c r="BO319" s="64"/>
      <c r="BP319" s="65">
        <f>1082</f>
        <v>1082</v>
      </c>
      <c r="BQ319" s="64"/>
      <c r="BR319" s="65">
        <f>1082</f>
        <v>1082</v>
      </c>
      <c r="BS319" s="64"/>
    </row>
    <row r="320" spans="5:71" outlineLevel="1" x14ac:dyDescent="0.25">
      <c r="G320" s="4" t="s">
        <v>593</v>
      </c>
      <c r="H320" s="1"/>
      <c r="I320" s="63"/>
      <c r="J320" s="63"/>
      <c r="P320" s="31"/>
      <c r="T320" s="4">
        <f>T321+T322</f>
        <v>0</v>
      </c>
      <c r="U320" s="16"/>
      <c r="V320" s="4">
        <f>V321+V322</f>
        <v>0</v>
      </c>
      <c r="W320" s="16"/>
      <c r="X320" s="4">
        <f>X321+X322</f>
        <v>0</v>
      </c>
      <c r="Y320" s="16"/>
      <c r="Z320" s="4">
        <f>Z321+Z322</f>
        <v>0</v>
      </c>
      <c r="AA320" s="16"/>
      <c r="AB320" s="4">
        <f>AB321+AB322</f>
        <v>0</v>
      </c>
      <c r="AC320" s="16"/>
      <c r="AD320" s="4">
        <f>AD321+AD322</f>
        <v>0</v>
      </c>
      <c r="AE320" s="16"/>
      <c r="AF320" s="4">
        <f>AF321+AF322</f>
        <v>0</v>
      </c>
      <c r="AG320" s="16"/>
      <c r="AH320" s="4">
        <f>AH321+AH322</f>
        <v>0</v>
      </c>
      <c r="AI320" s="16"/>
      <c r="AJ320" s="4">
        <f>AJ321+AJ322</f>
        <v>0</v>
      </c>
      <c r="AK320" s="16"/>
      <c r="AL320" s="4">
        <f>AL321+AL322</f>
        <v>0</v>
      </c>
      <c r="AM320" s="16"/>
      <c r="AN320" s="4">
        <f>AN321+AN322</f>
        <v>0</v>
      </c>
      <c r="AO320" s="16"/>
      <c r="AP320" s="4">
        <f>AP321+AP322*0.8</f>
        <v>0</v>
      </c>
      <c r="AQ320" s="16"/>
      <c r="AR320" s="4">
        <f>AR321+AR322*0.8</f>
        <v>0</v>
      </c>
      <c r="AS320" s="16"/>
      <c r="AT320" s="121">
        <f>AT321+AT322*0.8</f>
        <v>0</v>
      </c>
      <c r="AU320" s="16"/>
      <c r="AV320" s="4">
        <f>AV321+AV322*0.8</f>
        <v>0</v>
      </c>
      <c r="AW320" s="16"/>
      <c r="AX320" s="4">
        <f>AX321+AX322*0.8</f>
        <v>0</v>
      </c>
      <c r="AY320" s="16"/>
      <c r="AZ320" s="4">
        <f>AZ321+AZ322*0.8</f>
        <v>0</v>
      </c>
      <c r="BA320" s="16"/>
      <c r="BB320" s="4">
        <f>BB321+BB322*0.8</f>
        <v>0</v>
      </c>
      <c r="BC320" s="16"/>
      <c r="BD320" s="4">
        <f>BD321+BD322*0.8</f>
        <v>0</v>
      </c>
      <c r="BE320" s="16"/>
      <c r="BF320" s="4">
        <f>BF321+BF322*0.8</f>
        <v>0</v>
      </c>
      <c r="BG320" s="16"/>
      <c r="BH320" s="4">
        <f>BH321+BH322*0.8</f>
        <v>0</v>
      </c>
      <c r="BI320" s="16"/>
      <c r="BJ320" s="4">
        <f>BJ321+BJ322*0.8</f>
        <v>0</v>
      </c>
      <c r="BK320" s="16"/>
      <c r="BL320" s="4">
        <f>BL321+BL322*0.8</f>
        <v>0</v>
      </c>
      <c r="BM320" s="16"/>
      <c r="BN320" s="4">
        <f>BN321+BN322*0.8</f>
        <v>0</v>
      </c>
      <c r="BO320" s="16"/>
      <c r="BP320" s="4">
        <f>BP321+BP322*0.8</f>
        <v>0</v>
      </c>
      <c r="BQ320" s="16"/>
      <c r="BR320" s="4">
        <f>BR321+BR322*0.8</f>
        <v>0</v>
      </c>
      <c r="BS320" s="16"/>
    </row>
    <row r="321" spans="5:71" s="63" customFormat="1" outlineLevel="2" x14ac:dyDescent="0.25">
      <c r="E321" s="62"/>
      <c r="F321" s="62"/>
      <c r="G321" s="62"/>
      <c r="H321" s="63" t="s">
        <v>584</v>
      </c>
      <c r="I321" s="4"/>
      <c r="P321" s="64"/>
      <c r="S321" s="64"/>
      <c r="T321" s="65"/>
      <c r="U321" s="64"/>
      <c r="V321" s="65"/>
      <c r="W321" s="64"/>
      <c r="X321" s="65"/>
      <c r="Y321" s="64"/>
      <c r="Z321" s="65"/>
      <c r="AA321" s="64"/>
      <c r="AB321" s="65"/>
      <c r="AC321" s="64"/>
      <c r="AD321" s="65"/>
      <c r="AE321" s="64"/>
      <c r="AF321" s="65"/>
      <c r="AG321" s="64"/>
      <c r="AH321" s="65"/>
      <c r="AI321" s="64"/>
      <c r="AJ321" s="65"/>
      <c r="AK321" s="64"/>
      <c r="AL321" s="65"/>
      <c r="AM321" s="64"/>
      <c r="AN321" s="65"/>
      <c r="AO321" s="64"/>
      <c r="AP321" s="65"/>
      <c r="AQ321" s="64"/>
      <c r="AR321" s="65"/>
      <c r="AS321" s="64"/>
      <c r="AT321" s="147"/>
      <c r="AU321" s="64"/>
      <c r="AV321" s="65"/>
      <c r="AW321" s="64"/>
      <c r="AX321" s="65"/>
      <c r="AY321" s="64"/>
      <c r="AZ321" s="65"/>
      <c r="BA321" s="64"/>
      <c r="BB321" s="65"/>
      <c r="BC321" s="64"/>
      <c r="BD321" s="65"/>
      <c r="BE321" s="64"/>
      <c r="BF321" s="65"/>
      <c r="BG321" s="64"/>
      <c r="BH321" s="65">
        <v>0</v>
      </c>
      <c r="BI321" s="64"/>
      <c r="BJ321" s="65">
        <v>0</v>
      </c>
      <c r="BK321" s="64"/>
      <c r="BL321" s="65">
        <v>0</v>
      </c>
      <c r="BM321" s="64"/>
      <c r="BN321" s="65">
        <v>0</v>
      </c>
      <c r="BO321" s="64"/>
      <c r="BP321" s="65">
        <v>0</v>
      </c>
      <c r="BQ321" s="64"/>
      <c r="BR321" s="65">
        <v>0</v>
      </c>
      <c r="BS321" s="64"/>
    </row>
    <row r="322" spans="5:71" s="63" customFormat="1" outlineLevel="2" x14ac:dyDescent="0.25">
      <c r="E322" s="62"/>
      <c r="F322" s="62"/>
      <c r="G322" s="62"/>
      <c r="H322" s="63" t="s">
        <v>585</v>
      </c>
      <c r="J322" s="4"/>
      <c r="P322" s="64"/>
      <c r="S322" s="64"/>
      <c r="T322" s="65"/>
      <c r="U322" s="64"/>
      <c r="V322" s="65"/>
      <c r="W322" s="64"/>
      <c r="X322" s="65"/>
      <c r="Y322" s="64"/>
      <c r="Z322" s="65"/>
      <c r="AA322" s="64"/>
      <c r="AB322" s="65"/>
      <c r="AC322" s="64"/>
      <c r="AD322" s="65"/>
      <c r="AE322" s="64"/>
      <c r="AF322" s="65"/>
      <c r="AG322" s="64"/>
      <c r="AH322" s="65"/>
      <c r="AI322" s="64"/>
      <c r="AJ322" s="65"/>
      <c r="AK322" s="64"/>
      <c r="AL322" s="65"/>
      <c r="AM322" s="64"/>
      <c r="AN322" s="65"/>
      <c r="AO322" s="64"/>
      <c r="AP322" s="65"/>
      <c r="AQ322" s="64"/>
      <c r="AR322" s="65"/>
      <c r="AS322" s="64"/>
      <c r="AT322" s="147"/>
      <c r="AU322" s="64"/>
      <c r="AV322" s="65"/>
      <c r="AW322" s="64"/>
      <c r="AX322" s="65"/>
      <c r="AY322" s="64"/>
      <c r="AZ322" s="65"/>
      <c r="BA322" s="64"/>
      <c r="BB322" s="65"/>
      <c r="BC322" s="64"/>
      <c r="BD322" s="65"/>
      <c r="BE322" s="64"/>
      <c r="BF322" s="65"/>
      <c r="BG322" s="64"/>
      <c r="BH322" s="65">
        <v>0</v>
      </c>
      <c r="BI322" s="64"/>
      <c r="BJ322" s="65">
        <v>0</v>
      </c>
      <c r="BK322" s="64"/>
      <c r="BL322" s="65">
        <v>0</v>
      </c>
      <c r="BM322" s="64"/>
      <c r="BN322" s="65">
        <v>0</v>
      </c>
      <c r="BO322" s="64"/>
      <c r="BP322" s="65">
        <v>0</v>
      </c>
      <c r="BQ322" s="64"/>
      <c r="BR322" s="65">
        <v>0</v>
      </c>
      <c r="BS322" s="64"/>
    </row>
    <row r="323" spans="5:71" outlineLevel="1" x14ac:dyDescent="0.25">
      <c r="G323" s="4" t="s">
        <v>594</v>
      </c>
      <c r="H323" s="1"/>
      <c r="I323" s="63"/>
      <c r="J323" s="63"/>
      <c r="P323" s="31"/>
      <c r="T323" s="4">
        <f>T324+T325</f>
        <v>0</v>
      </c>
      <c r="U323" s="16"/>
      <c r="V323" s="4">
        <f>V324+V325</f>
        <v>0</v>
      </c>
      <c r="W323" s="16"/>
      <c r="X323" s="4">
        <f>X324+X325</f>
        <v>0</v>
      </c>
      <c r="Y323" s="16"/>
      <c r="Z323" s="4">
        <f>Z324+Z325</f>
        <v>0</v>
      </c>
      <c r="AA323" s="16"/>
      <c r="AB323" s="4">
        <f>AB324+AB325</f>
        <v>0</v>
      </c>
      <c r="AC323" s="16"/>
      <c r="AD323" s="4">
        <f>AD324+AD325</f>
        <v>0</v>
      </c>
      <c r="AE323" s="16"/>
      <c r="AF323" s="4">
        <f>AF324+AF325</f>
        <v>0</v>
      </c>
      <c r="AG323" s="16"/>
      <c r="AH323" s="4">
        <f>AH324+AH325</f>
        <v>0</v>
      </c>
      <c r="AI323" s="16"/>
      <c r="AJ323" s="4">
        <f>AJ324+AJ325</f>
        <v>0</v>
      </c>
      <c r="AK323" s="16"/>
      <c r="AL323" s="4">
        <f>AL324+AL325</f>
        <v>0</v>
      </c>
      <c r="AM323" s="16"/>
      <c r="AN323" s="4">
        <f>AN324+AN325</f>
        <v>0</v>
      </c>
      <c r="AO323" s="16"/>
      <c r="AP323" s="4">
        <f>AP324+AP325*0.8</f>
        <v>0</v>
      </c>
      <c r="AQ323" s="16"/>
      <c r="AR323" s="4">
        <f>AR324+AR325*0.8</f>
        <v>0</v>
      </c>
      <c r="AS323" s="16"/>
      <c r="AT323" s="121">
        <f>AT324+AT325*0.8</f>
        <v>0</v>
      </c>
      <c r="AU323" s="16"/>
      <c r="AV323" s="4">
        <f>AV324+AV325*0.8</f>
        <v>0</v>
      </c>
      <c r="AW323" s="16"/>
      <c r="AX323" s="4">
        <f>AX324+AX325*0.8</f>
        <v>0</v>
      </c>
      <c r="AY323" s="16"/>
      <c r="AZ323" s="4">
        <f>AZ324+AZ325*0.8</f>
        <v>0</v>
      </c>
      <c r="BA323" s="16"/>
      <c r="BB323" s="4">
        <f>BB324+BB325*0.8</f>
        <v>0</v>
      </c>
      <c r="BC323" s="16"/>
      <c r="BD323" s="4">
        <f>BD324+BD325*0.8</f>
        <v>0</v>
      </c>
      <c r="BE323" s="16"/>
      <c r="BF323" s="4">
        <f>BF324+BF325*0.8</f>
        <v>0</v>
      </c>
      <c r="BG323" s="16"/>
      <c r="BH323" s="4">
        <f>BH324+BH325*0.8</f>
        <v>0</v>
      </c>
      <c r="BI323" s="16"/>
      <c r="BJ323" s="4">
        <f>BJ324+BJ325*0.8</f>
        <v>0</v>
      </c>
      <c r="BK323" s="16"/>
      <c r="BL323" s="4">
        <f>BL324+BL325*0.8</f>
        <v>0</v>
      </c>
      <c r="BM323" s="16"/>
      <c r="BN323" s="4">
        <f>BN324+BN325*0.8</f>
        <v>0</v>
      </c>
      <c r="BO323" s="16"/>
      <c r="BP323" s="4">
        <f>BP324+BP325*0.8</f>
        <v>0</v>
      </c>
      <c r="BQ323" s="16"/>
      <c r="BR323" s="4">
        <f>BR324+BR325*0.8</f>
        <v>0</v>
      </c>
      <c r="BS323" s="16"/>
    </row>
    <row r="324" spans="5:71" s="63" customFormat="1" outlineLevel="2" x14ac:dyDescent="0.25">
      <c r="E324" s="62"/>
      <c r="F324" s="62"/>
      <c r="G324" s="62"/>
      <c r="H324" s="63" t="s">
        <v>584</v>
      </c>
      <c r="I324" s="4"/>
      <c r="P324" s="64"/>
      <c r="S324" s="64"/>
      <c r="T324" s="65"/>
      <c r="U324" s="64"/>
      <c r="V324" s="65"/>
      <c r="W324" s="64"/>
      <c r="X324" s="65"/>
      <c r="Y324" s="64"/>
      <c r="Z324" s="65"/>
      <c r="AA324" s="64"/>
      <c r="AB324" s="65"/>
      <c r="AC324" s="64"/>
      <c r="AD324" s="65"/>
      <c r="AE324" s="64"/>
      <c r="AF324" s="65"/>
      <c r="AG324" s="64"/>
      <c r="AH324" s="65"/>
      <c r="AI324" s="64"/>
      <c r="AJ324" s="65"/>
      <c r="AK324" s="64"/>
      <c r="AL324" s="65"/>
      <c r="AM324" s="64"/>
      <c r="AN324" s="65"/>
      <c r="AO324" s="64"/>
      <c r="AP324" s="65"/>
      <c r="AQ324" s="64"/>
      <c r="AR324" s="65"/>
      <c r="AS324" s="64"/>
      <c r="AT324" s="147"/>
      <c r="AU324" s="64"/>
      <c r="AV324" s="65"/>
      <c r="AW324" s="64"/>
      <c r="AX324" s="65"/>
      <c r="AY324" s="64"/>
      <c r="AZ324" s="65"/>
      <c r="BA324" s="64"/>
      <c r="BB324" s="65"/>
      <c r="BC324" s="64"/>
      <c r="BD324" s="65"/>
      <c r="BE324" s="64"/>
      <c r="BF324" s="65"/>
      <c r="BG324" s="64"/>
      <c r="BH324" s="65">
        <v>0</v>
      </c>
      <c r="BI324" s="64"/>
      <c r="BJ324" s="65">
        <v>0</v>
      </c>
      <c r="BK324" s="64"/>
      <c r="BL324" s="65">
        <v>0</v>
      </c>
      <c r="BM324" s="64"/>
      <c r="BN324" s="65">
        <v>0</v>
      </c>
      <c r="BO324" s="64"/>
      <c r="BP324" s="65">
        <v>0</v>
      </c>
      <c r="BQ324" s="64"/>
      <c r="BR324" s="65">
        <v>0</v>
      </c>
      <c r="BS324" s="64"/>
    </row>
    <row r="325" spans="5:71" s="63" customFormat="1" outlineLevel="2" x14ac:dyDescent="0.25">
      <c r="E325" s="62"/>
      <c r="F325" s="62"/>
      <c r="G325" s="62"/>
      <c r="H325" s="63" t="s">
        <v>585</v>
      </c>
      <c r="J325" s="4"/>
      <c r="P325" s="64"/>
      <c r="S325" s="64"/>
      <c r="T325" s="65"/>
      <c r="U325" s="64"/>
      <c r="V325" s="65"/>
      <c r="W325" s="64"/>
      <c r="X325" s="65"/>
      <c r="Y325" s="64"/>
      <c r="Z325" s="65"/>
      <c r="AA325" s="64"/>
      <c r="AB325" s="65"/>
      <c r="AC325" s="64"/>
      <c r="AD325" s="65"/>
      <c r="AE325" s="64"/>
      <c r="AF325" s="65"/>
      <c r="AG325" s="64"/>
      <c r="AH325" s="65"/>
      <c r="AI325" s="64"/>
      <c r="AJ325" s="65"/>
      <c r="AK325" s="64"/>
      <c r="AL325" s="65"/>
      <c r="AM325" s="64"/>
      <c r="AN325" s="65"/>
      <c r="AO325" s="64"/>
      <c r="AP325" s="65"/>
      <c r="AQ325" s="64"/>
      <c r="AR325" s="65"/>
      <c r="AS325" s="64"/>
      <c r="AT325" s="147"/>
      <c r="AU325" s="64"/>
      <c r="AV325" s="65"/>
      <c r="AW325" s="64"/>
      <c r="AX325" s="65"/>
      <c r="AY325" s="64"/>
      <c r="AZ325" s="65"/>
      <c r="BA325" s="64"/>
      <c r="BB325" s="65"/>
      <c r="BC325" s="64"/>
      <c r="BD325" s="65"/>
      <c r="BE325" s="64"/>
      <c r="BF325" s="65"/>
      <c r="BG325" s="64"/>
      <c r="BH325" s="65">
        <v>0</v>
      </c>
      <c r="BI325" s="64"/>
      <c r="BJ325" s="65">
        <v>0</v>
      </c>
      <c r="BK325" s="64"/>
      <c r="BL325" s="65">
        <v>0</v>
      </c>
      <c r="BM325" s="64"/>
      <c r="BN325" s="65">
        <v>0</v>
      </c>
      <c r="BO325" s="64"/>
      <c r="BP325" s="65">
        <v>0</v>
      </c>
      <c r="BQ325" s="64"/>
      <c r="BR325" s="65">
        <v>0</v>
      </c>
      <c r="BS325" s="64"/>
    </row>
    <row r="326" spans="5:71" outlineLevel="1" x14ac:dyDescent="0.25">
      <c r="G326" s="4" t="s">
        <v>595</v>
      </c>
      <c r="H326" s="1"/>
      <c r="I326" s="63"/>
      <c r="J326" s="63"/>
      <c r="P326" s="31"/>
      <c r="T326" s="4">
        <f>T327+T328</f>
        <v>0</v>
      </c>
      <c r="U326" s="16"/>
      <c r="V326" s="4">
        <f>V327+V328</f>
        <v>0</v>
      </c>
      <c r="W326" s="16"/>
      <c r="X326" s="4">
        <f>X327+X328</f>
        <v>0</v>
      </c>
      <c r="Y326" s="16"/>
      <c r="Z326" s="4">
        <f>Z327+Z328</f>
        <v>0</v>
      </c>
      <c r="AA326" s="16"/>
      <c r="AB326" s="4">
        <f>AB327+AB328</f>
        <v>0</v>
      </c>
      <c r="AC326" s="16"/>
      <c r="AD326" s="4">
        <f>AD327+AD328</f>
        <v>0</v>
      </c>
      <c r="AE326" s="16"/>
      <c r="AF326" s="4">
        <f>AF327+AF328</f>
        <v>0</v>
      </c>
      <c r="AG326" s="16"/>
      <c r="AH326" s="4">
        <f>AH327+AH328</f>
        <v>0</v>
      </c>
      <c r="AI326" s="16"/>
      <c r="AJ326" s="4">
        <f>AJ327+AJ328</f>
        <v>0</v>
      </c>
      <c r="AK326" s="16"/>
      <c r="AL326" s="4">
        <f>AL327+AL328</f>
        <v>0</v>
      </c>
      <c r="AM326" s="16"/>
      <c r="AN326" s="4">
        <f>AN327+AN328</f>
        <v>0</v>
      </c>
      <c r="AO326" s="16"/>
      <c r="AP326" s="4">
        <f>AP327+AP328*0.8</f>
        <v>0</v>
      </c>
      <c r="AQ326" s="16"/>
      <c r="AR326" s="4">
        <f>AR327+AR328*0.8</f>
        <v>0</v>
      </c>
      <c r="AS326" s="16"/>
      <c r="AT326" s="121">
        <f>AT327+AT328*0.8</f>
        <v>0</v>
      </c>
      <c r="AU326" s="16"/>
      <c r="AV326" s="4">
        <f>AV327+AV328*0.8</f>
        <v>0</v>
      </c>
      <c r="AW326" s="16"/>
      <c r="AX326" s="4">
        <f>AX327+AX328*0.8</f>
        <v>0</v>
      </c>
      <c r="AY326" s="16"/>
      <c r="AZ326" s="4">
        <f>AZ327+AZ328*0.8</f>
        <v>0</v>
      </c>
      <c r="BA326" s="16"/>
      <c r="BB326" s="4">
        <f>BB327+BB328*0.8</f>
        <v>0</v>
      </c>
      <c r="BC326" s="16"/>
      <c r="BD326" s="4">
        <f>BD327+BD328*0.8</f>
        <v>0</v>
      </c>
      <c r="BE326" s="16"/>
      <c r="BF326" s="4">
        <f>BF327+BF328*0.8</f>
        <v>0</v>
      </c>
      <c r="BG326" s="16"/>
      <c r="BH326" s="4">
        <f>BH327+BH328*0.8</f>
        <v>0</v>
      </c>
      <c r="BI326" s="16"/>
      <c r="BJ326" s="4">
        <f>BJ327+BJ328*0.8</f>
        <v>0</v>
      </c>
      <c r="BK326" s="16"/>
      <c r="BL326" s="4">
        <f>BL327+BL328*0.8</f>
        <v>0</v>
      </c>
      <c r="BM326" s="16"/>
      <c r="BN326" s="4">
        <f>BN327+BN328*0.8</f>
        <v>0</v>
      </c>
      <c r="BO326" s="16"/>
      <c r="BP326" s="4">
        <f>BP327+BP328*0.8</f>
        <v>0</v>
      </c>
      <c r="BQ326" s="16"/>
      <c r="BR326" s="4">
        <f>BR327+BR328*0.8</f>
        <v>0</v>
      </c>
      <c r="BS326" s="16"/>
    </row>
    <row r="327" spans="5:71" s="63" customFormat="1" outlineLevel="2" x14ac:dyDescent="0.25">
      <c r="E327" s="62"/>
      <c r="F327" s="62"/>
      <c r="G327" s="62"/>
      <c r="H327" s="63" t="s">
        <v>584</v>
      </c>
      <c r="I327" s="4"/>
      <c r="P327" s="64"/>
      <c r="S327" s="64"/>
      <c r="T327" s="65">
        <v>0</v>
      </c>
      <c r="U327" s="64"/>
      <c r="V327" s="65">
        <v>0</v>
      </c>
      <c r="W327" s="64"/>
      <c r="X327" s="65">
        <v>0</v>
      </c>
      <c r="Y327" s="64"/>
      <c r="Z327" s="65">
        <v>0</v>
      </c>
      <c r="AA327" s="64"/>
      <c r="AB327" s="65">
        <v>0</v>
      </c>
      <c r="AC327" s="64"/>
      <c r="AD327" s="65">
        <v>0</v>
      </c>
      <c r="AE327" s="64"/>
      <c r="AF327" s="65">
        <v>0</v>
      </c>
      <c r="AG327" s="64"/>
      <c r="AH327" s="65">
        <v>0</v>
      </c>
      <c r="AI327" s="64"/>
      <c r="AJ327" s="65">
        <v>0</v>
      </c>
      <c r="AK327" s="64"/>
      <c r="AL327" s="65">
        <v>0</v>
      </c>
      <c r="AM327" s="64"/>
      <c r="AN327" s="65">
        <v>0</v>
      </c>
      <c r="AO327" s="64"/>
      <c r="AP327" s="65">
        <v>0</v>
      </c>
      <c r="AQ327" s="64"/>
      <c r="AR327" s="65">
        <v>0</v>
      </c>
      <c r="AS327" s="64"/>
      <c r="AT327" s="147">
        <v>0</v>
      </c>
      <c r="AU327" s="64"/>
      <c r="AV327" s="65">
        <v>0</v>
      </c>
      <c r="AW327" s="64"/>
      <c r="AX327" s="65">
        <v>0</v>
      </c>
      <c r="AY327" s="64"/>
      <c r="AZ327" s="65">
        <v>0</v>
      </c>
      <c r="BA327" s="64"/>
      <c r="BB327" s="65">
        <v>0</v>
      </c>
      <c r="BC327" s="64"/>
      <c r="BD327" s="65">
        <v>0</v>
      </c>
      <c r="BE327" s="64"/>
      <c r="BF327" s="65">
        <v>0</v>
      </c>
      <c r="BG327" s="64"/>
      <c r="BH327" s="65">
        <v>0</v>
      </c>
      <c r="BI327" s="64"/>
      <c r="BJ327" s="65">
        <v>0</v>
      </c>
      <c r="BK327" s="64"/>
      <c r="BL327" s="65">
        <v>0</v>
      </c>
      <c r="BM327" s="64"/>
      <c r="BN327" s="65">
        <v>0</v>
      </c>
      <c r="BO327" s="64"/>
      <c r="BP327" s="65">
        <v>0</v>
      </c>
      <c r="BQ327" s="64"/>
      <c r="BR327" s="65">
        <v>0</v>
      </c>
      <c r="BS327" s="64"/>
    </row>
    <row r="328" spans="5:71" s="63" customFormat="1" outlineLevel="2" x14ac:dyDescent="0.25">
      <c r="E328" s="62"/>
      <c r="F328" s="62"/>
      <c r="G328" s="62"/>
      <c r="H328" s="63" t="s">
        <v>585</v>
      </c>
      <c r="J328" s="4"/>
      <c r="P328" s="64"/>
      <c r="S328" s="64"/>
      <c r="T328" s="65">
        <v>0</v>
      </c>
      <c r="U328" s="64"/>
      <c r="V328" s="65">
        <v>0</v>
      </c>
      <c r="W328" s="64"/>
      <c r="X328" s="65">
        <v>0</v>
      </c>
      <c r="Y328" s="64"/>
      <c r="Z328" s="65">
        <v>0</v>
      </c>
      <c r="AA328" s="64"/>
      <c r="AB328" s="65">
        <v>0</v>
      </c>
      <c r="AC328" s="64"/>
      <c r="AD328" s="65">
        <v>0</v>
      </c>
      <c r="AE328" s="64"/>
      <c r="AF328" s="65">
        <v>0</v>
      </c>
      <c r="AG328" s="64"/>
      <c r="AH328" s="65">
        <v>0</v>
      </c>
      <c r="AI328" s="64"/>
      <c r="AJ328" s="65">
        <v>0</v>
      </c>
      <c r="AK328" s="64"/>
      <c r="AL328" s="65">
        <v>0</v>
      </c>
      <c r="AM328" s="64"/>
      <c r="AN328" s="65">
        <v>0</v>
      </c>
      <c r="AO328" s="64"/>
      <c r="AP328" s="65">
        <v>0</v>
      </c>
      <c r="AQ328" s="64"/>
      <c r="AR328" s="65">
        <v>0</v>
      </c>
      <c r="AS328" s="64"/>
      <c r="AT328" s="147">
        <v>0</v>
      </c>
      <c r="AU328" s="64"/>
      <c r="AV328" s="65">
        <v>0</v>
      </c>
      <c r="AW328" s="64"/>
      <c r="AX328" s="65">
        <v>0</v>
      </c>
      <c r="AY328" s="64"/>
      <c r="AZ328" s="65">
        <v>0</v>
      </c>
      <c r="BA328" s="64"/>
      <c r="BB328" s="65">
        <v>0</v>
      </c>
      <c r="BC328" s="64"/>
      <c r="BD328" s="65">
        <v>0</v>
      </c>
      <c r="BE328" s="64"/>
      <c r="BF328" s="65">
        <v>0</v>
      </c>
      <c r="BG328" s="64"/>
      <c r="BH328" s="65">
        <v>0</v>
      </c>
      <c r="BI328" s="64"/>
      <c r="BJ328" s="65">
        <v>0</v>
      </c>
      <c r="BK328" s="64"/>
      <c r="BL328" s="65">
        <v>0</v>
      </c>
      <c r="BM328" s="64"/>
      <c r="BN328" s="65">
        <v>0</v>
      </c>
      <c r="BO328" s="64"/>
      <c r="BP328" s="65">
        <v>0</v>
      </c>
      <c r="BQ328" s="64"/>
      <c r="BR328" s="65">
        <v>0</v>
      </c>
      <c r="BS328" s="64"/>
    </row>
    <row r="329" spans="5:71" outlineLevel="1" x14ac:dyDescent="0.25">
      <c r="G329" s="4" t="s">
        <v>588</v>
      </c>
      <c r="H329" s="1"/>
      <c r="I329" s="1"/>
      <c r="J329" s="1"/>
      <c r="P329" s="31"/>
      <c r="T329" s="4">
        <f>T330+T331</f>
        <v>0</v>
      </c>
      <c r="U329" s="16"/>
      <c r="V329" s="4">
        <f>V330+V331</f>
        <v>0</v>
      </c>
      <c r="W329" s="16"/>
      <c r="X329" s="4">
        <f>X330+X331</f>
        <v>0</v>
      </c>
      <c r="Y329" s="16"/>
      <c r="Z329" s="4">
        <f>Z330+Z331</f>
        <v>0</v>
      </c>
      <c r="AA329" s="16"/>
      <c r="AB329" s="4">
        <f>AB330+AB331</f>
        <v>139</v>
      </c>
      <c r="AC329" s="16"/>
      <c r="AD329" s="4">
        <f>AD330+AD331</f>
        <v>139</v>
      </c>
      <c r="AE329" s="16"/>
      <c r="AF329" s="4">
        <f>AF330+AF331</f>
        <v>139</v>
      </c>
      <c r="AG329" s="16"/>
      <c r="AH329" s="4">
        <f>AH330+AH331</f>
        <v>0</v>
      </c>
      <c r="AI329" s="16"/>
      <c r="AJ329" s="4">
        <f>AJ330+AJ331</f>
        <v>0</v>
      </c>
      <c r="AK329" s="16"/>
      <c r="AL329" s="4">
        <f>AL330+AL331</f>
        <v>0</v>
      </c>
      <c r="AM329" s="16"/>
      <c r="AN329" s="4">
        <f>AN330+AN331</f>
        <v>0</v>
      </c>
      <c r="AO329" s="16"/>
      <c r="AP329" s="4">
        <f>AP330+AP331</f>
        <v>0</v>
      </c>
      <c r="AQ329" s="16"/>
      <c r="AR329" s="4">
        <f>AR330+AR331</f>
        <v>0</v>
      </c>
      <c r="AS329" s="16"/>
      <c r="AT329" s="121">
        <f>AT330+AT331</f>
        <v>0</v>
      </c>
      <c r="AU329" s="16"/>
      <c r="AV329" s="4">
        <f>AV330+AV331</f>
        <v>0</v>
      </c>
      <c r="AW329" s="16"/>
      <c r="AX329" s="4">
        <f>AX330+AX331</f>
        <v>0</v>
      </c>
      <c r="AY329" s="16"/>
      <c r="AZ329" s="4">
        <f>AZ330+AZ331</f>
        <v>0</v>
      </c>
      <c r="BA329" s="16"/>
      <c r="BB329" s="4">
        <f>BB330+BB331</f>
        <v>0</v>
      </c>
      <c r="BC329" s="16"/>
      <c r="BD329" s="4">
        <f>BD330+BD331</f>
        <v>0</v>
      </c>
      <c r="BE329" s="16"/>
      <c r="BF329" s="4">
        <f>BF330+BF331</f>
        <v>0</v>
      </c>
      <c r="BG329" s="16"/>
      <c r="BH329" s="4">
        <f>BH330+BH331</f>
        <v>0</v>
      </c>
      <c r="BI329" s="16"/>
      <c r="BJ329" s="4">
        <f>BJ330+BJ331</f>
        <v>0</v>
      </c>
      <c r="BK329" s="16"/>
      <c r="BL329" s="4">
        <f>BL330+BL331</f>
        <v>0</v>
      </c>
      <c r="BM329" s="16"/>
      <c r="BN329" s="4">
        <f>BN330+BN331</f>
        <v>0</v>
      </c>
      <c r="BO329" s="16"/>
      <c r="BP329" s="4">
        <f>BP330+BP331</f>
        <v>0</v>
      </c>
      <c r="BQ329" s="16"/>
      <c r="BR329" s="4">
        <f>BR330+BR331</f>
        <v>0</v>
      </c>
      <c r="BS329" s="16"/>
    </row>
    <row r="330" spans="5:71" s="1" customFormat="1" outlineLevel="2" x14ac:dyDescent="0.25">
      <c r="E330" s="4"/>
      <c r="F330" s="4"/>
      <c r="G330" s="4"/>
      <c r="H330" s="1" t="s">
        <v>584</v>
      </c>
      <c r="I330" s="4"/>
      <c r="N330" s="23"/>
      <c r="P330" s="52"/>
      <c r="S330" s="18"/>
      <c r="T330" s="53">
        <v>0</v>
      </c>
      <c r="U330" s="18"/>
      <c r="V330" s="53">
        <v>0</v>
      </c>
      <c r="W330" s="18"/>
      <c r="X330" s="53">
        <v>0</v>
      </c>
      <c r="Y330" s="18"/>
      <c r="Z330" s="53">
        <v>0</v>
      </c>
      <c r="AA330" s="18"/>
      <c r="AB330" s="53">
        <v>139</v>
      </c>
      <c r="AC330" s="18"/>
      <c r="AD330" s="53">
        <v>139</v>
      </c>
      <c r="AE330" s="18"/>
      <c r="AF330" s="53">
        <v>139</v>
      </c>
      <c r="AG330" s="18"/>
      <c r="AH330" s="53">
        <v>0</v>
      </c>
      <c r="AI330" s="18"/>
      <c r="AJ330" s="53">
        <v>0</v>
      </c>
      <c r="AK330" s="18"/>
      <c r="AL330" s="53">
        <v>0</v>
      </c>
      <c r="AM330" s="18"/>
      <c r="AN330" s="53">
        <v>0</v>
      </c>
      <c r="AO330" s="18"/>
      <c r="AP330" s="53">
        <v>0</v>
      </c>
      <c r="AQ330" s="18"/>
      <c r="AR330" s="53">
        <v>0</v>
      </c>
      <c r="AS330" s="18"/>
      <c r="AT330" s="148">
        <v>0</v>
      </c>
      <c r="AU330" s="18"/>
      <c r="AV330" s="53">
        <v>0</v>
      </c>
      <c r="AW330" s="18"/>
      <c r="AX330" s="53">
        <v>0</v>
      </c>
      <c r="AY330" s="18"/>
      <c r="AZ330" s="53">
        <v>0</v>
      </c>
      <c r="BA330" s="18"/>
      <c r="BB330" s="53">
        <v>0</v>
      </c>
      <c r="BC330" s="18"/>
      <c r="BD330" s="53">
        <v>0</v>
      </c>
      <c r="BE330" s="18"/>
      <c r="BF330" s="53">
        <v>0</v>
      </c>
      <c r="BG330" s="18"/>
      <c r="BH330" s="53">
        <v>0</v>
      </c>
      <c r="BI330" s="18"/>
      <c r="BJ330" s="53">
        <v>0</v>
      </c>
      <c r="BK330" s="18"/>
      <c r="BL330" s="53">
        <v>0</v>
      </c>
      <c r="BM330" s="18"/>
      <c r="BN330" s="53">
        <v>0</v>
      </c>
      <c r="BO330" s="18"/>
      <c r="BP330" s="53">
        <v>0</v>
      </c>
      <c r="BQ330" s="18"/>
      <c r="BR330" s="53">
        <v>0</v>
      </c>
      <c r="BS330" s="18"/>
    </row>
    <row r="331" spans="5:71" s="1" customFormat="1" outlineLevel="2" x14ac:dyDescent="0.25">
      <c r="E331" s="4"/>
      <c r="F331" s="4"/>
      <c r="G331" s="4"/>
      <c r="H331" s="1" t="s">
        <v>585</v>
      </c>
      <c r="J331" s="4"/>
      <c r="N331" s="23"/>
      <c r="P331" s="52"/>
      <c r="S331" s="18"/>
      <c r="T331" s="53">
        <v>0</v>
      </c>
      <c r="U331" s="18"/>
      <c r="V331" s="53">
        <v>0</v>
      </c>
      <c r="W331" s="18"/>
      <c r="X331" s="53">
        <v>0</v>
      </c>
      <c r="Y331" s="18"/>
      <c r="Z331" s="53">
        <v>0</v>
      </c>
      <c r="AA331" s="18"/>
      <c r="AB331" s="53">
        <v>0</v>
      </c>
      <c r="AC331" s="18"/>
      <c r="AD331" s="53">
        <v>0</v>
      </c>
      <c r="AE331" s="18"/>
      <c r="AF331" s="53">
        <v>0</v>
      </c>
      <c r="AG331" s="18"/>
      <c r="AH331" s="53">
        <v>0</v>
      </c>
      <c r="AI331" s="18"/>
      <c r="AJ331" s="53">
        <v>0</v>
      </c>
      <c r="AK331" s="18"/>
      <c r="AL331" s="53">
        <v>0</v>
      </c>
      <c r="AM331" s="18"/>
      <c r="AN331" s="53">
        <v>0</v>
      </c>
      <c r="AO331" s="18"/>
      <c r="AP331" s="53">
        <v>0</v>
      </c>
      <c r="AQ331" s="18"/>
      <c r="AR331" s="53">
        <v>0</v>
      </c>
      <c r="AS331" s="18"/>
      <c r="AT331" s="148">
        <v>0</v>
      </c>
      <c r="AU331" s="18"/>
      <c r="AV331" s="53">
        <v>0</v>
      </c>
      <c r="AW331" s="18"/>
      <c r="AX331" s="53">
        <v>0</v>
      </c>
      <c r="AY331" s="18"/>
      <c r="AZ331" s="53">
        <v>0</v>
      </c>
      <c r="BA331" s="18"/>
      <c r="BB331" s="53">
        <v>0</v>
      </c>
      <c r="BC331" s="18"/>
      <c r="BD331" s="53">
        <v>0</v>
      </c>
      <c r="BE331" s="18"/>
      <c r="BF331" s="53">
        <v>0</v>
      </c>
      <c r="BG331" s="18"/>
      <c r="BH331" s="53">
        <v>0</v>
      </c>
      <c r="BI331" s="18"/>
      <c r="BJ331" s="53">
        <v>0</v>
      </c>
      <c r="BK331" s="18"/>
      <c r="BL331" s="53">
        <v>0</v>
      </c>
      <c r="BM331" s="18"/>
      <c r="BN331" s="53">
        <v>0</v>
      </c>
      <c r="BO331" s="18"/>
      <c r="BP331" s="53">
        <v>0</v>
      </c>
      <c r="BQ331" s="18"/>
      <c r="BR331" s="53">
        <v>0</v>
      </c>
      <c r="BS331" s="18"/>
    </row>
    <row r="332" spans="5:71" s="1" customFormat="1" outlineLevel="1" x14ac:dyDescent="0.25">
      <c r="E332" s="4"/>
      <c r="F332" s="4"/>
      <c r="G332" s="4"/>
      <c r="J332" s="4"/>
      <c r="N332" s="23"/>
      <c r="P332" s="52"/>
      <c r="S332" s="18"/>
      <c r="T332" s="53"/>
      <c r="U332" s="18"/>
      <c r="V332" s="53"/>
      <c r="W332" s="18"/>
      <c r="X332" s="53"/>
      <c r="Y332" s="18"/>
      <c r="Z332" s="53"/>
      <c r="AA332" s="18"/>
      <c r="AB332" s="53"/>
      <c r="AC332" s="18"/>
      <c r="AD332" s="53"/>
      <c r="AE332" s="18"/>
      <c r="AF332" s="53"/>
      <c r="AG332" s="18"/>
      <c r="AH332" s="53"/>
      <c r="AI332" s="18"/>
      <c r="AJ332" s="53"/>
      <c r="AK332" s="18"/>
      <c r="AL332" s="53"/>
      <c r="AM332" s="18"/>
      <c r="AN332" s="53"/>
      <c r="AO332" s="18"/>
      <c r="AP332" s="53"/>
      <c r="AQ332" s="18"/>
      <c r="AR332" s="53"/>
      <c r="AS332" s="18"/>
      <c r="AT332" s="148"/>
      <c r="AU332" s="18"/>
      <c r="AV332" s="53"/>
      <c r="AW332" s="18"/>
      <c r="AX332" s="53"/>
      <c r="AY332" s="18"/>
      <c r="AZ332" s="53"/>
      <c r="BA332" s="18"/>
      <c r="BB332" s="53"/>
      <c r="BC332" s="18"/>
      <c r="BD332" s="53"/>
      <c r="BE332" s="18"/>
      <c r="BF332" s="53"/>
      <c r="BG332" s="18"/>
      <c r="BH332" s="53"/>
      <c r="BI332" s="18"/>
      <c r="BJ332" s="53"/>
      <c r="BK332" s="18"/>
      <c r="BL332" s="53"/>
      <c r="BM332" s="18"/>
      <c r="BN332" s="53"/>
      <c r="BO332" s="18"/>
      <c r="BP332" s="53"/>
      <c r="BQ332" s="18"/>
      <c r="BR332" s="53"/>
      <c r="BS332" s="18"/>
    </row>
    <row r="333" spans="5:71" x14ac:dyDescent="0.25">
      <c r="F333" s="4" t="s">
        <v>599</v>
      </c>
      <c r="G333" s="4"/>
      <c r="H333" s="1"/>
      <c r="I333" s="63"/>
      <c r="J333" s="63"/>
      <c r="T333" s="4">
        <f>SUM(T334:T349)</f>
        <v>152.5</v>
      </c>
      <c r="V333" s="4">
        <f>SUM(V334:V349)</f>
        <v>152.5</v>
      </c>
      <c r="X333" s="4">
        <f>SUM(X334:X349)</f>
        <v>1152.5</v>
      </c>
      <c r="Z333" s="4">
        <f>SUM(Z334:Z349)</f>
        <v>1152.5</v>
      </c>
      <c r="AB333" s="4">
        <f>SUM(AB334:AB349)</f>
        <v>1330.75</v>
      </c>
      <c r="AD333" s="4">
        <f>SUM(AD334:AD349)</f>
        <v>2923</v>
      </c>
      <c r="AF333" s="4">
        <f>SUM(AF334:AF349)</f>
        <v>7799</v>
      </c>
      <c r="AH333" s="4">
        <f>SUM(AH334:AH349)</f>
        <v>5623</v>
      </c>
      <c r="AJ333" s="4">
        <f>SUM(AJ334:AJ349)</f>
        <v>5373</v>
      </c>
      <c r="AL333" s="4">
        <f>SUM(AL334:AL349)</f>
        <v>4350</v>
      </c>
      <c r="AN333" s="4">
        <f>SUM(AN334:AN349)</f>
        <v>4350</v>
      </c>
      <c r="AP333" s="4">
        <f>SUM(AP334:AP349)</f>
        <v>4166.3500000000004</v>
      </c>
      <c r="AR333" s="4">
        <f>SUM(AR334:AR349)</f>
        <v>4636</v>
      </c>
      <c r="AT333" s="121">
        <f>SUM(AT334:AT349)</f>
        <v>16672</v>
      </c>
      <c r="AV333" s="4">
        <f>SUM(AV334:AV349)</f>
        <v>4763.22</v>
      </c>
      <c r="AX333" s="4">
        <f>SUM(AX334:AX349)</f>
        <v>7572.7</v>
      </c>
      <c r="AZ333" s="4">
        <f>SUM(AZ334:AZ349)</f>
        <v>6639.68</v>
      </c>
      <c r="BB333" s="4">
        <f>SUM(BB334:BB349)</f>
        <v>7598.1799999999994</v>
      </c>
      <c r="BC333" s="18"/>
      <c r="BD333" s="4">
        <f>SUM(BD334:BD349)</f>
        <v>8908</v>
      </c>
      <c r="BF333" s="4">
        <f>SUM(BF334:BF349)</f>
        <v>14738</v>
      </c>
      <c r="BH333" s="4">
        <f>SUM(BH334:BH349)</f>
        <v>28406.333333333336</v>
      </c>
      <c r="BJ333" s="4">
        <f>SUM(BJ334:BJ349)</f>
        <v>40856.333333333336</v>
      </c>
      <c r="BL333" s="4">
        <f>SUM(BL334:BL349)</f>
        <v>59519.666666666672</v>
      </c>
      <c r="BN333" s="4">
        <f>SUM(BN334:BN349)</f>
        <v>59519.666666666672</v>
      </c>
      <c r="BP333" s="4">
        <f>SUM(BP334:BP349)</f>
        <v>59519.666666666672</v>
      </c>
      <c r="BR333" s="4">
        <f>SUM(BR334:BR349)</f>
        <v>79519.666666666672</v>
      </c>
    </row>
    <row r="334" spans="5:71" outlineLevel="1" x14ac:dyDescent="0.25">
      <c r="G334" s="4" t="s">
        <v>589</v>
      </c>
      <c r="H334" s="1"/>
      <c r="P334" s="66"/>
      <c r="Q334" s="58"/>
      <c r="T334" s="34">
        <v>0</v>
      </c>
      <c r="V334" s="34">
        <v>0</v>
      </c>
      <c r="X334" s="34">
        <v>0</v>
      </c>
      <c r="Z334" s="34">
        <v>0</v>
      </c>
      <c r="AB334" s="34">
        <v>0</v>
      </c>
      <c r="AD334" s="34">
        <v>0</v>
      </c>
      <c r="AF334" s="36">
        <v>4876</v>
      </c>
      <c r="AH334" s="36">
        <v>3250</v>
      </c>
      <c r="AJ334" s="36">
        <v>3250</v>
      </c>
      <c r="AL334" s="36">
        <v>3250</v>
      </c>
      <c r="AN334" s="36">
        <v>3250</v>
      </c>
      <c r="AP334" s="36">
        <v>3250</v>
      </c>
      <c r="AR334" s="36">
        <v>3250</v>
      </c>
      <c r="AT334" s="149">
        <v>3250</v>
      </c>
      <c r="AV334" s="81">
        <v>3596.02</v>
      </c>
      <c r="AW334" s="64"/>
      <c r="AX334" s="81">
        <v>3580.79</v>
      </c>
      <c r="AY334" s="64"/>
      <c r="AZ334" s="81">
        <v>3580.79</v>
      </c>
      <c r="BA334" s="64"/>
      <c r="BB334" s="37">
        <v>4630.9799999999996</v>
      </c>
      <c r="BC334" s="64"/>
      <c r="BD334" s="37">
        <v>4630</v>
      </c>
      <c r="BE334" s="64"/>
      <c r="BF334" s="37">
        <v>4630</v>
      </c>
      <c r="BG334" s="64"/>
      <c r="BH334" s="37">
        <v>4630</v>
      </c>
      <c r="BI334" s="64"/>
      <c r="BJ334" s="37">
        <v>4630</v>
      </c>
      <c r="BK334" s="64"/>
      <c r="BL334" s="37">
        <v>4630</v>
      </c>
      <c r="BM334" s="64"/>
      <c r="BN334" s="37">
        <v>4630</v>
      </c>
      <c r="BO334" s="64"/>
      <c r="BP334" s="37">
        <v>4630</v>
      </c>
      <c r="BQ334" s="64"/>
      <c r="BR334" s="37">
        <v>4630</v>
      </c>
      <c r="BS334" s="76"/>
    </row>
    <row r="335" spans="5:71" outlineLevel="1" x14ac:dyDescent="0.25">
      <c r="G335" s="4" t="s">
        <v>591</v>
      </c>
      <c r="H335" s="1"/>
      <c r="I335" s="62"/>
      <c r="P335" s="66"/>
      <c r="Q335" s="58"/>
      <c r="T335" s="36"/>
      <c r="V335" s="36"/>
      <c r="X335" s="34"/>
      <c r="Z335" s="34"/>
      <c r="AB335" s="34"/>
      <c r="AD335" s="34"/>
      <c r="AF335" s="34"/>
      <c r="AH335" s="34">
        <v>0</v>
      </c>
      <c r="AJ335" s="34">
        <v>0</v>
      </c>
      <c r="AL335" s="34">
        <v>1100</v>
      </c>
      <c r="AN335" s="34">
        <v>1100</v>
      </c>
      <c r="AP335" s="34">
        <v>916.35</v>
      </c>
      <c r="AR335" s="34">
        <v>1386</v>
      </c>
      <c r="AT335" s="126">
        <v>1422</v>
      </c>
      <c r="AV335" s="37">
        <v>1167.2</v>
      </c>
      <c r="AW335" s="64"/>
      <c r="AX335" s="37">
        <v>1263.45</v>
      </c>
      <c r="AY335" s="64"/>
      <c r="AZ335" s="37">
        <v>1997.63</v>
      </c>
      <c r="BA335" s="64"/>
      <c r="BB335" s="37">
        <v>1098.04</v>
      </c>
      <c r="BC335" s="64"/>
      <c r="BD335" s="37">
        <v>708</v>
      </c>
      <c r="BE335" s="64"/>
      <c r="BF335" s="37">
        <v>1613</v>
      </c>
      <c r="BH335" s="75">
        <f>15*8*4*4</f>
        <v>1920</v>
      </c>
      <c r="BJ335" s="75">
        <f>15*8*4*4</f>
        <v>1920</v>
      </c>
      <c r="BL335" s="78">
        <f>3250*0.8</f>
        <v>2600</v>
      </c>
      <c r="BN335" s="78">
        <f>3250*0.8</f>
        <v>2600</v>
      </c>
      <c r="BP335" s="78">
        <f>3250*0.8</f>
        <v>2600</v>
      </c>
      <c r="BR335" s="78">
        <f>3250*0.8</f>
        <v>2600</v>
      </c>
    </row>
    <row r="336" spans="5:71" outlineLevel="1" x14ac:dyDescent="0.25">
      <c r="G336" s="4" t="s">
        <v>533</v>
      </c>
      <c r="H336" s="1"/>
      <c r="P336" s="66"/>
      <c r="Q336" s="58"/>
      <c r="T336" s="34"/>
      <c r="V336" s="34"/>
      <c r="X336" s="34"/>
      <c r="Z336" s="34"/>
      <c r="AB336" s="34"/>
      <c r="AD336" s="34"/>
      <c r="AF336" s="36"/>
      <c r="AH336" s="36"/>
      <c r="AJ336" s="36"/>
      <c r="AL336" s="36"/>
      <c r="AN336" s="36"/>
      <c r="AP336" s="36"/>
      <c r="AR336" s="34"/>
      <c r="AT336" s="126"/>
      <c r="AV336" s="37"/>
      <c r="AW336" s="64"/>
      <c r="AX336" s="37"/>
      <c r="AY336" s="64"/>
      <c r="AZ336" s="37"/>
      <c r="BA336" s="64"/>
      <c r="BB336" s="37"/>
      <c r="BC336" s="64"/>
      <c r="BD336" s="37">
        <v>0</v>
      </c>
      <c r="BE336" s="76"/>
      <c r="BF336" s="37">
        <v>3571</v>
      </c>
      <c r="BG336" s="76"/>
      <c r="BH336" s="37">
        <v>3571</v>
      </c>
      <c r="BI336" s="76"/>
      <c r="BJ336" s="37">
        <v>3571</v>
      </c>
      <c r="BK336" s="76"/>
      <c r="BL336" s="37">
        <v>3571</v>
      </c>
      <c r="BM336" s="76"/>
      <c r="BN336" s="37">
        <v>3571</v>
      </c>
      <c r="BO336" s="76"/>
      <c r="BP336" s="37">
        <v>3571</v>
      </c>
      <c r="BQ336" s="76"/>
      <c r="BR336" s="37">
        <v>3571</v>
      </c>
      <c r="BS336" s="76"/>
    </row>
    <row r="337" spans="6:71" outlineLevel="1" x14ac:dyDescent="0.25">
      <c r="G337" s="4" t="s">
        <v>596</v>
      </c>
      <c r="H337" s="1"/>
      <c r="P337" s="66"/>
      <c r="Q337" s="58"/>
      <c r="T337" s="34"/>
      <c r="V337" s="34"/>
      <c r="X337" s="34"/>
      <c r="Z337" s="34"/>
      <c r="AB337" s="34"/>
      <c r="AD337" s="34"/>
      <c r="AF337" s="36"/>
      <c r="AH337" s="36"/>
      <c r="AJ337" s="36"/>
      <c r="AL337" s="36"/>
      <c r="AN337" s="36"/>
      <c r="AP337" s="36"/>
      <c r="AR337" s="34">
        <v>0</v>
      </c>
      <c r="AT337" s="126">
        <v>0</v>
      </c>
      <c r="AV337" s="37">
        <v>0</v>
      </c>
      <c r="AW337" s="64"/>
      <c r="AX337" s="37">
        <v>1061.26</v>
      </c>
      <c r="AY337" s="64"/>
      <c r="AZ337" s="37">
        <v>1061.26</v>
      </c>
      <c r="BA337" s="64"/>
      <c r="BB337" s="37">
        <v>1869.16</v>
      </c>
      <c r="BC337" s="64"/>
      <c r="BD337" s="37">
        <v>1355</v>
      </c>
      <c r="BE337" s="64"/>
      <c r="BF337" s="37">
        <v>1171</v>
      </c>
      <c r="BG337" s="76"/>
      <c r="BH337" s="75">
        <f>8*15*4</f>
        <v>480</v>
      </c>
      <c r="BI337" s="76"/>
      <c r="BJ337" s="75">
        <f>8*15*4</f>
        <v>480</v>
      </c>
      <c r="BK337" s="76"/>
      <c r="BL337" s="34">
        <v>1386</v>
      </c>
      <c r="BM337" s="76"/>
      <c r="BN337" s="34">
        <v>1386</v>
      </c>
      <c r="BO337" s="76"/>
      <c r="BP337" s="34">
        <v>1386</v>
      </c>
      <c r="BQ337" s="76"/>
      <c r="BR337" s="34">
        <v>1386</v>
      </c>
      <c r="BS337" s="76"/>
    </row>
    <row r="338" spans="6:71" outlineLevel="1" x14ac:dyDescent="0.25">
      <c r="G338" s="4" t="s">
        <v>592</v>
      </c>
      <c r="H338" s="1"/>
      <c r="P338" s="66"/>
      <c r="Q338" s="58"/>
      <c r="T338" s="34"/>
      <c r="V338" s="34"/>
      <c r="X338" s="34"/>
      <c r="Z338" s="34"/>
      <c r="AB338" s="34"/>
      <c r="AD338" s="34"/>
      <c r="AF338" s="36"/>
      <c r="AH338" s="36"/>
      <c r="AJ338" s="36"/>
      <c r="AL338" s="36"/>
      <c r="AN338" s="36"/>
      <c r="AP338" s="36"/>
      <c r="AR338" s="34"/>
      <c r="AT338" s="126"/>
      <c r="AV338" s="37">
        <v>0</v>
      </c>
      <c r="AW338" s="64"/>
      <c r="AX338" s="37">
        <v>0</v>
      </c>
      <c r="AY338" s="64"/>
      <c r="AZ338" s="37">
        <v>0</v>
      </c>
      <c r="BA338" s="64"/>
      <c r="BB338" s="37">
        <v>0</v>
      </c>
      <c r="BC338" s="64"/>
      <c r="BD338" s="37">
        <v>1189</v>
      </c>
      <c r="BE338" s="76"/>
      <c r="BF338" s="34">
        <v>1002</v>
      </c>
      <c r="BG338" s="76"/>
      <c r="BH338" s="34">
        <v>0</v>
      </c>
      <c r="BI338" s="76"/>
      <c r="BJ338" s="34">
        <v>0</v>
      </c>
      <c r="BK338" s="76"/>
      <c r="BL338" s="78">
        <v>3250</v>
      </c>
      <c r="BM338" s="76"/>
      <c r="BN338" s="78">
        <v>3250</v>
      </c>
      <c r="BO338" s="76"/>
      <c r="BP338" s="78">
        <v>3250</v>
      </c>
      <c r="BQ338" s="76"/>
      <c r="BR338" s="78">
        <v>3250</v>
      </c>
      <c r="BS338" s="76"/>
    </row>
    <row r="339" spans="6:71" outlineLevel="1" x14ac:dyDescent="0.25">
      <c r="G339" s="4" t="s">
        <v>597</v>
      </c>
      <c r="H339" s="1"/>
      <c r="P339" s="66"/>
      <c r="Q339" s="58"/>
      <c r="T339" s="34"/>
      <c r="V339" s="34"/>
      <c r="X339" s="34"/>
      <c r="Z339" s="34"/>
      <c r="AB339" s="34"/>
      <c r="AD339" s="34"/>
      <c r="AF339" s="36"/>
      <c r="AH339" s="36"/>
      <c r="AJ339" s="36"/>
      <c r="AL339" s="36"/>
      <c r="AN339" s="36"/>
      <c r="AP339" s="36"/>
      <c r="AR339" s="34"/>
      <c r="AT339" s="126"/>
      <c r="AV339" s="37"/>
      <c r="AW339" s="64"/>
      <c r="AX339" s="37"/>
      <c r="AY339" s="64"/>
      <c r="AZ339" s="37"/>
      <c r="BA339" s="64"/>
      <c r="BB339" s="37"/>
      <c r="BC339" s="64"/>
      <c r="BD339" s="37">
        <f>208</f>
        <v>208</v>
      </c>
      <c r="BE339" s="76"/>
      <c r="BF339" s="37">
        <v>800</v>
      </c>
      <c r="BG339" s="76"/>
      <c r="BH339" s="37">
        <v>800</v>
      </c>
      <c r="BI339" s="76"/>
      <c r="BJ339" s="78">
        <v>3250</v>
      </c>
      <c r="BK339" s="76"/>
      <c r="BL339" s="78">
        <v>3250</v>
      </c>
      <c r="BM339" s="76"/>
      <c r="BN339" s="78">
        <v>3250</v>
      </c>
      <c r="BO339" s="76"/>
      <c r="BP339" s="78">
        <v>3250</v>
      </c>
      <c r="BQ339" s="76"/>
      <c r="BR339" s="78">
        <v>3250</v>
      </c>
      <c r="BS339" s="76"/>
    </row>
    <row r="340" spans="6:71" outlineLevel="1" x14ac:dyDescent="0.25">
      <c r="G340" s="4" t="s">
        <v>593</v>
      </c>
      <c r="H340" s="1"/>
      <c r="P340" s="66"/>
      <c r="Q340" s="58"/>
      <c r="T340" s="34"/>
      <c r="V340" s="34"/>
      <c r="X340" s="34"/>
      <c r="Z340" s="34"/>
      <c r="AB340" s="34"/>
      <c r="AD340" s="34"/>
      <c r="AF340" s="36"/>
      <c r="AH340" s="36"/>
      <c r="AJ340" s="36"/>
      <c r="AL340" s="36"/>
      <c r="AN340" s="36"/>
      <c r="AP340" s="36"/>
      <c r="AR340" s="34"/>
      <c r="AT340" s="126"/>
      <c r="AV340" s="37"/>
      <c r="AW340" s="64"/>
      <c r="AX340" s="37"/>
      <c r="AY340" s="64"/>
      <c r="AZ340" s="37"/>
      <c r="BA340" s="64"/>
      <c r="BB340" s="37"/>
      <c r="BC340" s="64"/>
      <c r="BD340" s="37"/>
      <c r="BE340" s="76"/>
      <c r="BF340" s="34"/>
      <c r="BG340" s="76"/>
      <c r="BH340" s="75">
        <v>1386</v>
      </c>
      <c r="BI340" s="76"/>
      <c r="BJ340" s="75">
        <v>1386</v>
      </c>
      <c r="BK340" s="76"/>
      <c r="BL340" s="75">
        <f>16.5*160</f>
        <v>2640</v>
      </c>
      <c r="BM340" s="76"/>
      <c r="BN340" s="75">
        <f>16.5*160</f>
        <v>2640</v>
      </c>
      <c r="BO340" s="76"/>
      <c r="BP340" s="75">
        <f>16.5*160</f>
        <v>2640</v>
      </c>
      <c r="BQ340" s="76"/>
      <c r="BR340" s="75">
        <f>16.5*160</f>
        <v>2640</v>
      </c>
      <c r="BS340" s="76"/>
    </row>
    <row r="341" spans="6:71" outlineLevel="1" x14ac:dyDescent="0.25">
      <c r="G341" s="4" t="s">
        <v>594</v>
      </c>
      <c r="H341" s="1"/>
      <c r="P341" s="66"/>
      <c r="Q341" s="58"/>
      <c r="T341" s="34"/>
      <c r="V341" s="34"/>
      <c r="X341" s="34"/>
      <c r="Z341" s="34"/>
      <c r="AB341" s="34"/>
      <c r="AD341" s="34"/>
      <c r="AF341" s="36"/>
      <c r="AH341" s="36"/>
      <c r="AJ341" s="36"/>
      <c r="AL341" s="36"/>
      <c r="AN341" s="36"/>
      <c r="AP341" s="36"/>
      <c r="AR341" s="34"/>
      <c r="AT341" s="126"/>
      <c r="AV341" s="37"/>
      <c r="AW341" s="64"/>
      <c r="AX341" s="37"/>
      <c r="AY341" s="64"/>
      <c r="AZ341" s="37"/>
      <c r="BA341" s="64"/>
      <c r="BB341" s="37"/>
      <c r="BC341" s="64"/>
      <c r="BD341" s="37">
        <v>0</v>
      </c>
      <c r="BE341" s="76"/>
      <c r="BF341" s="34">
        <v>1051</v>
      </c>
      <c r="BG341" s="76"/>
      <c r="BH341" s="75">
        <v>1386</v>
      </c>
      <c r="BI341" s="76"/>
      <c r="BJ341" s="75">
        <v>1386</v>
      </c>
      <c r="BK341" s="76"/>
      <c r="BL341" s="75">
        <f>16.5*160</f>
        <v>2640</v>
      </c>
      <c r="BM341" s="76"/>
      <c r="BN341" s="75">
        <f>16.5*160</f>
        <v>2640</v>
      </c>
      <c r="BO341" s="76"/>
      <c r="BP341" s="75">
        <f>16.5*160</f>
        <v>2640</v>
      </c>
      <c r="BQ341" s="76"/>
      <c r="BR341" s="75">
        <f>16.5*160</f>
        <v>2640</v>
      </c>
      <c r="BS341" s="76"/>
    </row>
    <row r="342" spans="6:71" outlineLevel="1" x14ac:dyDescent="0.25">
      <c r="G342" s="4" t="s">
        <v>595</v>
      </c>
      <c r="H342" s="1"/>
      <c r="P342" s="66"/>
      <c r="Q342" s="58"/>
      <c r="T342" s="34"/>
      <c r="V342" s="34"/>
      <c r="X342" s="34"/>
      <c r="Z342" s="34"/>
      <c r="AB342" s="34"/>
      <c r="AD342" s="34"/>
      <c r="AF342" s="36"/>
      <c r="AH342" s="36"/>
      <c r="AJ342" s="36"/>
      <c r="AL342" s="36"/>
      <c r="AN342" s="36"/>
      <c r="AP342" s="36"/>
      <c r="AR342" s="34"/>
      <c r="AT342" s="126"/>
      <c r="AV342" s="37">
        <v>0</v>
      </c>
      <c r="AW342" s="64"/>
      <c r="AX342" s="37">
        <v>0</v>
      </c>
      <c r="AY342" s="64"/>
      <c r="AZ342" s="34">
        <v>0</v>
      </c>
      <c r="BA342" s="64"/>
      <c r="BB342" s="34">
        <v>0</v>
      </c>
      <c r="BC342" s="64"/>
      <c r="BD342" s="37">
        <v>818</v>
      </c>
      <c r="BE342" s="76"/>
      <c r="BF342" s="94">
        <v>900</v>
      </c>
      <c r="BG342" s="76"/>
      <c r="BH342" s="75">
        <v>900</v>
      </c>
      <c r="BI342" s="76"/>
      <c r="BJ342" s="75">
        <v>900</v>
      </c>
      <c r="BK342" s="76"/>
      <c r="BL342" s="34">
        <v>0</v>
      </c>
      <c r="BM342" s="76"/>
      <c r="BN342" s="34">
        <v>0</v>
      </c>
      <c r="BO342" s="76"/>
      <c r="BP342" s="34">
        <v>0</v>
      </c>
      <c r="BQ342" s="76"/>
      <c r="BR342" s="34">
        <v>0</v>
      </c>
      <c r="BS342" s="76"/>
    </row>
    <row r="343" spans="6:71" outlineLevel="1" x14ac:dyDescent="0.25">
      <c r="G343" s="4" t="s">
        <v>600</v>
      </c>
      <c r="H343" s="1"/>
      <c r="P343" s="66"/>
      <c r="Q343" s="58"/>
      <c r="T343" s="36">
        <v>0</v>
      </c>
      <c r="V343" s="36">
        <v>0</v>
      </c>
      <c r="X343" s="34">
        <v>0</v>
      </c>
      <c r="Z343" s="34">
        <v>0</v>
      </c>
      <c r="AB343" s="36">
        <f>2123 *0.25</f>
        <v>530.75</v>
      </c>
      <c r="AD343" s="36">
        <v>2123</v>
      </c>
      <c r="AF343" s="36">
        <v>2123</v>
      </c>
      <c r="AH343" s="36">
        <v>2123</v>
      </c>
      <c r="AJ343" s="36">
        <v>2123</v>
      </c>
      <c r="AL343" s="36">
        <v>0</v>
      </c>
      <c r="AN343" s="36">
        <v>0</v>
      </c>
      <c r="AP343" s="36">
        <v>0</v>
      </c>
      <c r="AR343" s="36">
        <v>0</v>
      </c>
      <c r="AT343" s="149">
        <v>0</v>
      </c>
      <c r="AV343" s="81">
        <v>0</v>
      </c>
      <c r="AW343" s="64"/>
      <c r="AX343" s="81">
        <v>0</v>
      </c>
      <c r="AY343" s="64"/>
      <c r="AZ343" s="81">
        <v>0</v>
      </c>
      <c r="BA343" s="64"/>
      <c r="BB343" s="81">
        <v>0</v>
      </c>
      <c r="BC343" s="64"/>
      <c r="BD343" s="81">
        <v>0</v>
      </c>
      <c r="BE343" s="64"/>
      <c r="BF343" s="81">
        <v>0</v>
      </c>
      <c r="BH343" s="36">
        <v>0</v>
      </c>
      <c r="BJ343" s="36">
        <v>0</v>
      </c>
      <c r="BL343" s="36">
        <v>0</v>
      </c>
      <c r="BN343" s="36">
        <v>0</v>
      </c>
      <c r="BP343" s="36">
        <v>0</v>
      </c>
      <c r="BR343" s="36">
        <v>0</v>
      </c>
    </row>
    <row r="344" spans="6:71" outlineLevel="1" x14ac:dyDescent="0.25">
      <c r="G344" s="4" t="s">
        <v>509</v>
      </c>
      <c r="H344" s="1"/>
      <c r="P344" s="66"/>
      <c r="Q344" s="58"/>
      <c r="T344" s="34"/>
      <c r="V344" s="34"/>
      <c r="X344" s="34"/>
      <c r="Z344" s="34"/>
      <c r="AB344" s="34"/>
      <c r="AD344" s="34"/>
      <c r="AF344" s="36"/>
      <c r="AH344" s="36"/>
      <c r="AJ344" s="36"/>
      <c r="AL344" s="36"/>
      <c r="AN344" s="36"/>
      <c r="AP344" s="36"/>
      <c r="AR344" s="34">
        <v>0</v>
      </c>
      <c r="AT344" s="126">
        <v>0</v>
      </c>
      <c r="AV344" s="37">
        <v>0</v>
      </c>
      <c r="AW344" s="64"/>
      <c r="AX344" s="37">
        <v>0</v>
      </c>
      <c r="AY344" s="64"/>
      <c r="AZ344" s="37">
        <v>0</v>
      </c>
      <c r="BA344" s="64"/>
      <c r="BB344" s="37">
        <v>0</v>
      </c>
      <c r="BC344" s="64"/>
      <c r="BD344" s="37">
        <v>0</v>
      </c>
      <c r="BE344" s="64"/>
      <c r="BF344" s="37">
        <v>0</v>
      </c>
      <c r="BG344" s="76"/>
      <c r="BH344" s="37">
        <f>160000/12</f>
        <v>13333.333333333334</v>
      </c>
      <c r="BI344" s="64"/>
      <c r="BJ344" s="37">
        <f>160000/12</f>
        <v>13333.333333333334</v>
      </c>
      <c r="BK344" s="64"/>
      <c r="BL344" s="37">
        <f>160000/12</f>
        <v>13333.333333333334</v>
      </c>
      <c r="BM344" s="64"/>
      <c r="BN344" s="37">
        <f>160000/12</f>
        <v>13333.333333333334</v>
      </c>
      <c r="BO344" s="64"/>
      <c r="BP344" s="37">
        <f>160000/12</f>
        <v>13333.333333333334</v>
      </c>
      <c r="BQ344" s="64"/>
      <c r="BR344" s="37">
        <f>160000/12</f>
        <v>13333.333333333334</v>
      </c>
      <c r="BS344" s="76"/>
    </row>
    <row r="345" spans="6:71" outlineLevel="1" x14ac:dyDescent="0.25">
      <c r="G345" s="4" t="s">
        <v>603</v>
      </c>
      <c r="H345" s="1"/>
      <c r="P345" s="66"/>
      <c r="Q345" s="58"/>
      <c r="T345" s="34"/>
      <c r="V345" s="34"/>
      <c r="X345" s="34"/>
      <c r="Z345" s="34"/>
      <c r="AB345" s="34"/>
      <c r="AD345" s="34"/>
      <c r="AF345" s="36"/>
      <c r="AH345" s="36"/>
      <c r="AJ345" s="36"/>
      <c r="AL345" s="36"/>
      <c r="AN345" s="36"/>
      <c r="AP345" s="36"/>
      <c r="AR345" s="34"/>
      <c r="AT345" s="126"/>
      <c r="AV345" s="37"/>
      <c r="AW345" s="64"/>
      <c r="AX345" s="37"/>
      <c r="AY345" s="64"/>
      <c r="AZ345" s="37"/>
      <c r="BA345" s="64"/>
      <c r="BB345" s="37"/>
      <c r="BC345" s="64"/>
      <c r="BD345" s="37"/>
      <c r="BE345" s="64"/>
      <c r="BF345" s="37"/>
      <c r="BG345" s="76"/>
      <c r="BH345" s="37"/>
      <c r="BI345" s="64"/>
      <c r="BJ345" s="37">
        <v>10000</v>
      </c>
      <c r="BK345" s="64"/>
      <c r="BL345" s="37">
        <v>10000</v>
      </c>
      <c r="BM345" s="64"/>
      <c r="BN345" s="37">
        <v>10000</v>
      </c>
      <c r="BO345" s="64"/>
      <c r="BP345" s="37">
        <v>10000</v>
      </c>
      <c r="BQ345" s="64"/>
      <c r="BR345" s="37">
        <v>10000</v>
      </c>
      <c r="BS345" s="76"/>
    </row>
    <row r="346" spans="6:71" outlineLevel="1" x14ac:dyDescent="0.25">
      <c r="G346" s="4" t="s">
        <v>604</v>
      </c>
      <c r="H346" s="1"/>
      <c r="P346" s="66"/>
      <c r="Q346" s="58"/>
      <c r="T346" s="34"/>
      <c r="V346" s="34"/>
      <c r="X346" s="34"/>
      <c r="Z346" s="34"/>
      <c r="AB346" s="34"/>
      <c r="AD346" s="34"/>
      <c r="AF346" s="36"/>
      <c r="AH346" s="36"/>
      <c r="AJ346" s="36"/>
      <c r="AL346" s="36"/>
      <c r="AN346" s="36"/>
      <c r="AP346" s="36"/>
      <c r="AR346" s="34"/>
      <c r="AT346" s="126"/>
      <c r="AV346" s="37">
        <v>0</v>
      </c>
      <c r="AW346" s="64"/>
      <c r="AX346" s="37">
        <v>0</v>
      </c>
      <c r="AY346" s="64"/>
      <c r="AZ346" s="37">
        <v>0</v>
      </c>
      <c r="BA346" s="64"/>
      <c r="BB346" s="37">
        <v>0</v>
      </c>
      <c r="BC346" s="64"/>
      <c r="BD346" s="37">
        <v>0</v>
      </c>
      <c r="BE346" s="76"/>
      <c r="BF346" s="34">
        <v>0</v>
      </c>
      <c r="BG346" s="76"/>
      <c r="BH346" s="34">
        <v>0</v>
      </c>
      <c r="BI346" s="64"/>
      <c r="BJ346" s="34">
        <v>0</v>
      </c>
      <c r="BK346" s="76" t="s">
        <v>605</v>
      </c>
      <c r="BL346" s="75">
        <v>1386</v>
      </c>
      <c r="BM346" s="76" t="s">
        <v>605</v>
      </c>
      <c r="BN346" s="75">
        <v>1386</v>
      </c>
      <c r="BO346" s="76" t="s">
        <v>605</v>
      </c>
      <c r="BP346" s="75">
        <v>1386</v>
      </c>
      <c r="BQ346" s="76" t="s">
        <v>605</v>
      </c>
      <c r="BR346" s="75">
        <v>1386</v>
      </c>
      <c r="BS346" s="76"/>
    </row>
    <row r="347" spans="6:71" outlineLevel="1" x14ac:dyDescent="0.25">
      <c r="G347" s="4" t="s">
        <v>602</v>
      </c>
      <c r="H347" s="1"/>
      <c r="P347" s="66"/>
      <c r="Q347" s="58"/>
      <c r="T347" s="34"/>
      <c r="V347" s="34"/>
      <c r="X347" s="34"/>
      <c r="Z347" s="34"/>
      <c r="AB347" s="34"/>
      <c r="AD347" s="34"/>
      <c r="AF347" s="36"/>
      <c r="AH347" s="36"/>
      <c r="AJ347" s="36"/>
      <c r="AL347" s="36"/>
      <c r="AN347" s="36"/>
      <c r="AP347" s="36"/>
      <c r="AR347" s="34"/>
      <c r="AT347" s="126"/>
      <c r="AV347" s="37">
        <v>0</v>
      </c>
      <c r="AW347" s="64"/>
      <c r="AX347" s="37">
        <v>0</v>
      </c>
      <c r="AY347" s="64"/>
      <c r="AZ347" s="37">
        <v>0</v>
      </c>
      <c r="BA347" s="64"/>
      <c r="BB347" s="37">
        <v>0</v>
      </c>
      <c r="BC347" s="76"/>
      <c r="BD347" s="34">
        <v>0</v>
      </c>
      <c r="BE347" s="76"/>
      <c r="BF347" s="34">
        <v>0</v>
      </c>
      <c r="BG347" s="76"/>
      <c r="BH347" s="34">
        <v>0</v>
      </c>
      <c r="BI347" s="64"/>
      <c r="BJ347" s="34">
        <v>0</v>
      </c>
      <c r="BK347" s="76" t="s">
        <v>785</v>
      </c>
      <c r="BL347" s="75">
        <f>130000/12</f>
        <v>10833.333333333334</v>
      </c>
      <c r="BM347" s="76" t="s">
        <v>785</v>
      </c>
      <c r="BN347" s="75">
        <f>130000/12</f>
        <v>10833.333333333334</v>
      </c>
      <c r="BO347" s="76" t="s">
        <v>785</v>
      </c>
      <c r="BP347" s="75">
        <f>130000/12</f>
        <v>10833.333333333334</v>
      </c>
      <c r="BQ347" s="76" t="s">
        <v>785</v>
      </c>
      <c r="BR347" s="75">
        <f>130000/12</f>
        <v>10833.333333333334</v>
      </c>
      <c r="BS347" s="76"/>
    </row>
    <row r="348" spans="6:71" outlineLevel="1" x14ac:dyDescent="0.25">
      <c r="G348" s="4" t="s">
        <v>588</v>
      </c>
      <c r="H348" s="1"/>
      <c r="P348" s="66"/>
      <c r="Q348" s="58"/>
      <c r="T348" s="36">
        <v>0</v>
      </c>
      <c r="V348" s="36">
        <v>0</v>
      </c>
      <c r="X348" s="36">
        <v>1000</v>
      </c>
      <c r="Z348" s="36">
        <v>1000</v>
      </c>
      <c r="AB348" s="36">
        <v>800</v>
      </c>
      <c r="AD348" s="36">
        <v>800</v>
      </c>
      <c r="AF348" s="36">
        <v>800</v>
      </c>
      <c r="AH348" s="36">
        <v>250</v>
      </c>
      <c r="AJ348" s="36">
        <v>0</v>
      </c>
      <c r="AL348" s="36">
        <v>0</v>
      </c>
      <c r="AN348" s="36">
        <v>0</v>
      </c>
      <c r="AP348" s="36">
        <v>0</v>
      </c>
      <c r="AR348" s="36">
        <v>0</v>
      </c>
      <c r="AT348" s="149">
        <v>0</v>
      </c>
      <c r="AV348" s="81">
        <v>0</v>
      </c>
      <c r="AW348" s="64"/>
      <c r="AX348" s="81">
        <v>0</v>
      </c>
      <c r="AY348" s="64"/>
      <c r="AZ348" s="81">
        <v>0</v>
      </c>
      <c r="BA348" s="64"/>
      <c r="BB348" s="81">
        <v>0</v>
      </c>
      <c r="BC348" s="64"/>
      <c r="BD348" s="81">
        <v>0</v>
      </c>
      <c r="BE348" s="64"/>
      <c r="BF348" s="81">
        <v>0</v>
      </c>
      <c r="BH348" s="36">
        <v>0</v>
      </c>
      <c r="BJ348" s="36">
        <v>0</v>
      </c>
      <c r="BL348" s="36">
        <v>0</v>
      </c>
      <c r="BN348" s="36">
        <v>0</v>
      </c>
      <c r="BP348" s="36">
        <v>0</v>
      </c>
      <c r="BR348" s="36">
        <v>0</v>
      </c>
    </row>
    <row r="349" spans="6:71" outlineLevel="1" x14ac:dyDescent="0.25">
      <c r="G349" s="4" t="s">
        <v>606</v>
      </c>
      <c r="H349" s="1"/>
      <c r="P349" s="58"/>
      <c r="Q349" s="58"/>
      <c r="T349" s="34">
        <v>152.5</v>
      </c>
      <c r="V349" s="34">
        <v>152.5</v>
      </c>
      <c r="X349" s="34">
        <v>152.5</v>
      </c>
      <c r="Z349" s="34">
        <v>152.5</v>
      </c>
      <c r="AB349" s="34">
        <v>0</v>
      </c>
      <c r="AD349" s="34">
        <v>0</v>
      </c>
      <c r="AF349" s="34">
        <v>0</v>
      </c>
      <c r="AH349" s="34">
        <v>0</v>
      </c>
      <c r="AJ349" s="34">
        <v>0</v>
      </c>
      <c r="AL349" s="34">
        <v>0</v>
      </c>
      <c r="AN349" s="34">
        <v>0</v>
      </c>
      <c r="AP349" s="34">
        <v>0</v>
      </c>
      <c r="AQ349" s="76"/>
      <c r="AR349" s="34">
        <v>0</v>
      </c>
      <c r="AS349" s="64" t="s">
        <v>607</v>
      </c>
      <c r="AT349" s="130">
        <v>12000</v>
      </c>
      <c r="AU349" s="76"/>
      <c r="AV349" s="37">
        <v>0</v>
      </c>
      <c r="AW349" s="64"/>
      <c r="AX349" s="37">
        <v>1667.2</v>
      </c>
      <c r="AY349" s="64"/>
      <c r="AZ349" s="37">
        <v>0</v>
      </c>
      <c r="BA349" s="64"/>
      <c r="BB349" s="37">
        <v>0</v>
      </c>
      <c r="BC349" s="64"/>
      <c r="BD349" s="37">
        <v>0</v>
      </c>
      <c r="BE349" s="64"/>
      <c r="BF349" s="37">
        <v>0</v>
      </c>
      <c r="BG349" s="76"/>
      <c r="BH349" s="34">
        <v>0</v>
      </c>
      <c r="BI349" s="76"/>
      <c r="BJ349" s="34">
        <v>0</v>
      </c>
      <c r="BK349" s="76"/>
      <c r="BL349" s="34">
        <v>0</v>
      </c>
      <c r="BM349" s="76"/>
      <c r="BN349" s="34">
        <v>0</v>
      </c>
      <c r="BO349" s="76"/>
      <c r="BP349" s="34">
        <v>0</v>
      </c>
      <c r="BQ349" s="76"/>
      <c r="BR349" s="75">
        <v>20000</v>
      </c>
      <c r="BS349" s="76"/>
    </row>
    <row r="350" spans="6:71" x14ac:dyDescent="0.25">
      <c r="F350" s="4" t="s">
        <v>608</v>
      </c>
      <c r="G350" s="4"/>
      <c r="H350" s="1"/>
      <c r="T350" s="4">
        <f>SUM(T351:T355)</f>
        <v>152.5</v>
      </c>
      <c r="V350" s="4">
        <f>SUM(V351:V355)</f>
        <v>152.5</v>
      </c>
      <c r="X350" s="4">
        <f>SUM(X351:X355)</f>
        <v>152.5</v>
      </c>
      <c r="Z350" s="4">
        <f>SUM(Z351:Z355)</f>
        <v>152.5</v>
      </c>
      <c r="AB350" s="4">
        <f>SUM(AB351:AB355)</f>
        <v>0</v>
      </c>
      <c r="AD350" s="4">
        <f>SUM(AD351:AD355)</f>
        <v>0</v>
      </c>
      <c r="AF350" s="4">
        <f>SUM(AF351:AF355)</f>
        <v>0</v>
      </c>
      <c r="AH350" s="4">
        <f>SUM(AH351:AH355)</f>
        <v>0</v>
      </c>
      <c r="AJ350" s="4">
        <f>SUM(AJ351:AJ355)</f>
        <v>0</v>
      </c>
      <c r="AL350" s="4">
        <f>SUM(AL351:AL355)</f>
        <v>0</v>
      </c>
      <c r="AN350" s="4">
        <f>SUM(AN351:AN355)</f>
        <v>0</v>
      </c>
      <c r="AP350" s="4">
        <f>SUM(AP351:AP355)</f>
        <v>0</v>
      </c>
      <c r="AR350" s="4">
        <f>SUM(AR351:AR355)</f>
        <v>0</v>
      </c>
      <c r="AT350" s="121">
        <f>SUM(AT351:AT355)</f>
        <v>47.328333333333333</v>
      </c>
      <c r="AV350" s="4">
        <f>SUM(AV351:AV355)</f>
        <v>0</v>
      </c>
      <c r="AX350" s="4">
        <f>SUM(AX351:AX355)</f>
        <v>0</v>
      </c>
      <c r="AZ350" s="4">
        <f>SUM(AZ351:AZ355)</f>
        <v>143.05000000000001</v>
      </c>
      <c r="BB350" s="4">
        <f>SUM(BB351:BB355)</f>
        <v>143.05000000000001</v>
      </c>
      <c r="BC350" s="18"/>
      <c r="BD350" s="4">
        <f>SUM(BD351:BD355)</f>
        <v>781.91166666666641</v>
      </c>
      <c r="BF350" s="4">
        <f>SUM(BF351:BF355)</f>
        <v>781.91166666666641</v>
      </c>
      <c r="BH350" s="4">
        <f>SUM(BH351:BH355)</f>
        <v>781.91166666666641</v>
      </c>
      <c r="BJ350" s="4">
        <f>SUM(BJ351:BJ355)</f>
        <v>781.91166666666641</v>
      </c>
      <c r="BL350" s="4">
        <f>SUM(BL351:BL355)</f>
        <v>781.91166666666641</v>
      </c>
      <c r="BN350" s="4">
        <f>SUM(BN351:BN355)</f>
        <v>781.91166666666641</v>
      </c>
      <c r="BP350" s="4">
        <f>SUM(BP351:BP355)</f>
        <v>781.91166666666641</v>
      </c>
      <c r="BR350" s="4">
        <f>SUM(BR351:BR355)</f>
        <v>781.91166666666641</v>
      </c>
    </row>
    <row r="351" spans="6:71" outlineLevel="1" x14ac:dyDescent="0.25">
      <c r="G351" s="98" t="s">
        <v>609</v>
      </c>
      <c r="H351" s="1"/>
      <c r="I351" s="14"/>
      <c r="P351" s="58"/>
      <c r="Q351" s="58"/>
      <c r="T351" s="34">
        <v>152.5</v>
      </c>
      <c r="V351" s="34">
        <v>152.5</v>
      </c>
      <c r="X351" s="34">
        <v>152.5</v>
      </c>
      <c r="Z351" s="34">
        <v>152.5</v>
      </c>
      <c r="AB351" s="34"/>
      <c r="AD351" s="34"/>
      <c r="AF351" s="34"/>
      <c r="AH351" s="34"/>
      <c r="AJ351" s="34"/>
      <c r="AL351" s="34"/>
      <c r="AN351" s="34"/>
      <c r="AP351" s="75"/>
      <c r="AQ351" s="76"/>
      <c r="AR351" s="75">
        <v>0</v>
      </c>
      <c r="AS351" s="76"/>
      <c r="AT351" s="130">
        <v>0</v>
      </c>
      <c r="AU351" s="76"/>
      <c r="AV351" s="75">
        <v>0</v>
      </c>
      <c r="AW351" s="76"/>
      <c r="AX351" s="75">
        <v>0</v>
      </c>
      <c r="AY351" s="76"/>
      <c r="AZ351" s="75">
        <v>143.05000000000001</v>
      </c>
      <c r="BA351" s="76"/>
      <c r="BB351" s="75">
        <v>143.05000000000001</v>
      </c>
      <c r="BC351" s="76"/>
      <c r="BD351" s="75">
        <f>BD430/2</f>
        <v>76.25</v>
      </c>
      <c r="BE351" s="76"/>
      <c r="BF351" s="75">
        <f>BF430/2</f>
        <v>76.25</v>
      </c>
      <c r="BG351" s="76"/>
      <c r="BH351" s="75">
        <f>BH430/2</f>
        <v>76.25</v>
      </c>
      <c r="BI351" s="76"/>
      <c r="BJ351" s="75">
        <f>BJ430/2</f>
        <v>76.25</v>
      </c>
      <c r="BK351" s="76"/>
      <c r="BL351" s="75">
        <f>BL430/2</f>
        <v>76.25</v>
      </c>
      <c r="BM351" s="76"/>
      <c r="BN351" s="75">
        <f>BN430/2</f>
        <v>76.25</v>
      </c>
      <c r="BO351" s="76"/>
      <c r="BP351" s="75">
        <f>BP430/2</f>
        <v>76.25</v>
      </c>
      <c r="BQ351" s="76"/>
      <c r="BR351" s="75">
        <f>BR430/2</f>
        <v>76.25</v>
      </c>
      <c r="BS351" s="76"/>
    </row>
    <row r="352" spans="6:71" s="62" customFormat="1" outlineLevel="1" x14ac:dyDescent="0.25">
      <c r="G352" s="62" t="s">
        <v>611</v>
      </c>
      <c r="H352" s="63"/>
      <c r="J352" s="38"/>
      <c r="S352" s="80"/>
      <c r="T352" s="37"/>
      <c r="U352" s="64"/>
      <c r="V352" s="37"/>
      <c r="W352" s="64"/>
      <c r="X352" s="37"/>
      <c r="Y352" s="64"/>
      <c r="Z352" s="37"/>
      <c r="AA352" s="64"/>
      <c r="AB352" s="37"/>
      <c r="AC352" s="64"/>
      <c r="AD352" s="37"/>
      <c r="AE352" s="64"/>
      <c r="AF352" s="37"/>
      <c r="AG352" s="64"/>
      <c r="AH352" s="37"/>
      <c r="AI352" s="64"/>
      <c r="AJ352" s="37"/>
      <c r="AK352" s="64"/>
      <c r="AL352" s="37"/>
      <c r="AM352" s="64"/>
      <c r="AN352" s="37"/>
      <c r="AO352" s="64"/>
      <c r="AP352" s="37"/>
      <c r="AQ352" s="64"/>
      <c r="AR352" s="37"/>
      <c r="AS352" s="64"/>
      <c r="AT352" s="150"/>
      <c r="AU352" s="64"/>
      <c r="AV352" s="37"/>
      <c r="AW352" s="64"/>
      <c r="AX352" s="37"/>
      <c r="AY352" s="64"/>
      <c r="AZ352" s="37"/>
      <c r="BA352" s="64"/>
      <c r="BB352" s="37"/>
      <c r="BC352" s="64"/>
      <c r="BD352" s="37">
        <f>208.333333333333</f>
        <v>208.333333333333</v>
      </c>
      <c r="BE352" s="64"/>
      <c r="BF352" s="37">
        <f>208.333333333333</f>
        <v>208.333333333333</v>
      </c>
      <c r="BG352" s="64"/>
      <c r="BH352" s="37">
        <f>208.333333333333</f>
        <v>208.333333333333</v>
      </c>
      <c r="BI352" s="64"/>
      <c r="BJ352" s="37">
        <f>208.333333333333</f>
        <v>208.333333333333</v>
      </c>
      <c r="BK352" s="64"/>
      <c r="BL352" s="37">
        <f>208.333333333333</f>
        <v>208.333333333333</v>
      </c>
      <c r="BM352" s="64"/>
      <c r="BN352" s="37">
        <f>208.333333333333</f>
        <v>208.333333333333</v>
      </c>
      <c r="BO352" s="64"/>
      <c r="BP352" s="37">
        <f>208.333333333333</f>
        <v>208.333333333333</v>
      </c>
      <c r="BQ352" s="64"/>
      <c r="BR352" s="37">
        <f>208.333333333333</f>
        <v>208.333333333333</v>
      </c>
      <c r="BS352" s="64"/>
    </row>
    <row r="353" spans="5:71" outlineLevel="1" x14ac:dyDescent="0.25">
      <c r="G353" s="4" t="s">
        <v>612</v>
      </c>
      <c r="H353" s="1"/>
      <c r="P353" s="58"/>
      <c r="Q353" s="58"/>
      <c r="T353" s="34"/>
      <c r="V353" s="34"/>
      <c r="X353" s="34"/>
      <c r="Z353" s="34"/>
      <c r="AB353" s="34"/>
      <c r="AD353" s="34"/>
      <c r="AF353" s="34"/>
      <c r="AH353" s="34"/>
      <c r="AJ353" s="34"/>
      <c r="AL353" s="34"/>
      <c r="AN353" s="37">
        <v>0</v>
      </c>
      <c r="AP353" s="37">
        <v>0</v>
      </c>
      <c r="AQ353" s="76"/>
      <c r="AR353" s="37">
        <v>0</v>
      </c>
      <c r="AS353" s="76"/>
      <c r="AT353" s="150">
        <v>0</v>
      </c>
      <c r="AU353" s="76"/>
      <c r="AV353" s="37">
        <v>0</v>
      </c>
      <c r="AW353" s="76"/>
      <c r="AX353" s="37">
        <v>0</v>
      </c>
      <c r="AY353" s="76"/>
      <c r="AZ353" s="37">
        <v>0</v>
      </c>
      <c r="BA353" s="76"/>
      <c r="BB353" s="75">
        <v>0</v>
      </c>
      <c r="BC353" s="76"/>
      <c r="BD353" s="75">
        <v>450</v>
      </c>
      <c r="BE353" s="76"/>
      <c r="BF353" s="75">
        <v>450</v>
      </c>
      <c r="BG353" s="76"/>
      <c r="BH353" s="75">
        <v>450</v>
      </c>
      <c r="BI353" s="76"/>
      <c r="BJ353" s="75">
        <v>450</v>
      </c>
      <c r="BK353" s="76"/>
      <c r="BL353" s="75">
        <v>450</v>
      </c>
      <c r="BM353" s="76"/>
      <c r="BN353" s="75">
        <v>450</v>
      </c>
      <c r="BO353" s="76"/>
      <c r="BP353" s="75">
        <v>450</v>
      </c>
      <c r="BQ353" s="76"/>
      <c r="BR353" s="75">
        <v>450</v>
      </c>
      <c r="BS353" s="76"/>
    </row>
    <row r="354" spans="5:71" outlineLevel="1" x14ac:dyDescent="0.25">
      <c r="G354" s="4" t="s">
        <v>613</v>
      </c>
      <c r="H354" s="1"/>
      <c r="P354" s="58"/>
      <c r="Q354" s="58"/>
      <c r="T354" s="34"/>
      <c r="V354" s="34"/>
      <c r="X354" s="34"/>
      <c r="Z354" s="34"/>
      <c r="AB354" s="34"/>
      <c r="AD354" s="34"/>
      <c r="AF354" s="34"/>
      <c r="AH354" s="34"/>
      <c r="AJ354" s="34"/>
      <c r="AL354" s="34"/>
      <c r="AN354" s="34"/>
      <c r="AP354" s="75"/>
      <c r="AQ354" s="76"/>
      <c r="AR354" s="75"/>
      <c r="AS354" s="76"/>
      <c r="AT354" s="150">
        <f>378.63/12</f>
        <v>31.552499999999998</v>
      </c>
      <c r="AU354" s="64"/>
      <c r="AV354" s="37">
        <v>0</v>
      </c>
      <c r="AW354" s="64"/>
      <c r="AX354" s="37">
        <v>0</v>
      </c>
      <c r="AY354" s="64"/>
      <c r="AZ354" s="37">
        <v>0</v>
      </c>
      <c r="BA354" s="64"/>
      <c r="BB354" s="37">
        <v>0</v>
      </c>
      <c r="BC354" s="64"/>
      <c r="BD354" s="37">
        <f>378.63/12</f>
        <v>31.552499999999998</v>
      </c>
      <c r="BE354" s="64"/>
      <c r="BF354" s="37">
        <f>378.63/12</f>
        <v>31.552499999999998</v>
      </c>
      <c r="BG354" s="64"/>
      <c r="BH354" s="37">
        <f>378.63/12</f>
        <v>31.552499999999998</v>
      </c>
      <c r="BI354" s="64"/>
      <c r="BJ354" s="37">
        <f>378.63/12</f>
        <v>31.552499999999998</v>
      </c>
      <c r="BK354" s="64"/>
      <c r="BL354" s="37">
        <f>378.63/12</f>
        <v>31.552499999999998</v>
      </c>
      <c r="BM354" s="64"/>
      <c r="BN354" s="37">
        <f>378.63/12</f>
        <v>31.552499999999998</v>
      </c>
      <c r="BO354" s="64"/>
      <c r="BP354" s="37">
        <f>378.63/12</f>
        <v>31.552499999999998</v>
      </c>
      <c r="BQ354" s="64"/>
      <c r="BR354" s="37">
        <f>378.63/12</f>
        <v>31.552499999999998</v>
      </c>
      <c r="BS354" s="64"/>
    </row>
    <row r="355" spans="5:71" outlineLevel="1" x14ac:dyDescent="0.25">
      <c r="G355" s="4" t="s">
        <v>614</v>
      </c>
      <c r="H355" s="1"/>
      <c r="P355" s="58"/>
      <c r="Q355" s="58"/>
      <c r="T355" s="34"/>
      <c r="V355" s="34"/>
      <c r="X355" s="34"/>
      <c r="Z355" s="34"/>
      <c r="AB355" s="34"/>
      <c r="AD355" s="34"/>
      <c r="AF355" s="34"/>
      <c r="AH355" s="34"/>
      <c r="AJ355" s="34"/>
      <c r="AL355" s="34"/>
      <c r="AN355" s="34"/>
      <c r="AP355" s="75"/>
      <c r="AQ355" s="76"/>
      <c r="AR355" s="75"/>
      <c r="AS355" s="76"/>
      <c r="AT355" s="150">
        <f>189.31/12</f>
        <v>15.775833333333333</v>
      </c>
      <c r="AU355" s="64"/>
      <c r="AV355" s="37">
        <v>0</v>
      </c>
      <c r="AW355" s="64"/>
      <c r="AX355" s="37">
        <v>0</v>
      </c>
      <c r="AY355" s="64"/>
      <c r="AZ355" s="37">
        <v>0</v>
      </c>
      <c r="BA355" s="64"/>
      <c r="BB355" s="37">
        <v>0</v>
      </c>
      <c r="BC355" s="64"/>
      <c r="BD355" s="37">
        <f>189.31/12</f>
        <v>15.775833333333333</v>
      </c>
      <c r="BE355" s="64"/>
      <c r="BF355" s="37">
        <f>189.31/12</f>
        <v>15.775833333333333</v>
      </c>
      <c r="BG355" s="64"/>
      <c r="BH355" s="37">
        <f>189.31/12</f>
        <v>15.775833333333333</v>
      </c>
      <c r="BI355" s="64"/>
      <c r="BJ355" s="37">
        <f>189.31/12</f>
        <v>15.775833333333333</v>
      </c>
      <c r="BK355" s="64"/>
      <c r="BL355" s="37">
        <f>189.31/12</f>
        <v>15.775833333333333</v>
      </c>
      <c r="BM355" s="64"/>
      <c r="BN355" s="37">
        <f>189.31/12</f>
        <v>15.775833333333333</v>
      </c>
      <c r="BO355" s="64"/>
      <c r="BP355" s="37">
        <f>189.31/12</f>
        <v>15.775833333333333</v>
      </c>
      <c r="BQ355" s="64"/>
      <c r="BR355" s="37">
        <f>189.31/12</f>
        <v>15.775833333333333</v>
      </c>
      <c r="BS355" s="64"/>
    </row>
    <row r="356" spans="5:71" x14ac:dyDescent="0.25">
      <c r="F356" s="4" t="s">
        <v>542</v>
      </c>
      <c r="G356" s="4"/>
      <c r="H356" s="1"/>
      <c r="T356" s="4">
        <f>SUM(T357:T359)</f>
        <v>0</v>
      </c>
      <c r="V356" s="4">
        <f>SUM(V357:V359)</f>
        <v>0</v>
      </c>
      <c r="X356" s="4">
        <f>SUM(X357:X359)</f>
        <v>0</v>
      </c>
      <c r="Z356" s="4">
        <f>SUM(Z357:Z359)</f>
        <v>0</v>
      </c>
      <c r="AB356" s="4">
        <f>SUM(AB357:AB359)</f>
        <v>0</v>
      </c>
      <c r="AD356" s="4">
        <f>SUM(AD357:AD359)</f>
        <v>0</v>
      </c>
      <c r="AF356" s="4">
        <f>SUM(AF357:AF359)</f>
        <v>0</v>
      </c>
      <c r="AH356" s="4">
        <f>SUM(AH357:AH359)</f>
        <v>0</v>
      </c>
      <c r="AJ356" s="4">
        <f>SUM(AJ357:AJ359)</f>
        <v>0</v>
      </c>
      <c r="AL356" s="4">
        <f>SUM(AL357:AL359)</f>
        <v>0</v>
      </c>
      <c r="AN356" s="4">
        <f>SUM(AN357:AN359)</f>
        <v>0</v>
      </c>
      <c r="AP356" s="4">
        <f>SUM(AP357:AP359)</f>
        <v>0</v>
      </c>
      <c r="AR356" s="4">
        <f>SUM(AR357:AR359)</f>
        <v>0</v>
      </c>
      <c r="AT356" s="121">
        <f>SUM(AT357:AT359)</f>
        <v>0</v>
      </c>
      <c r="AV356" s="4">
        <f>SUM(AV357:AV359)</f>
        <v>0</v>
      </c>
      <c r="AW356" s="4"/>
      <c r="AX356" s="4">
        <f>SUM(AX357:AX359)</f>
        <v>0</v>
      </c>
      <c r="AY356" s="4"/>
      <c r="AZ356" s="4">
        <f>SUM(AZ357:AZ359)</f>
        <v>0</v>
      </c>
      <c r="BA356" s="4"/>
      <c r="BB356" s="4">
        <f>SUM(BB357:BB359)</f>
        <v>0</v>
      </c>
      <c r="BC356" s="4"/>
      <c r="BD356" s="4">
        <f>SUM(BD357:BD359)</f>
        <v>0</v>
      </c>
      <c r="BE356" s="4"/>
      <c r="BF356" s="4">
        <f>SUM(BF357:BF359)</f>
        <v>0</v>
      </c>
      <c r="BG356" s="4"/>
      <c r="BH356" s="4">
        <f>SUM(BH357:BH359)</f>
        <v>0</v>
      </c>
      <c r="BI356" s="4"/>
      <c r="BJ356" s="4">
        <f>SUM(BJ357:BJ359)</f>
        <v>0</v>
      </c>
      <c r="BL356" s="4">
        <f>SUM(BL357:BL359)</f>
        <v>0</v>
      </c>
      <c r="BN356" s="4">
        <f>SUM(BN357:BN359)</f>
        <v>0</v>
      </c>
      <c r="BP356" s="4">
        <f>SUM(BP357:BP359)</f>
        <v>0</v>
      </c>
      <c r="BR356" s="4">
        <f>SUM(BR357:BR359)</f>
        <v>0</v>
      </c>
    </row>
    <row r="357" spans="5:71" s="14" customFormat="1" outlineLevel="1" x14ac:dyDescent="0.25">
      <c r="F357" s="4"/>
      <c r="H357" s="21"/>
      <c r="I357" s="4"/>
      <c r="J357" s="4"/>
      <c r="N357" s="19"/>
      <c r="R357" s="4"/>
      <c r="S357" s="20"/>
      <c r="T357" s="37">
        <v>0</v>
      </c>
      <c r="U357" s="22"/>
      <c r="V357" s="37">
        <v>0</v>
      </c>
      <c r="W357" s="22"/>
      <c r="X357" s="37">
        <v>0</v>
      </c>
      <c r="Y357" s="22"/>
      <c r="Z357" s="37">
        <v>0</v>
      </c>
      <c r="AA357" s="22"/>
      <c r="AB357" s="37">
        <v>0</v>
      </c>
      <c r="AC357" s="22"/>
      <c r="AD357" s="37">
        <v>0</v>
      </c>
      <c r="AE357" s="18"/>
      <c r="AF357" s="37">
        <v>0</v>
      </c>
      <c r="AG357" s="22"/>
      <c r="AH357" s="37">
        <v>0</v>
      </c>
      <c r="AI357" s="22"/>
      <c r="AJ357" s="37">
        <v>0</v>
      </c>
      <c r="AK357" s="22"/>
      <c r="AL357" s="37">
        <v>0</v>
      </c>
      <c r="AM357" s="22"/>
      <c r="AN357" s="37">
        <v>0</v>
      </c>
      <c r="AO357" s="22"/>
      <c r="AP357" s="37">
        <v>0</v>
      </c>
      <c r="AQ357" s="22"/>
      <c r="AR357" s="37">
        <v>0</v>
      </c>
      <c r="AS357" s="22"/>
      <c r="AT357" s="150">
        <v>0</v>
      </c>
      <c r="AU357" s="22"/>
      <c r="AV357" s="37">
        <v>0</v>
      </c>
      <c r="AX357" s="37">
        <v>0</v>
      </c>
      <c r="AZ357" s="37">
        <v>0</v>
      </c>
      <c r="BB357" s="37">
        <v>0</v>
      </c>
      <c r="BD357" s="37">
        <v>0</v>
      </c>
      <c r="BF357" s="37">
        <v>0</v>
      </c>
      <c r="BH357" s="37">
        <v>0</v>
      </c>
      <c r="BJ357" s="37">
        <v>0</v>
      </c>
      <c r="BK357" s="22"/>
      <c r="BL357" s="37">
        <v>0</v>
      </c>
      <c r="BM357" s="22"/>
      <c r="BN357" s="37">
        <v>0</v>
      </c>
      <c r="BO357" s="22"/>
      <c r="BP357" s="37">
        <v>0</v>
      </c>
      <c r="BQ357" s="22"/>
      <c r="BR357" s="37">
        <v>0</v>
      </c>
      <c r="BS357" s="22"/>
    </row>
    <row r="358" spans="5:71" s="14" customFormat="1" outlineLevel="1" x14ac:dyDescent="0.25">
      <c r="F358" s="4"/>
      <c r="H358" s="21"/>
      <c r="I358" s="4"/>
      <c r="J358" s="4"/>
      <c r="N358" s="19"/>
      <c r="R358" s="4"/>
      <c r="S358" s="20"/>
      <c r="T358" s="37">
        <v>0</v>
      </c>
      <c r="U358" s="22"/>
      <c r="V358" s="37">
        <v>0</v>
      </c>
      <c r="W358" s="22"/>
      <c r="X358" s="37">
        <v>0</v>
      </c>
      <c r="Y358" s="22"/>
      <c r="Z358" s="37">
        <v>0</v>
      </c>
      <c r="AA358" s="22"/>
      <c r="AB358" s="37">
        <v>0</v>
      </c>
      <c r="AC358" s="22"/>
      <c r="AD358" s="37">
        <v>0</v>
      </c>
      <c r="AE358" s="18"/>
      <c r="AF358" s="37">
        <v>0</v>
      </c>
      <c r="AG358" s="22"/>
      <c r="AH358" s="37">
        <v>0</v>
      </c>
      <c r="AI358" s="22"/>
      <c r="AJ358" s="37">
        <v>0</v>
      </c>
      <c r="AK358" s="22"/>
      <c r="AL358" s="37">
        <v>0</v>
      </c>
      <c r="AM358" s="22"/>
      <c r="AN358" s="37">
        <v>0</v>
      </c>
      <c r="AO358" s="22"/>
      <c r="AP358" s="37">
        <v>0</v>
      </c>
      <c r="AQ358" s="22"/>
      <c r="AR358" s="37">
        <v>0</v>
      </c>
      <c r="AS358" s="22"/>
      <c r="AT358" s="150">
        <v>0</v>
      </c>
      <c r="AU358" s="22"/>
      <c r="AV358" s="37">
        <v>0</v>
      </c>
      <c r="AX358" s="37">
        <v>0</v>
      </c>
      <c r="AZ358" s="37">
        <v>0</v>
      </c>
      <c r="BB358" s="37">
        <v>0</v>
      </c>
      <c r="BD358" s="37">
        <v>0</v>
      </c>
      <c r="BF358" s="37">
        <v>0</v>
      </c>
      <c r="BH358" s="37">
        <v>0</v>
      </c>
      <c r="BJ358" s="37">
        <v>0</v>
      </c>
      <c r="BK358" s="22"/>
      <c r="BL358" s="37">
        <v>0</v>
      </c>
      <c r="BM358" s="22"/>
      <c r="BN358" s="37">
        <v>0</v>
      </c>
      <c r="BO358" s="22"/>
      <c r="BP358" s="37">
        <v>0</v>
      </c>
      <c r="BQ358" s="22"/>
      <c r="BR358" s="37">
        <v>0</v>
      </c>
      <c r="BS358" s="22"/>
    </row>
    <row r="359" spans="5:71" s="14" customFormat="1" outlineLevel="1" x14ac:dyDescent="0.25">
      <c r="F359" s="4"/>
      <c r="H359" s="21"/>
      <c r="I359" s="4"/>
      <c r="J359" s="4"/>
      <c r="N359" s="19"/>
      <c r="R359" s="4"/>
      <c r="S359" s="20"/>
      <c r="T359" s="37">
        <v>0</v>
      </c>
      <c r="U359" s="22"/>
      <c r="V359" s="37">
        <v>0</v>
      </c>
      <c r="W359" s="22"/>
      <c r="X359" s="37">
        <v>0</v>
      </c>
      <c r="Y359" s="22"/>
      <c r="Z359" s="37">
        <v>0</v>
      </c>
      <c r="AA359" s="22"/>
      <c r="AB359" s="37">
        <v>0</v>
      </c>
      <c r="AC359" s="22"/>
      <c r="AD359" s="37">
        <v>0</v>
      </c>
      <c r="AE359" s="18"/>
      <c r="AF359" s="37">
        <v>0</v>
      </c>
      <c r="AG359" s="22"/>
      <c r="AH359" s="37">
        <v>0</v>
      </c>
      <c r="AI359" s="22"/>
      <c r="AJ359" s="37">
        <v>0</v>
      </c>
      <c r="AK359" s="22"/>
      <c r="AL359" s="37">
        <v>0</v>
      </c>
      <c r="AM359" s="22"/>
      <c r="AN359" s="37">
        <v>0</v>
      </c>
      <c r="AO359" s="22"/>
      <c r="AP359" s="37">
        <v>0</v>
      </c>
      <c r="AQ359" s="22"/>
      <c r="AR359" s="37">
        <v>0</v>
      </c>
      <c r="AS359" s="22"/>
      <c r="AT359" s="150">
        <v>0</v>
      </c>
      <c r="AU359" s="22"/>
      <c r="AV359" s="37">
        <v>0</v>
      </c>
      <c r="AX359" s="37">
        <v>0</v>
      </c>
      <c r="AZ359" s="37">
        <v>0</v>
      </c>
      <c r="BB359" s="37">
        <v>0</v>
      </c>
      <c r="BD359" s="37">
        <v>0</v>
      </c>
      <c r="BF359" s="37">
        <v>0</v>
      </c>
      <c r="BH359" s="37">
        <v>0</v>
      </c>
      <c r="BJ359" s="37">
        <v>0</v>
      </c>
      <c r="BK359" s="22"/>
      <c r="BL359" s="37">
        <v>0</v>
      </c>
      <c r="BM359" s="22"/>
      <c r="BN359" s="37">
        <v>0</v>
      </c>
      <c r="BO359" s="22"/>
      <c r="BP359" s="37">
        <v>0</v>
      </c>
      <c r="BQ359" s="22"/>
      <c r="BR359" s="37">
        <v>0</v>
      </c>
      <c r="BS359" s="22"/>
    </row>
    <row r="360" spans="5:71" x14ac:dyDescent="0.25">
      <c r="F360" s="4" t="s">
        <v>559</v>
      </c>
      <c r="G360" s="4"/>
      <c r="H360" s="1"/>
      <c r="T360" s="4">
        <f>SUM(T361:T363)</f>
        <v>360</v>
      </c>
      <c r="V360" s="4">
        <f>SUM(V361:V363)</f>
        <v>360</v>
      </c>
      <c r="X360" s="4">
        <f>SUM(X361:X363)</f>
        <v>460</v>
      </c>
      <c r="Z360" s="4">
        <f>SUM(Z361:Z363)</f>
        <v>460</v>
      </c>
      <c r="AB360" s="4">
        <f>SUM(AB361:AB363)</f>
        <v>573</v>
      </c>
      <c r="AD360" s="4">
        <f>SUM(AD361:AD363)</f>
        <v>720</v>
      </c>
      <c r="AF360" s="4">
        <f>SUM(AF361:AF363)</f>
        <v>720</v>
      </c>
      <c r="AH360" s="4">
        <f>SUM(AH361:AH363)</f>
        <v>720</v>
      </c>
      <c r="AJ360" s="4">
        <f>SUM(AJ361:AJ363)</f>
        <v>720</v>
      </c>
      <c r="AL360" s="4">
        <f>SUM(AL361:AL363)</f>
        <v>540</v>
      </c>
      <c r="AN360" s="4">
        <f>SUM(AN361:AN363)</f>
        <v>540</v>
      </c>
      <c r="AP360" s="4">
        <f>SUM(AP361:AP363)</f>
        <v>540</v>
      </c>
      <c r="AQ360" s="4"/>
      <c r="AR360" s="4">
        <f>SUM(AR361:AR363)</f>
        <v>540</v>
      </c>
      <c r="AS360" s="4"/>
      <c r="AT360" s="121">
        <f>SUM(AT361:AT363)</f>
        <v>540</v>
      </c>
      <c r="AU360" s="4"/>
      <c r="AV360" s="4">
        <f>SUM(AV361:AV363)</f>
        <v>580</v>
      </c>
      <c r="AW360" s="4"/>
      <c r="AX360" s="4">
        <f>SUM(AX361:AX363)</f>
        <v>580</v>
      </c>
      <c r="AY360" s="4"/>
      <c r="AZ360" s="4">
        <f>SUM(AZ361:AZ363)</f>
        <v>580</v>
      </c>
      <c r="BA360" s="4"/>
      <c r="BB360" s="4">
        <f>SUM(BB361:BB363)</f>
        <v>580</v>
      </c>
      <c r="BC360" s="18"/>
      <c r="BD360" s="4">
        <f>SUM(BD361:BD363)</f>
        <v>580</v>
      </c>
      <c r="BF360" s="4">
        <f>SUM(BF361:BF363)</f>
        <v>580</v>
      </c>
      <c r="BH360" s="4">
        <f>SUM(BH361:BH363)</f>
        <v>580</v>
      </c>
      <c r="BJ360" s="4">
        <f>SUM(BJ361:BJ363)</f>
        <v>580</v>
      </c>
      <c r="BL360" s="4">
        <f>SUM(BL361:BL363)</f>
        <v>580</v>
      </c>
      <c r="BN360" s="4">
        <f>SUM(BN361:BN363)</f>
        <v>580</v>
      </c>
      <c r="BP360" s="4">
        <f>SUM(BP361:BP363)</f>
        <v>580</v>
      </c>
      <c r="BR360" s="4">
        <f>SUM(BR361:BR363)</f>
        <v>660</v>
      </c>
    </row>
    <row r="361" spans="5:71" outlineLevel="1" x14ac:dyDescent="0.25">
      <c r="G361" s="4" t="s">
        <v>618</v>
      </c>
      <c r="H361" s="1"/>
      <c r="I361" s="14"/>
      <c r="T361" s="34">
        <v>360</v>
      </c>
      <c r="V361" s="34">
        <v>360</v>
      </c>
      <c r="X361" s="34">
        <v>360</v>
      </c>
      <c r="Z361" s="34">
        <v>360</v>
      </c>
      <c r="AB361" s="34">
        <v>360</v>
      </c>
      <c r="AD361" s="34">
        <v>360</v>
      </c>
      <c r="AF361" s="34">
        <v>360</v>
      </c>
      <c r="AH361" s="34">
        <v>360</v>
      </c>
      <c r="AJ361" s="34">
        <v>360</v>
      </c>
      <c r="AL361" s="34">
        <v>360</v>
      </c>
      <c r="AN361" s="34">
        <v>360</v>
      </c>
      <c r="AP361" s="34">
        <v>360</v>
      </c>
      <c r="AR361" s="34">
        <v>360</v>
      </c>
      <c r="AT361" s="126">
        <v>360</v>
      </c>
      <c r="AV361" s="34">
        <f>0.25*80*2*12</f>
        <v>480</v>
      </c>
      <c r="AX361" s="34">
        <f>0.25*80*2*12</f>
        <v>480</v>
      </c>
      <c r="AZ361" s="34">
        <f>0.25*80*2*12</f>
        <v>480</v>
      </c>
      <c r="BB361" s="34">
        <f>0.25*80*2*12</f>
        <v>480</v>
      </c>
      <c r="BC361" s="18"/>
      <c r="BD361" s="34">
        <f>0.25*80*2*12</f>
        <v>480</v>
      </c>
      <c r="BF361" s="34">
        <f>0.25*80*2*12</f>
        <v>480</v>
      </c>
      <c r="BH361" s="34">
        <f>0.25*80*2*12</f>
        <v>480</v>
      </c>
      <c r="BJ361" s="34">
        <f>0.25*80*2*12</f>
        <v>480</v>
      </c>
      <c r="BL361" s="34">
        <f>0.25*80*2*12</f>
        <v>480</v>
      </c>
      <c r="BN361" s="34">
        <f>0.25*80*2*12</f>
        <v>480</v>
      </c>
      <c r="BP361" s="34">
        <f>0.25*80*2*12</f>
        <v>480</v>
      </c>
      <c r="BR361" s="34">
        <f>0.25*80*2*12</f>
        <v>480</v>
      </c>
    </row>
    <row r="362" spans="5:71" outlineLevel="1" x14ac:dyDescent="0.25">
      <c r="G362" s="4" t="s">
        <v>620</v>
      </c>
      <c r="H362" s="1"/>
      <c r="T362" s="34">
        <v>0</v>
      </c>
      <c r="V362" s="34">
        <v>0</v>
      </c>
      <c r="X362" s="34">
        <v>100</v>
      </c>
      <c r="Z362" s="34">
        <v>100</v>
      </c>
      <c r="AB362" s="34">
        <v>100</v>
      </c>
      <c r="AD362" s="34">
        <v>0</v>
      </c>
      <c r="AF362" s="34">
        <v>0</v>
      </c>
      <c r="AH362" s="34">
        <v>0</v>
      </c>
      <c r="AJ362" s="34">
        <v>0</v>
      </c>
      <c r="AL362" s="34">
        <v>0</v>
      </c>
      <c r="AN362" s="34">
        <v>0</v>
      </c>
      <c r="AP362" s="34">
        <v>0</v>
      </c>
      <c r="AR362" s="34">
        <v>0</v>
      </c>
      <c r="AT362" s="126">
        <v>0</v>
      </c>
      <c r="AV362" s="34">
        <v>50</v>
      </c>
      <c r="AX362" s="34">
        <v>50</v>
      </c>
      <c r="AZ362" s="34">
        <v>50</v>
      </c>
      <c r="BB362" s="34">
        <v>50</v>
      </c>
      <c r="BC362" s="18"/>
      <c r="BD362" s="34">
        <v>50</v>
      </c>
      <c r="BF362" s="34">
        <v>50</v>
      </c>
      <c r="BH362" s="34">
        <v>50</v>
      </c>
      <c r="BJ362" s="34">
        <v>50</v>
      </c>
      <c r="BL362" s="34">
        <v>50</v>
      </c>
      <c r="BN362" s="34">
        <v>50</v>
      </c>
      <c r="BP362" s="34">
        <v>50</v>
      </c>
      <c r="BR362" s="34">
        <v>0</v>
      </c>
    </row>
    <row r="363" spans="5:71" outlineLevel="1" x14ac:dyDescent="0.25">
      <c r="G363" s="4" t="s">
        <v>621</v>
      </c>
      <c r="H363" s="1"/>
      <c r="T363" s="34">
        <v>0</v>
      </c>
      <c r="V363" s="34">
        <v>0</v>
      </c>
      <c r="X363" s="34">
        <v>0</v>
      </c>
      <c r="Z363" s="34">
        <v>0</v>
      </c>
      <c r="AB363" s="34">
        <v>113</v>
      </c>
      <c r="AD363" s="34">
        <v>360</v>
      </c>
      <c r="AF363" s="34">
        <v>360</v>
      </c>
      <c r="AH363" s="34">
        <v>360</v>
      </c>
      <c r="AJ363" s="34">
        <v>360</v>
      </c>
      <c r="AL363" s="34">
        <v>180</v>
      </c>
      <c r="AN363" s="34">
        <v>180</v>
      </c>
      <c r="AP363" s="34">
        <v>180</v>
      </c>
      <c r="AR363" s="34">
        <v>180</v>
      </c>
      <c r="AT363" s="126">
        <v>180</v>
      </c>
      <c r="AV363" s="34">
        <v>50</v>
      </c>
      <c r="AX363" s="34">
        <v>50</v>
      </c>
      <c r="AZ363" s="34">
        <v>50</v>
      </c>
      <c r="BB363" s="34">
        <v>50</v>
      </c>
      <c r="BD363" s="34">
        <v>50</v>
      </c>
      <c r="BF363" s="34">
        <v>50</v>
      </c>
      <c r="BH363" s="34">
        <v>50</v>
      </c>
      <c r="BJ363" s="34">
        <v>50</v>
      </c>
      <c r="BL363" s="34">
        <v>50</v>
      </c>
      <c r="BN363" s="34">
        <v>50</v>
      </c>
      <c r="BP363" s="34">
        <v>50</v>
      </c>
      <c r="BR363" s="34">
        <v>180</v>
      </c>
    </row>
    <row r="364" spans="5:71" x14ac:dyDescent="0.25">
      <c r="F364" s="4" t="s">
        <v>622</v>
      </c>
      <c r="G364" s="4"/>
      <c r="H364" s="1"/>
      <c r="T364" s="4">
        <f>SUM(T365:T382)</f>
        <v>371.10500000000002</v>
      </c>
      <c r="V364" s="4">
        <f>SUM(V365:V382)</f>
        <v>371.10500000000002</v>
      </c>
      <c r="X364" s="4">
        <f>SUM(X365:X382)</f>
        <v>415.10500000000002</v>
      </c>
      <c r="Z364" s="4">
        <f>SUM(Z365:Z382)</f>
        <v>415.10500000000002</v>
      </c>
      <c r="AB364" s="4">
        <f>SUM(AB365:AB382)</f>
        <v>309.44</v>
      </c>
      <c r="AD364" s="4">
        <f>SUM(AD365:AD382)</f>
        <v>338.58</v>
      </c>
      <c r="AF364" s="4">
        <f>SUM(AF365:AF382)</f>
        <v>358.61</v>
      </c>
      <c r="AH364" s="4">
        <f>SUM(AH365:AH382)</f>
        <v>358.53000000000003</v>
      </c>
      <c r="AJ364" s="4">
        <f>SUM(AJ365:AJ382)</f>
        <v>373.51</v>
      </c>
      <c r="AL364" s="4">
        <f>SUM(AL365:AL382)</f>
        <v>408.49</v>
      </c>
      <c r="AN364" s="4">
        <f>SUM(AN365:AN382)</f>
        <v>407.49</v>
      </c>
      <c r="AP364" s="4">
        <f>SUM(AP365:AP382)</f>
        <v>407.49</v>
      </c>
      <c r="AR364" s="4">
        <f>SUM(AR365:AR382)</f>
        <v>458.89</v>
      </c>
      <c r="AT364" s="121">
        <f>SUM(AT365:AT382)</f>
        <v>446.9</v>
      </c>
      <c r="AU364" s="4"/>
      <c r="AV364" s="4">
        <f>SUM(AV365:AV382)</f>
        <v>589.25</v>
      </c>
      <c r="AW364" s="4"/>
      <c r="AX364" s="4">
        <f>SUM(AX365:AX382)</f>
        <v>1303.8800000000001</v>
      </c>
      <c r="AY364" s="4"/>
      <c r="AZ364" s="4">
        <f>SUM(AZ365:AZ382)</f>
        <v>648.95999999999992</v>
      </c>
      <c r="BA364" s="4"/>
      <c r="BB364" s="4">
        <f>SUM(BB365:BB382)</f>
        <v>664.45</v>
      </c>
      <c r="BC364" s="4"/>
      <c r="BD364" s="4">
        <f>SUM(BD365:BD382)</f>
        <v>561.48</v>
      </c>
      <c r="BE364" s="4"/>
      <c r="BF364" s="4">
        <f>SUM(BF365:BF382)</f>
        <v>495.69</v>
      </c>
      <c r="BG364" s="4"/>
      <c r="BH364" s="4">
        <f>SUM(BH365:BH382)</f>
        <v>633.68000000000006</v>
      </c>
      <c r="BI364" s="4"/>
      <c r="BJ364" s="4">
        <f>SUM(BJ365:BJ382)</f>
        <v>633.68000000000006</v>
      </c>
      <c r="BK364" s="4"/>
      <c r="BL364" s="4">
        <f>SUM(BL365:BL382)</f>
        <v>633.68000000000006</v>
      </c>
      <c r="BN364" s="4">
        <f>SUM(BN365:BN382)</f>
        <v>619.68000000000006</v>
      </c>
      <c r="BP364" s="4">
        <f>SUM(BP365:BP382)</f>
        <v>619.68000000000006</v>
      </c>
      <c r="BR364" s="4">
        <f>SUM(BR365:BR382)</f>
        <v>653.67000000000007</v>
      </c>
    </row>
    <row r="365" spans="5:71" s="58" customFormat="1" outlineLevel="1" x14ac:dyDescent="0.25">
      <c r="E365" s="4"/>
      <c r="F365" s="4"/>
      <c r="G365" s="4" t="s">
        <v>624</v>
      </c>
      <c r="H365" s="1"/>
      <c r="J365" s="96"/>
      <c r="M365" s="95"/>
      <c r="S365" s="66"/>
      <c r="T365" s="75">
        <v>20</v>
      </c>
      <c r="U365" s="76"/>
      <c r="V365" s="75">
        <v>20</v>
      </c>
      <c r="W365" s="76"/>
      <c r="X365" s="75">
        <v>20</v>
      </c>
      <c r="Y365" s="76"/>
      <c r="Z365" s="75">
        <v>20</v>
      </c>
      <c r="AA365" s="52"/>
      <c r="AB365" s="34">
        <v>0</v>
      </c>
      <c r="AC365" s="52"/>
      <c r="AD365" s="34">
        <v>0</v>
      </c>
      <c r="AE365" s="52"/>
      <c r="AF365" s="34">
        <v>0</v>
      </c>
      <c r="AG365" s="52"/>
      <c r="AH365" s="34">
        <v>0</v>
      </c>
      <c r="AI365" s="52"/>
      <c r="AJ365" s="34">
        <v>0</v>
      </c>
      <c r="AK365" s="52"/>
      <c r="AL365" s="34">
        <v>0</v>
      </c>
      <c r="AM365" s="52"/>
      <c r="AN365" s="34">
        <v>0</v>
      </c>
      <c r="AO365" s="52"/>
      <c r="AP365" s="34">
        <v>0</v>
      </c>
      <c r="AQ365" s="52"/>
      <c r="AR365" s="34">
        <v>0</v>
      </c>
      <c r="AS365" s="31"/>
      <c r="AT365" s="126">
        <v>0</v>
      </c>
      <c r="AU365" s="31"/>
      <c r="AV365" s="34">
        <v>0</v>
      </c>
      <c r="AW365" s="31"/>
      <c r="AX365" s="34">
        <v>0</v>
      </c>
      <c r="AY365" s="31"/>
      <c r="AZ365" s="34">
        <v>0</v>
      </c>
      <c r="BA365" s="31"/>
      <c r="BB365" s="34">
        <v>0</v>
      </c>
      <c r="BC365" s="31"/>
      <c r="BD365" s="34">
        <v>0</v>
      </c>
      <c r="BE365" s="31"/>
      <c r="BF365" s="34">
        <v>0</v>
      </c>
      <c r="BG365" s="31"/>
      <c r="BH365" s="34">
        <v>189</v>
      </c>
      <c r="BI365" s="52"/>
      <c r="BJ365" s="34">
        <v>189</v>
      </c>
      <c r="BK365" s="52"/>
      <c r="BL365" s="34">
        <v>189</v>
      </c>
      <c r="BM365" s="52"/>
      <c r="BN365" s="34">
        <v>189</v>
      </c>
      <c r="BO365" s="52"/>
      <c r="BP365" s="34">
        <v>189</v>
      </c>
      <c r="BQ365" s="52"/>
      <c r="BR365" s="34">
        <v>189</v>
      </c>
      <c r="BS365" s="76"/>
    </row>
    <row r="366" spans="5:71" s="58" customFormat="1" outlineLevel="1" x14ac:dyDescent="0.25">
      <c r="E366" s="4"/>
      <c r="F366" s="4"/>
      <c r="G366" s="4" t="s">
        <v>626</v>
      </c>
      <c r="H366" s="1"/>
      <c r="M366" s="95"/>
      <c r="S366" s="66"/>
      <c r="T366" s="75">
        <v>0</v>
      </c>
      <c r="U366" s="76"/>
      <c r="V366" s="75">
        <v>0</v>
      </c>
      <c r="W366" s="76"/>
      <c r="X366" s="75">
        <v>0</v>
      </c>
      <c r="Y366" s="76"/>
      <c r="Z366" s="75">
        <v>0</v>
      </c>
      <c r="AA366" s="52"/>
      <c r="AB366" s="34">
        <v>0</v>
      </c>
      <c r="AC366" s="52"/>
      <c r="AD366" s="34">
        <v>0</v>
      </c>
      <c r="AE366" s="52"/>
      <c r="AF366" s="34">
        <v>20</v>
      </c>
      <c r="AG366" s="52"/>
      <c r="AH366" s="34">
        <v>20</v>
      </c>
      <c r="AI366" s="52"/>
      <c r="AJ366" s="34">
        <v>20</v>
      </c>
      <c r="AK366" s="52"/>
      <c r="AL366" s="34">
        <v>20</v>
      </c>
      <c r="AM366" s="52"/>
      <c r="AN366" s="34">
        <v>20</v>
      </c>
      <c r="AO366" s="52"/>
      <c r="AP366" s="34">
        <v>20</v>
      </c>
      <c r="AQ366" s="52"/>
      <c r="AR366" s="34">
        <v>20</v>
      </c>
      <c r="AS366" s="31"/>
      <c r="AT366" s="126">
        <v>20</v>
      </c>
      <c r="AU366" s="31"/>
      <c r="AV366" s="34">
        <v>0</v>
      </c>
      <c r="AW366" s="31"/>
      <c r="AX366" s="34">
        <v>0</v>
      </c>
      <c r="AY366" s="31"/>
      <c r="AZ366" s="34">
        <v>0</v>
      </c>
      <c r="BA366" s="31"/>
      <c r="BB366" s="34">
        <v>0</v>
      </c>
      <c r="BC366" s="31"/>
      <c r="BD366" s="34">
        <v>0</v>
      </c>
      <c r="BE366" s="31"/>
      <c r="BF366" s="34">
        <v>0</v>
      </c>
      <c r="BG366" s="31"/>
      <c r="BH366" s="34">
        <v>20</v>
      </c>
      <c r="BI366" s="52"/>
      <c r="BJ366" s="34">
        <v>20</v>
      </c>
      <c r="BK366" s="52"/>
      <c r="BL366" s="34">
        <v>20</v>
      </c>
      <c r="BM366" s="52"/>
      <c r="BN366" s="34">
        <v>20</v>
      </c>
      <c r="BO366" s="52"/>
      <c r="BP366" s="34">
        <v>20</v>
      </c>
      <c r="BQ366" s="52"/>
      <c r="BR366" s="34">
        <v>20</v>
      </c>
      <c r="BS366" s="76"/>
    </row>
    <row r="367" spans="5:71" s="58" customFormat="1" outlineLevel="1" x14ac:dyDescent="0.25">
      <c r="E367" s="4"/>
      <c r="F367" s="4"/>
      <c r="G367" s="4" t="s">
        <v>627</v>
      </c>
      <c r="H367" s="1"/>
      <c r="M367" s="95"/>
      <c r="S367" s="66"/>
      <c r="T367" s="75">
        <v>69</v>
      </c>
      <c r="U367" s="76"/>
      <c r="V367" s="75">
        <v>69</v>
      </c>
      <c r="W367" s="76"/>
      <c r="X367" s="75">
        <v>69</v>
      </c>
      <c r="Y367" s="76"/>
      <c r="Z367" s="75">
        <v>69</v>
      </c>
      <c r="AA367" s="52"/>
      <c r="AB367" s="34">
        <v>69</v>
      </c>
      <c r="AC367" s="52"/>
      <c r="AD367" s="34">
        <v>69</v>
      </c>
      <c r="AE367" s="52"/>
      <c r="AF367" s="34">
        <v>69</v>
      </c>
      <c r="AG367" s="52"/>
      <c r="AH367" s="34">
        <v>69</v>
      </c>
      <c r="AI367" s="52"/>
      <c r="AJ367" s="34">
        <v>69</v>
      </c>
      <c r="AK367" s="52"/>
      <c r="AL367" s="34">
        <v>69</v>
      </c>
      <c r="AM367" s="52"/>
      <c r="AN367" s="34">
        <v>69</v>
      </c>
      <c r="AO367" s="52"/>
      <c r="AP367" s="34">
        <v>69</v>
      </c>
      <c r="AQ367" s="52"/>
      <c r="AR367" s="34">
        <v>69</v>
      </c>
      <c r="AS367" s="31"/>
      <c r="AT367" s="126">
        <v>69</v>
      </c>
      <c r="AU367" s="31"/>
      <c r="AV367" s="34">
        <v>82.15</v>
      </c>
      <c r="AW367" s="31"/>
      <c r="AX367" s="34">
        <v>81.540000000000006</v>
      </c>
      <c r="AY367" s="31"/>
      <c r="AZ367" s="34">
        <v>77.58</v>
      </c>
      <c r="BA367" s="31"/>
      <c r="BB367" s="34">
        <v>74.98</v>
      </c>
      <c r="BC367" s="31"/>
      <c r="BD367" s="34">
        <v>74.95</v>
      </c>
      <c r="BE367" s="31"/>
      <c r="BF367" s="36">
        <v>74.95</v>
      </c>
      <c r="BG367" s="4"/>
      <c r="BH367" s="34">
        <v>74.95</v>
      </c>
      <c r="BI367" s="52"/>
      <c r="BJ367" s="34">
        <v>74.95</v>
      </c>
      <c r="BK367" s="52"/>
      <c r="BL367" s="34">
        <v>74.95</v>
      </c>
      <c r="BM367" s="52"/>
      <c r="BN367" s="34">
        <v>74.95</v>
      </c>
      <c r="BO367" s="52"/>
      <c r="BP367" s="34">
        <v>74.95</v>
      </c>
      <c r="BQ367" s="52"/>
      <c r="BR367" s="34">
        <v>74.95</v>
      </c>
      <c r="BS367" s="76"/>
    </row>
    <row r="368" spans="5:71" s="58" customFormat="1" outlineLevel="1" x14ac:dyDescent="0.25">
      <c r="E368" s="4"/>
      <c r="F368" s="4"/>
      <c r="G368" s="4" t="s">
        <v>628</v>
      </c>
      <c r="H368" s="1"/>
      <c r="M368" s="95"/>
      <c r="S368" s="66"/>
      <c r="T368" s="75">
        <v>99.99</v>
      </c>
      <c r="U368" s="76"/>
      <c r="V368" s="75">
        <v>99.99</v>
      </c>
      <c r="W368" s="76"/>
      <c r="X368" s="75">
        <v>99.99</v>
      </c>
      <c r="Y368" s="76"/>
      <c r="Z368" s="75">
        <v>99.99</v>
      </c>
      <c r="AA368" s="52"/>
      <c r="AB368" s="34">
        <v>99.99</v>
      </c>
      <c r="AC368" s="52"/>
      <c r="AD368" s="34">
        <v>99.99</v>
      </c>
      <c r="AE368" s="52"/>
      <c r="AF368" s="34">
        <v>99.99</v>
      </c>
      <c r="AG368" s="52"/>
      <c r="AH368" s="34">
        <v>99.99</v>
      </c>
      <c r="AI368" s="52"/>
      <c r="AJ368" s="34">
        <v>99.99</v>
      </c>
      <c r="AK368" s="52"/>
      <c r="AL368" s="34">
        <v>99.99</v>
      </c>
      <c r="AM368" s="52"/>
      <c r="AN368" s="34">
        <v>99.99</v>
      </c>
      <c r="AO368" s="52"/>
      <c r="AP368" s="34">
        <v>99.99</v>
      </c>
      <c r="AQ368" s="52"/>
      <c r="AR368" s="34">
        <v>99.99</v>
      </c>
      <c r="AS368" s="31"/>
      <c r="AT368" s="126">
        <v>66</v>
      </c>
      <c r="AU368" s="31"/>
      <c r="AV368" s="34">
        <v>66</v>
      </c>
      <c r="AW368" s="31"/>
      <c r="AX368" s="34">
        <v>66</v>
      </c>
      <c r="AY368" s="31"/>
      <c r="AZ368" s="34">
        <v>66</v>
      </c>
      <c r="BA368" s="31"/>
      <c r="BB368" s="34">
        <v>66</v>
      </c>
      <c r="BC368" s="31"/>
      <c r="BD368" s="34">
        <v>66</v>
      </c>
      <c r="BE368" s="31"/>
      <c r="BF368" s="34">
        <v>66</v>
      </c>
      <c r="BG368" s="31"/>
      <c r="BH368" s="34">
        <v>66</v>
      </c>
      <c r="BI368" s="52"/>
      <c r="BJ368" s="34">
        <v>66</v>
      </c>
      <c r="BK368" s="52"/>
      <c r="BL368" s="34">
        <v>66</v>
      </c>
      <c r="BM368" s="52"/>
      <c r="BN368" s="34">
        <v>66</v>
      </c>
      <c r="BO368" s="52"/>
      <c r="BP368" s="34">
        <v>66</v>
      </c>
      <c r="BQ368" s="52"/>
      <c r="BR368" s="34">
        <v>99.99</v>
      </c>
      <c r="BS368" s="76"/>
    </row>
    <row r="369" spans="1:71" s="58" customFormat="1" outlineLevel="1" x14ac:dyDescent="0.25">
      <c r="E369" s="4"/>
      <c r="F369" s="4"/>
      <c r="G369" s="4" t="s">
        <v>629</v>
      </c>
      <c r="H369" s="1"/>
      <c r="S369" s="66"/>
      <c r="T369" s="75">
        <v>24</v>
      </c>
      <c r="U369" s="76"/>
      <c r="V369" s="75">
        <v>24</v>
      </c>
      <c r="W369" s="76"/>
      <c r="X369" s="75">
        <v>24</v>
      </c>
      <c r="Y369" s="76"/>
      <c r="Z369" s="75">
        <v>24</v>
      </c>
      <c r="AA369" s="52"/>
      <c r="AB369" s="34">
        <v>24</v>
      </c>
      <c r="AC369" s="52"/>
      <c r="AD369" s="34">
        <v>24</v>
      </c>
      <c r="AE369" s="52"/>
      <c r="AF369" s="34">
        <v>24</v>
      </c>
      <c r="AG369" s="52"/>
      <c r="AH369" s="34">
        <v>24</v>
      </c>
      <c r="AI369" s="52"/>
      <c r="AJ369" s="34">
        <v>24</v>
      </c>
      <c r="AK369" s="52"/>
      <c r="AL369" s="34">
        <v>24</v>
      </c>
      <c r="AM369" s="52"/>
      <c r="AN369" s="34">
        <v>24</v>
      </c>
      <c r="AO369" s="52"/>
      <c r="AP369" s="34">
        <v>24</v>
      </c>
      <c r="AQ369" s="52"/>
      <c r="AR369" s="34">
        <v>24</v>
      </c>
      <c r="AS369" s="31"/>
      <c r="AT369" s="126">
        <v>24</v>
      </c>
      <c r="AU369" s="31"/>
      <c r="AV369" s="34">
        <v>0</v>
      </c>
      <c r="AW369" s="31"/>
      <c r="AX369" s="34">
        <v>0</v>
      </c>
      <c r="AY369" s="31"/>
      <c r="AZ369" s="34">
        <v>0</v>
      </c>
      <c r="BA369" s="31"/>
      <c r="BB369" s="34">
        <v>0</v>
      </c>
      <c r="BC369" s="31"/>
      <c r="BD369" s="34">
        <v>0</v>
      </c>
      <c r="BE369" s="31"/>
      <c r="BF369" s="34">
        <v>0</v>
      </c>
      <c r="BG369" s="31"/>
      <c r="BH369" s="34">
        <v>24</v>
      </c>
      <c r="BI369" s="52"/>
      <c r="BJ369" s="34">
        <v>24</v>
      </c>
      <c r="BK369" s="52"/>
      <c r="BL369" s="34">
        <v>24</v>
      </c>
      <c r="BM369" s="52"/>
      <c r="BN369" s="34">
        <v>24</v>
      </c>
      <c r="BO369" s="52"/>
      <c r="BP369" s="34">
        <v>24</v>
      </c>
      <c r="BQ369" s="52"/>
      <c r="BR369" s="34">
        <v>24</v>
      </c>
      <c r="BS369" s="76"/>
    </row>
    <row r="370" spans="1:71" s="58" customFormat="1" outlineLevel="1" x14ac:dyDescent="0.25">
      <c r="E370" s="4"/>
      <c r="F370" s="4"/>
      <c r="G370" s="4" t="s">
        <v>630</v>
      </c>
      <c r="H370" s="1"/>
      <c r="S370" s="66"/>
      <c r="T370" s="75">
        <v>12</v>
      </c>
      <c r="U370" s="76"/>
      <c r="V370" s="75">
        <v>12</v>
      </c>
      <c r="W370" s="76"/>
      <c r="X370" s="75">
        <v>12</v>
      </c>
      <c r="Y370" s="76"/>
      <c r="Z370" s="75">
        <v>12</v>
      </c>
      <c r="AA370" s="52"/>
      <c r="AB370" s="34">
        <v>12</v>
      </c>
      <c r="AC370" s="52"/>
      <c r="AD370" s="34">
        <v>12</v>
      </c>
      <c r="AE370" s="52"/>
      <c r="AF370" s="34">
        <v>12</v>
      </c>
      <c r="AG370" s="52"/>
      <c r="AH370" s="34">
        <v>12</v>
      </c>
      <c r="AI370" s="52"/>
      <c r="AJ370" s="34">
        <v>12</v>
      </c>
      <c r="AK370" s="52"/>
      <c r="AL370" s="34">
        <v>12</v>
      </c>
      <c r="AM370" s="52"/>
      <c r="AN370" s="34">
        <v>12</v>
      </c>
      <c r="AO370" s="52"/>
      <c r="AP370" s="34">
        <v>12</v>
      </c>
      <c r="AQ370" s="52"/>
      <c r="AR370" s="34">
        <v>12</v>
      </c>
      <c r="AS370" s="31"/>
      <c r="AT370" s="126">
        <v>12</v>
      </c>
      <c r="AU370" s="31"/>
      <c r="AV370" s="34">
        <v>12</v>
      </c>
      <c r="AW370" s="31"/>
      <c r="AX370" s="34">
        <v>12</v>
      </c>
      <c r="AY370" s="31"/>
      <c r="AZ370" s="34">
        <v>12</v>
      </c>
      <c r="BA370" s="31"/>
      <c r="BB370" s="34">
        <v>12</v>
      </c>
      <c r="BC370" s="31"/>
      <c r="BD370" s="34">
        <v>12</v>
      </c>
      <c r="BE370" s="31"/>
      <c r="BF370" s="34">
        <v>12</v>
      </c>
      <c r="BG370" s="31"/>
      <c r="BH370" s="34">
        <v>12</v>
      </c>
      <c r="BI370" s="52"/>
      <c r="BJ370" s="34">
        <v>12</v>
      </c>
      <c r="BK370" s="52"/>
      <c r="BL370" s="34">
        <v>12</v>
      </c>
      <c r="BM370" s="52"/>
      <c r="BN370" s="34">
        <v>12</v>
      </c>
      <c r="BO370" s="52"/>
      <c r="BP370" s="34">
        <v>12</v>
      </c>
      <c r="BQ370" s="52"/>
      <c r="BR370" s="34">
        <v>12</v>
      </c>
      <c r="BS370" s="76"/>
    </row>
    <row r="371" spans="1:71" outlineLevel="1" x14ac:dyDescent="0.25">
      <c r="A371" s="58"/>
      <c r="B371" s="58"/>
      <c r="C371" s="58"/>
      <c r="D371" s="58"/>
      <c r="G371" s="4" t="s">
        <v>634</v>
      </c>
      <c r="H371" s="1"/>
      <c r="I371" s="58"/>
      <c r="J371" s="58"/>
      <c r="K371" s="58"/>
      <c r="L371" s="58"/>
      <c r="M371" s="58"/>
      <c r="N371" s="58"/>
      <c r="O371" s="58"/>
      <c r="S371" s="31"/>
      <c r="T371" s="34">
        <v>21.9</v>
      </c>
      <c r="U371" s="52"/>
      <c r="V371" s="34">
        <v>21.9</v>
      </c>
      <c r="W371" s="52"/>
      <c r="X371" s="34">
        <v>21.9</v>
      </c>
      <c r="Y371" s="52"/>
      <c r="Z371" s="34">
        <v>21.9</v>
      </c>
      <c r="AA371" s="52"/>
      <c r="AB371" s="34">
        <v>21.9</v>
      </c>
      <c r="AC371" s="52"/>
      <c r="AD371" s="34">
        <v>60</v>
      </c>
      <c r="AE371" s="52"/>
      <c r="AF371" s="34">
        <v>60</v>
      </c>
      <c r="AG371" s="52"/>
      <c r="AH371" s="34">
        <v>60</v>
      </c>
      <c r="AI371" s="52"/>
      <c r="AJ371" s="34">
        <v>60</v>
      </c>
      <c r="AK371" s="52"/>
      <c r="AL371" s="34">
        <v>60</v>
      </c>
      <c r="AM371" s="52"/>
      <c r="AN371" s="34">
        <v>60</v>
      </c>
      <c r="AO371" s="52"/>
      <c r="AP371" s="34">
        <v>60</v>
      </c>
      <c r="AQ371" s="52"/>
      <c r="AR371" s="34">
        <v>60</v>
      </c>
      <c r="AS371" s="31"/>
      <c r="AT371" s="126">
        <v>88</v>
      </c>
      <c r="AU371" s="31"/>
      <c r="AV371" s="34">
        <v>88</v>
      </c>
      <c r="AW371" s="31"/>
      <c r="AX371" s="34">
        <v>88</v>
      </c>
      <c r="AY371" s="31"/>
      <c r="AZ371" s="34">
        <v>88</v>
      </c>
      <c r="BA371" s="31"/>
      <c r="BB371" s="34">
        <v>88</v>
      </c>
      <c r="BC371" s="31"/>
      <c r="BD371" s="34">
        <v>132</v>
      </c>
      <c r="BE371" s="31"/>
      <c r="BF371" s="34">
        <v>88</v>
      </c>
      <c r="BG371" s="31"/>
      <c r="BH371" s="34">
        <v>88</v>
      </c>
      <c r="BI371" s="52"/>
      <c r="BJ371" s="34">
        <v>88</v>
      </c>
      <c r="BK371" s="52"/>
      <c r="BL371" s="34">
        <v>88</v>
      </c>
      <c r="BM371" s="52"/>
      <c r="BN371" s="34">
        <v>88</v>
      </c>
      <c r="BO371" s="52"/>
      <c r="BP371" s="34">
        <v>88</v>
      </c>
      <c r="BQ371" s="52"/>
      <c r="BR371" s="34">
        <v>88</v>
      </c>
      <c r="BS371" s="52"/>
    </row>
    <row r="372" spans="1:71" s="58" customFormat="1" outlineLevel="1" x14ac:dyDescent="0.25">
      <c r="E372" s="4"/>
      <c r="F372" s="4"/>
      <c r="G372" s="4" t="s">
        <v>635</v>
      </c>
      <c r="H372" s="1"/>
      <c r="S372" s="66"/>
      <c r="T372" s="75">
        <v>14.5</v>
      </c>
      <c r="U372" s="76"/>
      <c r="V372" s="75">
        <v>14.5</v>
      </c>
      <c r="W372" s="76"/>
      <c r="X372" s="75">
        <v>14.5</v>
      </c>
      <c r="Y372" s="76"/>
      <c r="Z372" s="75">
        <v>14.5</v>
      </c>
      <c r="AA372" s="52"/>
      <c r="AB372" s="34">
        <v>14.5</v>
      </c>
      <c r="AC372" s="52"/>
      <c r="AD372" s="34">
        <v>14.5</v>
      </c>
      <c r="AE372" s="52"/>
      <c r="AF372" s="34">
        <v>14.5</v>
      </c>
      <c r="AG372" s="52"/>
      <c r="AH372" s="34">
        <v>14.5</v>
      </c>
      <c r="AI372" s="52"/>
      <c r="AJ372" s="34">
        <v>14.5</v>
      </c>
      <c r="AK372" s="52"/>
      <c r="AL372" s="34">
        <v>14.5</v>
      </c>
      <c r="AM372" s="52"/>
      <c r="AN372" s="34">
        <v>14.5</v>
      </c>
      <c r="AO372" s="52"/>
      <c r="AP372" s="34">
        <v>14.5</v>
      </c>
      <c r="AQ372" s="52"/>
      <c r="AR372" s="34">
        <v>14.5</v>
      </c>
      <c r="AS372" s="31"/>
      <c r="AT372" s="126">
        <v>14.5</v>
      </c>
      <c r="AU372" s="31"/>
      <c r="AV372" s="34">
        <v>0</v>
      </c>
      <c r="AW372" s="31"/>
      <c r="AX372" s="34">
        <v>0</v>
      </c>
      <c r="AY372" s="31"/>
      <c r="AZ372" s="34">
        <v>0</v>
      </c>
      <c r="BA372" s="31"/>
      <c r="BB372" s="34">
        <v>0</v>
      </c>
      <c r="BC372" s="31"/>
      <c r="BD372" s="34">
        <v>0</v>
      </c>
      <c r="BE372" s="31"/>
      <c r="BF372" s="34">
        <v>0</v>
      </c>
      <c r="BG372" s="31"/>
      <c r="BH372" s="34">
        <v>14.5</v>
      </c>
      <c r="BI372" s="52"/>
      <c r="BJ372" s="34">
        <v>14.5</v>
      </c>
      <c r="BK372" s="52"/>
      <c r="BL372" s="34">
        <v>14.5</v>
      </c>
      <c r="BM372" s="52"/>
      <c r="BN372" s="34">
        <v>14.5</v>
      </c>
      <c r="BO372" s="52"/>
      <c r="BP372" s="34">
        <v>14.5</v>
      </c>
      <c r="BQ372" s="52"/>
      <c r="BR372" s="34">
        <v>14.5</v>
      </c>
      <c r="BS372" s="76"/>
    </row>
    <row r="373" spans="1:71" s="58" customFormat="1" outlineLevel="1" x14ac:dyDescent="0.25">
      <c r="E373" s="4"/>
      <c r="F373" s="4"/>
      <c r="G373" s="4" t="s">
        <v>636</v>
      </c>
      <c r="H373" s="1"/>
      <c r="S373" s="66"/>
      <c r="T373" s="75">
        <v>10.484999999999999</v>
      </c>
      <c r="U373" s="76"/>
      <c r="V373" s="75">
        <v>10.484999999999999</v>
      </c>
      <c r="W373" s="76"/>
      <c r="X373" s="75">
        <v>10.484999999999999</v>
      </c>
      <c r="Y373" s="76"/>
      <c r="Z373" s="75">
        <v>10.484999999999999</v>
      </c>
      <c r="AA373" s="52"/>
      <c r="AB373" s="34">
        <v>0</v>
      </c>
      <c r="AC373" s="52"/>
      <c r="AD373" s="34">
        <v>13</v>
      </c>
      <c r="AE373" s="52"/>
      <c r="AF373" s="34">
        <v>13</v>
      </c>
      <c r="AG373" s="52"/>
      <c r="AH373" s="34">
        <v>13</v>
      </c>
      <c r="AI373" s="52"/>
      <c r="AJ373" s="34">
        <v>13</v>
      </c>
      <c r="AK373" s="52"/>
      <c r="AL373" s="34">
        <v>13</v>
      </c>
      <c r="AM373" s="52"/>
      <c r="AN373" s="34">
        <v>13</v>
      </c>
      <c r="AO373" s="52"/>
      <c r="AP373" s="34">
        <v>13</v>
      </c>
      <c r="AQ373" s="52"/>
      <c r="AR373" s="34">
        <v>13</v>
      </c>
      <c r="AS373" s="31"/>
      <c r="AT373" s="126">
        <v>13</v>
      </c>
      <c r="AU373" s="31"/>
      <c r="AV373" s="34">
        <v>13</v>
      </c>
      <c r="AW373" s="31"/>
      <c r="AX373" s="34">
        <v>13</v>
      </c>
      <c r="AY373" s="31"/>
      <c r="AZ373" s="34">
        <v>13</v>
      </c>
      <c r="BA373" s="31"/>
      <c r="BB373" s="34">
        <v>0</v>
      </c>
      <c r="BC373" s="31"/>
      <c r="BD373" s="34">
        <v>0</v>
      </c>
      <c r="BE373" s="31"/>
      <c r="BF373" s="34">
        <v>0</v>
      </c>
      <c r="BG373" s="31"/>
      <c r="BH373" s="34">
        <v>0</v>
      </c>
      <c r="BI373" s="52"/>
      <c r="BJ373" s="34">
        <v>0</v>
      </c>
      <c r="BK373" s="52"/>
      <c r="BL373" s="34">
        <v>0</v>
      </c>
      <c r="BM373" s="52"/>
      <c r="BN373" s="34">
        <v>0</v>
      </c>
      <c r="BO373" s="52"/>
      <c r="BP373" s="34">
        <v>0</v>
      </c>
      <c r="BQ373" s="52"/>
      <c r="BR373" s="34">
        <v>0</v>
      </c>
      <c r="BS373" s="76"/>
    </row>
    <row r="374" spans="1:71" s="58" customFormat="1" outlineLevel="1" x14ac:dyDescent="0.25">
      <c r="E374" s="4"/>
      <c r="F374" s="4"/>
      <c r="G374" s="4" t="s">
        <v>637</v>
      </c>
      <c r="H374" s="1"/>
      <c r="S374" s="66"/>
      <c r="T374" s="75">
        <v>15.73</v>
      </c>
      <c r="U374" s="76"/>
      <c r="V374" s="75">
        <v>15.73</v>
      </c>
      <c r="W374" s="76"/>
      <c r="X374" s="75">
        <v>15.73</v>
      </c>
      <c r="Y374" s="76"/>
      <c r="Z374" s="75">
        <v>15.73</v>
      </c>
      <c r="AA374" s="52"/>
      <c r="AB374" s="34">
        <v>0</v>
      </c>
      <c r="AC374" s="52"/>
      <c r="AD374" s="34">
        <v>0</v>
      </c>
      <c r="AE374" s="52"/>
      <c r="AF374" s="34">
        <v>0</v>
      </c>
      <c r="AG374" s="52"/>
      <c r="AH374" s="34">
        <v>0</v>
      </c>
      <c r="AI374" s="52"/>
      <c r="AJ374" s="34">
        <v>0</v>
      </c>
      <c r="AK374" s="52"/>
      <c r="AL374" s="34">
        <v>13</v>
      </c>
      <c r="AM374" s="52"/>
      <c r="AN374" s="34">
        <v>13</v>
      </c>
      <c r="AO374" s="52"/>
      <c r="AP374" s="34">
        <v>13</v>
      </c>
      <c r="AQ374" s="52"/>
      <c r="AR374" s="34">
        <v>29.4</v>
      </c>
      <c r="AS374" s="31"/>
      <c r="AT374" s="126">
        <v>29.4</v>
      </c>
      <c r="AU374" s="31"/>
      <c r="AV374" s="34">
        <v>29.4</v>
      </c>
      <c r="AW374" s="31"/>
      <c r="AX374" s="34">
        <v>29.4</v>
      </c>
      <c r="AY374" s="31"/>
      <c r="AZ374" s="34">
        <v>29.4</v>
      </c>
      <c r="BA374" s="31"/>
      <c r="BB374" s="34">
        <v>29.4</v>
      </c>
      <c r="BC374" s="31"/>
      <c r="BD374" s="34">
        <v>29.4</v>
      </c>
      <c r="BE374" s="31"/>
      <c r="BF374" s="34">
        <v>0</v>
      </c>
      <c r="BG374" s="31"/>
      <c r="BH374" s="34">
        <v>15.73</v>
      </c>
      <c r="BI374" s="52"/>
      <c r="BJ374" s="34">
        <v>15.73</v>
      </c>
      <c r="BK374" s="52"/>
      <c r="BL374" s="34">
        <v>15.73</v>
      </c>
      <c r="BM374" s="52"/>
      <c r="BN374" s="34">
        <v>15.73</v>
      </c>
      <c r="BO374" s="52"/>
      <c r="BP374" s="34">
        <v>15.73</v>
      </c>
      <c r="BQ374" s="52"/>
      <c r="BR374" s="34">
        <v>15.73</v>
      </c>
      <c r="BS374" s="76"/>
    </row>
    <row r="375" spans="1:71" s="58" customFormat="1" outlineLevel="1" x14ac:dyDescent="0.25">
      <c r="E375" s="4"/>
      <c r="F375" s="4"/>
      <c r="G375" s="4" t="s">
        <v>638</v>
      </c>
      <c r="H375" s="1"/>
      <c r="S375" s="66"/>
      <c r="T375" s="75">
        <v>10</v>
      </c>
      <c r="U375" s="76"/>
      <c r="V375" s="75">
        <v>10</v>
      </c>
      <c r="W375" s="76"/>
      <c r="X375" s="75">
        <v>10</v>
      </c>
      <c r="Y375" s="76"/>
      <c r="Z375" s="75">
        <v>10</v>
      </c>
      <c r="AA375" s="52"/>
      <c r="AB375" s="34">
        <v>0</v>
      </c>
      <c r="AC375" s="52"/>
      <c r="AD375" s="34">
        <v>0</v>
      </c>
      <c r="AE375" s="52"/>
      <c r="AF375" s="34">
        <v>0</v>
      </c>
      <c r="AG375" s="52"/>
      <c r="AH375" s="34">
        <v>0</v>
      </c>
      <c r="AI375" s="52"/>
      <c r="AJ375" s="34">
        <v>15</v>
      </c>
      <c r="AK375" s="52"/>
      <c r="AL375" s="34">
        <v>15</v>
      </c>
      <c r="AM375" s="52"/>
      <c r="AN375" s="34">
        <v>14</v>
      </c>
      <c r="AO375" s="52"/>
      <c r="AP375" s="34">
        <v>14</v>
      </c>
      <c r="AQ375" s="52"/>
      <c r="AR375" s="34">
        <v>14</v>
      </c>
      <c r="AS375" s="31"/>
      <c r="AT375" s="126">
        <v>14</v>
      </c>
      <c r="AU375" s="31"/>
      <c r="AV375" s="34">
        <v>14</v>
      </c>
      <c r="AW375" s="31"/>
      <c r="AX375" s="34">
        <v>14</v>
      </c>
      <c r="AY375" s="31"/>
      <c r="AZ375" s="34">
        <v>14</v>
      </c>
      <c r="BA375" s="31"/>
      <c r="BB375" s="34">
        <v>14</v>
      </c>
      <c r="BC375" s="31"/>
      <c r="BD375" s="34">
        <v>14</v>
      </c>
      <c r="BE375" s="31"/>
      <c r="BF375" s="34">
        <v>14</v>
      </c>
      <c r="BG375" s="31"/>
      <c r="BH375" s="34">
        <v>14</v>
      </c>
      <c r="BI375" s="52"/>
      <c r="BJ375" s="34">
        <v>14</v>
      </c>
      <c r="BK375" s="52"/>
      <c r="BL375" s="34">
        <v>14</v>
      </c>
      <c r="BM375" s="52"/>
      <c r="BN375" s="34">
        <v>0</v>
      </c>
      <c r="BO375" s="52"/>
      <c r="BP375" s="34">
        <v>0</v>
      </c>
      <c r="BQ375" s="52"/>
      <c r="BR375" s="34">
        <v>0</v>
      </c>
      <c r="BS375" s="76"/>
    </row>
    <row r="376" spans="1:71" s="58" customFormat="1" outlineLevel="1" x14ac:dyDescent="0.25">
      <c r="E376" s="4"/>
      <c r="F376" s="4"/>
      <c r="G376" s="4" t="s">
        <v>639</v>
      </c>
      <c r="H376" s="1"/>
      <c r="S376" s="66"/>
      <c r="T376" s="75">
        <v>27</v>
      </c>
      <c r="U376" s="76"/>
      <c r="V376" s="75">
        <v>27</v>
      </c>
      <c r="W376" s="76"/>
      <c r="X376" s="75">
        <v>27</v>
      </c>
      <c r="Y376" s="76"/>
      <c r="Z376" s="75">
        <v>27</v>
      </c>
      <c r="AA376" s="52"/>
      <c r="AB376" s="34">
        <v>0</v>
      </c>
      <c r="AC376" s="52"/>
      <c r="AD376" s="34">
        <v>0</v>
      </c>
      <c r="AE376" s="52"/>
      <c r="AF376" s="34">
        <v>0</v>
      </c>
      <c r="AG376" s="52"/>
      <c r="AH376" s="34">
        <v>0</v>
      </c>
      <c r="AI376" s="52"/>
      <c r="AJ376" s="34">
        <v>0</v>
      </c>
      <c r="AK376" s="52"/>
      <c r="AL376" s="34">
        <v>0</v>
      </c>
      <c r="AM376" s="52"/>
      <c r="AN376" s="34">
        <v>0</v>
      </c>
      <c r="AO376" s="52"/>
      <c r="AP376" s="34">
        <v>0</v>
      </c>
      <c r="AQ376" s="52"/>
      <c r="AR376" s="34">
        <v>35</v>
      </c>
      <c r="AS376" s="31"/>
      <c r="AT376" s="126">
        <v>29</v>
      </c>
      <c r="AU376" s="31"/>
      <c r="AV376" s="34">
        <v>29</v>
      </c>
      <c r="AW376" s="31"/>
      <c r="AX376" s="34">
        <v>29</v>
      </c>
      <c r="AY376" s="31"/>
      <c r="AZ376" s="34">
        <v>29</v>
      </c>
      <c r="BA376" s="31"/>
      <c r="BB376" s="34">
        <v>29</v>
      </c>
      <c r="BC376" s="31"/>
      <c r="BD376" s="34">
        <v>29</v>
      </c>
      <c r="BE376" s="31"/>
      <c r="BF376" s="34">
        <v>29</v>
      </c>
      <c r="BG376" s="31"/>
      <c r="BH376" s="34">
        <v>29</v>
      </c>
      <c r="BI376" s="52"/>
      <c r="BJ376" s="34">
        <v>29</v>
      </c>
      <c r="BK376" s="52"/>
      <c r="BL376" s="34">
        <v>29</v>
      </c>
      <c r="BM376" s="52"/>
      <c r="BN376" s="34">
        <v>29</v>
      </c>
      <c r="BO376" s="52"/>
      <c r="BP376" s="34">
        <v>29</v>
      </c>
      <c r="BQ376" s="52"/>
      <c r="BR376" s="34">
        <v>29</v>
      </c>
      <c r="BS376" s="76"/>
    </row>
    <row r="377" spans="1:71" s="58" customFormat="1" outlineLevel="1" x14ac:dyDescent="0.25">
      <c r="E377" s="4"/>
      <c r="F377" s="4"/>
      <c r="G377" s="4" t="s">
        <v>640</v>
      </c>
      <c r="H377" s="1"/>
      <c r="S377" s="66"/>
      <c r="T377" s="75">
        <v>20</v>
      </c>
      <c r="U377" s="76"/>
      <c r="V377" s="75">
        <v>20</v>
      </c>
      <c r="W377" s="76"/>
      <c r="X377" s="75">
        <v>20</v>
      </c>
      <c r="Y377" s="76"/>
      <c r="Z377" s="75">
        <v>20</v>
      </c>
      <c r="AA377" s="52"/>
      <c r="AB377" s="34">
        <v>20</v>
      </c>
      <c r="AC377" s="52"/>
      <c r="AD377" s="34">
        <v>20</v>
      </c>
      <c r="AE377" s="52"/>
      <c r="AF377" s="34">
        <v>20</v>
      </c>
      <c r="AG377" s="52"/>
      <c r="AH377" s="34">
        <v>20</v>
      </c>
      <c r="AI377" s="52"/>
      <c r="AJ377" s="34">
        <v>20</v>
      </c>
      <c r="AK377" s="52"/>
      <c r="AL377" s="34">
        <v>20</v>
      </c>
      <c r="AM377" s="52"/>
      <c r="AN377" s="34">
        <v>20</v>
      </c>
      <c r="AO377" s="52"/>
      <c r="AP377" s="34">
        <v>20</v>
      </c>
      <c r="AQ377" s="52"/>
      <c r="AR377" s="34">
        <v>20</v>
      </c>
      <c r="AS377" s="31"/>
      <c r="AT377" s="126">
        <v>20</v>
      </c>
      <c r="AU377" s="31"/>
      <c r="AV377" s="34">
        <v>0</v>
      </c>
      <c r="AW377" s="31"/>
      <c r="AX377" s="34">
        <v>0</v>
      </c>
      <c r="AY377" s="31"/>
      <c r="AZ377" s="34">
        <v>0</v>
      </c>
      <c r="BA377" s="31"/>
      <c r="BB377" s="34">
        <v>0</v>
      </c>
      <c r="BC377" s="31"/>
      <c r="BD377" s="34">
        <v>0</v>
      </c>
      <c r="BE377" s="31"/>
      <c r="BF377" s="34">
        <v>0</v>
      </c>
      <c r="BG377" s="31"/>
      <c r="BH377" s="34">
        <v>60</v>
      </c>
      <c r="BI377" s="52"/>
      <c r="BJ377" s="34">
        <v>60</v>
      </c>
      <c r="BK377" s="52"/>
      <c r="BL377" s="34">
        <v>60</v>
      </c>
      <c r="BM377" s="52"/>
      <c r="BN377" s="34">
        <v>60</v>
      </c>
      <c r="BO377" s="52"/>
      <c r="BP377" s="34">
        <v>60</v>
      </c>
      <c r="BQ377" s="52"/>
      <c r="BR377" s="34">
        <v>60</v>
      </c>
      <c r="BS377" s="76"/>
    </row>
    <row r="378" spans="1:71" s="58" customFormat="1" outlineLevel="1" x14ac:dyDescent="0.25">
      <c r="E378" s="4"/>
      <c r="F378" s="4"/>
      <c r="G378" s="4" t="s">
        <v>641</v>
      </c>
      <c r="H378" s="1"/>
      <c r="S378" s="66"/>
      <c r="T378" s="75">
        <v>20</v>
      </c>
      <c r="U378" s="76"/>
      <c r="V378" s="75">
        <v>20</v>
      </c>
      <c r="W378" s="76"/>
      <c r="X378" s="75">
        <v>20</v>
      </c>
      <c r="Y378" s="76"/>
      <c r="Z378" s="75">
        <v>20</v>
      </c>
      <c r="AA378" s="52"/>
      <c r="AB378" s="34">
        <v>20</v>
      </c>
      <c r="AC378" s="52"/>
      <c r="AD378" s="34">
        <v>20</v>
      </c>
      <c r="AE378" s="52"/>
      <c r="AF378" s="34">
        <v>20</v>
      </c>
      <c r="AG378" s="52"/>
      <c r="AH378" s="34">
        <v>20</v>
      </c>
      <c r="AI378" s="52"/>
      <c r="AJ378" s="34">
        <v>20</v>
      </c>
      <c r="AK378" s="52"/>
      <c r="AL378" s="34">
        <v>20</v>
      </c>
      <c r="AM378" s="52"/>
      <c r="AN378" s="34">
        <v>20</v>
      </c>
      <c r="AO378" s="52"/>
      <c r="AP378" s="34">
        <v>20</v>
      </c>
      <c r="AQ378" s="52"/>
      <c r="AR378" s="34">
        <v>20</v>
      </c>
      <c r="AS378" s="31"/>
      <c r="AT378" s="126">
        <v>20</v>
      </c>
      <c r="AU378" s="31"/>
      <c r="AV378" s="34">
        <v>0</v>
      </c>
      <c r="AW378" s="31"/>
      <c r="AX378" s="34">
        <v>0</v>
      </c>
      <c r="AY378" s="31"/>
      <c r="AZ378" s="34">
        <v>0</v>
      </c>
      <c r="BA378" s="31"/>
      <c r="BB378" s="34">
        <v>0</v>
      </c>
      <c r="BC378" s="31"/>
      <c r="BD378" s="34">
        <v>0</v>
      </c>
      <c r="BE378" s="31"/>
      <c r="BF378" s="34">
        <v>0</v>
      </c>
      <c r="BG378" s="31"/>
      <c r="BH378" s="34">
        <v>20</v>
      </c>
      <c r="BI378" s="52"/>
      <c r="BJ378" s="34">
        <v>20</v>
      </c>
      <c r="BK378" s="52"/>
      <c r="BL378" s="34">
        <v>20</v>
      </c>
      <c r="BM378" s="52"/>
      <c r="BN378" s="34">
        <v>20</v>
      </c>
      <c r="BO378" s="52"/>
      <c r="BP378" s="34">
        <v>20</v>
      </c>
      <c r="BQ378" s="52"/>
      <c r="BR378" s="34">
        <v>20</v>
      </c>
      <c r="BS378" s="76"/>
    </row>
    <row r="379" spans="1:71" s="58" customFormat="1" outlineLevel="1" x14ac:dyDescent="0.25">
      <c r="E379" s="4"/>
      <c r="F379" s="4"/>
      <c r="G379" s="4" t="s">
        <v>642</v>
      </c>
      <c r="H379" s="1"/>
      <c r="S379" s="66"/>
      <c r="T379" s="75">
        <v>0</v>
      </c>
      <c r="U379" s="76"/>
      <c r="V379" s="75">
        <v>0</v>
      </c>
      <c r="W379" s="76"/>
      <c r="X379" s="75">
        <v>22</v>
      </c>
      <c r="Y379" s="76"/>
      <c r="Z379" s="75">
        <v>22</v>
      </c>
      <c r="AA379" s="52"/>
      <c r="AB379" s="34">
        <v>0</v>
      </c>
      <c r="AC379" s="52"/>
      <c r="AD379" s="34">
        <v>0</v>
      </c>
      <c r="AE379" s="52"/>
      <c r="AF379" s="34">
        <v>0</v>
      </c>
      <c r="AG379" s="52"/>
      <c r="AH379" s="34">
        <v>0</v>
      </c>
      <c r="AI379" s="52"/>
      <c r="AJ379" s="34">
        <v>0</v>
      </c>
      <c r="AK379" s="52"/>
      <c r="AL379" s="34">
        <v>22</v>
      </c>
      <c r="AM379" s="52"/>
      <c r="AN379" s="34">
        <v>22</v>
      </c>
      <c r="AO379" s="52"/>
      <c r="AP379" s="34">
        <v>22</v>
      </c>
      <c r="AQ379" s="52"/>
      <c r="AR379" s="34">
        <v>22</v>
      </c>
      <c r="AS379" s="31"/>
      <c r="AT379" s="126">
        <v>22</v>
      </c>
      <c r="AU379" s="31"/>
      <c r="AV379" s="34">
        <v>0</v>
      </c>
      <c r="AW379" s="31"/>
      <c r="AX379" s="34">
        <v>0</v>
      </c>
      <c r="AY379" s="31"/>
      <c r="AZ379" s="34">
        <v>0</v>
      </c>
      <c r="BA379" s="31"/>
      <c r="BB379" s="34">
        <v>0</v>
      </c>
      <c r="BC379" s="31"/>
      <c r="BD379" s="34">
        <v>0</v>
      </c>
      <c r="BE379" s="31"/>
      <c r="BF379" s="34">
        <v>0</v>
      </c>
      <c r="BG379" s="31"/>
      <c r="BH379" s="34">
        <v>0</v>
      </c>
      <c r="BI379" s="52"/>
      <c r="BJ379" s="34">
        <v>0</v>
      </c>
      <c r="BK379" s="52"/>
      <c r="BL379" s="34">
        <v>0</v>
      </c>
      <c r="BM379" s="52"/>
      <c r="BN379" s="34">
        <v>0</v>
      </c>
      <c r="BO379" s="52"/>
      <c r="BP379" s="34">
        <v>0</v>
      </c>
      <c r="BQ379" s="52"/>
      <c r="BR379" s="34">
        <v>0</v>
      </c>
      <c r="BS379" s="76"/>
    </row>
    <row r="380" spans="1:71" s="58" customFormat="1" outlineLevel="1" x14ac:dyDescent="0.25">
      <c r="E380" s="4"/>
      <c r="F380" s="4"/>
      <c r="G380" s="4" t="s">
        <v>643</v>
      </c>
      <c r="H380" s="1"/>
      <c r="S380" s="66"/>
      <c r="T380" s="75">
        <v>0</v>
      </c>
      <c r="U380" s="76"/>
      <c r="V380" s="75">
        <v>0</v>
      </c>
      <c r="W380" s="76"/>
      <c r="X380" s="75">
        <v>22</v>
      </c>
      <c r="Y380" s="76"/>
      <c r="Z380" s="75">
        <v>22</v>
      </c>
      <c r="AA380" s="52"/>
      <c r="AB380" s="34">
        <v>22</v>
      </c>
      <c r="AC380" s="52"/>
      <c r="AD380" s="34">
        <v>0</v>
      </c>
      <c r="AE380" s="52"/>
      <c r="AF380" s="34">
        <v>0</v>
      </c>
      <c r="AG380" s="52"/>
      <c r="AH380" s="34">
        <v>0</v>
      </c>
      <c r="AI380" s="52"/>
      <c r="AJ380" s="34">
        <v>0</v>
      </c>
      <c r="AK380" s="52"/>
      <c r="AL380" s="34">
        <v>0</v>
      </c>
      <c r="AM380" s="52"/>
      <c r="AN380" s="34">
        <v>0</v>
      </c>
      <c r="AO380" s="52"/>
      <c r="AP380" s="34">
        <v>0</v>
      </c>
      <c r="AQ380" s="52"/>
      <c r="AR380" s="34">
        <v>0</v>
      </c>
      <c r="AS380" s="31"/>
      <c r="AT380" s="126">
        <v>0</v>
      </c>
      <c r="AU380" s="31"/>
      <c r="AV380" s="34">
        <v>26.66</v>
      </c>
      <c r="AW380" s="31"/>
      <c r="AX380" s="34">
        <v>27</v>
      </c>
      <c r="AY380" s="31"/>
      <c r="AZ380" s="34">
        <v>26.81</v>
      </c>
      <c r="BA380" s="31"/>
      <c r="BB380" s="34">
        <v>27.45</v>
      </c>
      <c r="BC380" s="31"/>
      <c r="BD380" s="34">
        <v>0</v>
      </c>
      <c r="BE380" s="31"/>
      <c r="BF380" s="34">
        <v>0</v>
      </c>
      <c r="BG380" s="31"/>
      <c r="BH380" s="34">
        <v>0</v>
      </c>
      <c r="BI380" s="52"/>
      <c r="BJ380" s="34">
        <v>0</v>
      </c>
      <c r="BK380" s="52"/>
      <c r="BL380" s="34">
        <v>0</v>
      </c>
      <c r="BM380" s="52"/>
      <c r="BN380" s="34">
        <v>0</v>
      </c>
      <c r="BO380" s="52"/>
      <c r="BP380" s="34">
        <v>0</v>
      </c>
      <c r="BQ380" s="52"/>
      <c r="BR380" s="34">
        <v>0</v>
      </c>
      <c r="BS380" s="76"/>
    </row>
    <row r="381" spans="1:71" s="58" customFormat="1" outlineLevel="1" x14ac:dyDescent="0.25">
      <c r="E381" s="4"/>
      <c r="F381" s="4"/>
      <c r="G381" s="4" t="s">
        <v>645</v>
      </c>
      <c r="H381" s="1"/>
      <c r="S381" s="66"/>
      <c r="T381" s="75">
        <v>6.5</v>
      </c>
      <c r="U381" s="76"/>
      <c r="V381" s="75">
        <v>6.5</v>
      </c>
      <c r="W381" s="76"/>
      <c r="X381" s="75">
        <v>6.5</v>
      </c>
      <c r="Y381" s="76"/>
      <c r="Z381" s="75">
        <v>6.5</v>
      </c>
      <c r="AA381" s="52"/>
      <c r="AB381" s="34">
        <v>6.05</v>
      </c>
      <c r="AC381" s="52"/>
      <c r="AD381" s="34">
        <v>6.09</v>
      </c>
      <c r="AE381" s="52"/>
      <c r="AF381" s="34">
        <v>6.12</v>
      </c>
      <c r="AG381" s="52"/>
      <c r="AH381" s="34">
        <v>6.04</v>
      </c>
      <c r="AI381" s="52"/>
      <c r="AJ381" s="34">
        <v>6.02</v>
      </c>
      <c r="AK381" s="52"/>
      <c r="AL381" s="34">
        <v>6</v>
      </c>
      <c r="AM381" s="52"/>
      <c r="AN381" s="34">
        <v>6</v>
      </c>
      <c r="AO381" s="52"/>
      <c r="AP381" s="34">
        <v>6</v>
      </c>
      <c r="AQ381" s="52"/>
      <c r="AR381" s="34">
        <v>6</v>
      </c>
      <c r="AS381" s="31"/>
      <c r="AT381" s="126">
        <v>6</v>
      </c>
      <c r="AU381" s="31"/>
      <c r="AV381" s="34">
        <v>6</v>
      </c>
      <c r="AW381" s="31"/>
      <c r="AX381" s="34">
        <v>6</v>
      </c>
      <c r="AY381" s="31"/>
      <c r="AZ381" s="34">
        <v>6</v>
      </c>
      <c r="BA381" s="31"/>
      <c r="BB381" s="34">
        <v>6</v>
      </c>
      <c r="BC381" s="31"/>
      <c r="BD381" s="34">
        <v>6</v>
      </c>
      <c r="BE381" s="31"/>
      <c r="BF381" s="34">
        <v>7</v>
      </c>
      <c r="BG381" s="31"/>
      <c r="BH381" s="34">
        <v>6.5</v>
      </c>
      <c r="BI381" s="52"/>
      <c r="BJ381" s="34">
        <v>6.5</v>
      </c>
      <c r="BK381" s="52"/>
      <c r="BL381" s="34">
        <v>6.5</v>
      </c>
      <c r="BM381" s="52"/>
      <c r="BN381" s="34">
        <v>6.5</v>
      </c>
      <c r="BO381" s="52"/>
      <c r="BP381" s="34">
        <v>6.5</v>
      </c>
      <c r="BQ381" s="52"/>
      <c r="BR381" s="34">
        <v>6.5</v>
      </c>
      <c r="BS381" s="76"/>
    </row>
    <row r="382" spans="1:71" s="58" customFormat="1" outlineLevel="1" x14ac:dyDescent="0.25">
      <c r="E382" s="4"/>
      <c r="F382" s="4"/>
      <c r="G382" s="4" t="s">
        <v>649</v>
      </c>
      <c r="H382" s="1"/>
      <c r="S382" s="66"/>
      <c r="T382" s="75"/>
      <c r="U382" s="76"/>
      <c r="V382" s="75"/>
      <c r="W382" s="76"/>
      <c r="X382" s="75"/>
      <c r="Y382" s="76"/>
      <c r="Z382" s="75"/>
      <c r="AA382" s="52"/>
      <c r="AB382" s="34">
        <v>0</v>
      </c>
      <c r="AC382" s="52"/>
      <c r="AD382" s="34">
        <v>0</v>
      </c>
      <c r="AE382" s="52"/>
      <c r="AF382" s="34">
        <v>0</v>
      </c>
      <c r="AG382" s="52"/>
      <c r="AH382" s="34">
        <v>0</v>
      </c>
      <c r="AI382" s="52"/>
      <c r="AJ382" s="34">
        <v>0</v>
      </c>
      <c r="AK382" s="52"/>
      <c r="AL382" s="34">
        <v>0</v>
      </c>
      <c r="AM382" s="52"/>
      <c r="AN382" s="34">
        <v>0</v>
      </c>
      <c r="AO382" s="52"/>
      <c r="AP382" s="34">
        <v>0</v>
      </c>
      <c r="AQ382" s="52"/>
      <c r="AR382" s="34">
        <v>0</v>
      </c>
      <c r="AS382" s="31"/>
      <c r="AT382" s="126">
        <v>0</v>
      </c>
      <c r="AU382" s="31"/>
      <c r="AV382" s="36">
        <f>81.9+32.84+100.8+7.5</f>
        <v>223.04000000000002</v>
      </c>
      <c r="AW382" s="4"/>
      <c r="AX382" s="36">
        <f>674.4+108.57+20.6+101.53+32.84</f>
        <v>937.94</v>
      </c>
      <c r="AY382" s="4"/>
      <c r="AZ382" s="36">
        <f>110.73+32.84+143.6</f>
        <v>287.16999999999996</v>
      </c>
      <c r="BA382" s="4"/>
      <c r="BB382" s="36">
        <f>105.3+32.84+151.38+20.6+7.5</f>
        <v>317.62</v>
      </c>
      <c r="BC382" s="4"/>
      <c r="BD382" s="36">
        <f>144.69+32.84+20.6</f>
        <v>198.13</v>
      </c>
      <c r="BE382" s="4"/>
      <c r="BF382" s="36">
        <f>143.8+32.84+20.6+7.5</f>
        <v>204.74</v>
      </c>
      <c r="BG382" s="4"/>
      <c r="BH382" s="34">
        <v>0</v>
      </c>
      <c r="BI382" s="52"/>
      <c r="BJ382" s="34">
        <v>0</v>
      </c>
      <c r="BK382" s="52"/>
      <c r="BL382" s="34">
        <v>0</v>
      </c>
      <c r="BM382" s="52"/>
      <c r="BN382" s="34">
        <v>0</v>
      </c>
      <c r="BO382" s="52"/>
      <c r="BP382" s="34">
        <v>0</v>
      </c>
      <c r="BQ382" s="52"/>
      <c r="BR382" s="34">
        <v>0</v>
      </c>
      <c r="BS382" s="76"/>
    </row>
    <row r="383" spans="1:71" s="58" customFormat="1" x14ac:dyDescent="0.25">
      <c r="E383" s="4"/>
      <c r="F383" s="4" t="s">
        <v>650</v>
      </c>
      <c r="G383" s="4"/>
      <c r="H383" s="1"/>
      <c r="S383" s="66"/>
      <c r="T383" s="4">
        <f>SUM(T384:T399)</f>
        <v>179.89</v>
      </c>
      <c r="U383" s="76"/>
      <c r="V383" s="4">
        <f>SUM(V384:V399)</f>
        <v>179.89</v>
      </c>
      <c r="W383" s="76"/>
      <c r="X383" s="4">
        <f>SUM(X384:X399)</f>
        <v>179.89</v>
      </c>
      <c r="Y383" s="76"/>
      <c r="Z383" s="4">
        <f>SUM(Z384:Z399)</f>
        <v>179.89</v>
      </c>
      <c r="AA383" s="52"/>
      <c r="AB383" s="4">
        <f>SUM(AB384:AB399)</f>
        <v>179.89</v>
      </c>
      <c r="AC383" s="52"/>
      <c r="AD383" s="4">
        <f>SUM(AD384:AD399)</f>
        <v>179.89</v>
      </c>
      <c r="AE383" s="52"/>
      <c r="AF383" s="4">
        <f>SUM(AF384:AF399)</f>
        <v>179.89</v>
      </c>
      <c r="AG383" s="52"/>
      <c r="AH383" s="4">
        <f>SUM(AH384:AH399)</f>
        <v>179.89</v>
      </c>
      <c r="AI383" s="52"/>
      <c r="AJ383" s="4">
        <f>SUM(AJ384:AJ399)</f>
        <v>179.89</v>
      </c>
      <c r="AK383" s="52"/>
      <c r="AL383" s="4">
        <f>SUM(AL384:AL399)</f>
        <v>179.89</v>
      </c>
      <c r="AM383" s="52"/>
      <c r="AN383" s="4">
        <f>SUM(AN384:AN399)</f>
        <v>202.45</v>
      </c>
      <c r="AO383" s="52"/>
      <c r="AP383" s="4">
        <f>SUM(AP384:AP399)</f>
        <v>193.85</v>
      </c>
      <c r="AQ383" s="52"/>
      <c r="AR383" s="4">
        <f>SUM(AR384:AR399)</f>
        <v>229.48</v>
      </c>
      <c r="AS383" s="31"/>
      <c r="AT383" s="121">
        <f>SUM(AT384:AT399)</f>
        <v>276.62</v>
      </c>
      <c r="AU383" s="31"/>
      <c r="AV383" s="4">
        <f>SUM(AV384:AV399)</f>
        <v>432.36</v>
      </c>
      <c r="AW383" s="4"/>
      <c r="AX383" s="4">
        <f>SUM(AX384:AX399)</f>
        <v>104.24</v>
      </c>
      <c r="AY383" s="4"/>
      <c r="AZ383" s="4">
        <f>SUM(AZ384:AZ399)</f>
        <v>538.23</v>
      </c>
      <c r="BA383" s="4"/>
      <c r="BB383" s="4">
        <f>SUM(BB384:BB399)</f>
        <v>427.92</v>
      </c>
      <c r="BC383" s="4"/>
      <c r="BD383" s="4">
        <f>SUM(BD384:BD399)</f>
        <v>162.47999999999999</v>
      </c>
      <c r="BE383" s="4"/>
      <c r="BF383" s="4">
        <f>SUM(BF384:BF399)</f>
        <v>175.97</v>
      </c>
      <c r="BG383" s="31"/>
      <c r="BH383" s="4">
        <f>SUM(BH384:BH399)</f>
        <v>587.23</v>
      </c>
      <c r="BI383" s="52"/>
      <c r="BJ383" s="4">
        <f>SUM(BJ384:BJ399)</f>
        <v>473.23</v>
      </c>
      <c r="BK383" s="52"/>
      <c r="BL383" s="4">
        <f>SUM(BL384:BL399)</f>
        <v>473.23</v>
      </c>
      <c r="BM383" s="52"/>
      <c r="BN383" s="4">
        <f>SUM(BN384:BN399)</f>
        <v>473.23</v>
      </c>
      <c r="BO383" s="52"/>
      <c r="BP383" s="4">
        <f>SUM(BP384:BP399)</f>
        <v>473.23</v>
      </c>
      <c r="BQ383" s="52"/>
      <c r="BR383" s="4">
        <f>SUM(BR384:BR399)</f>
        <v>473.23</v>
      </c>
      <c r="BS383" s="76"/>
    </row>
    <row r="384" spans="1:71" s="58" customFormat="1" outlineLevel="1" x14ac:dyDescent="0.25">
      <c r="E384" s="4"/>
      <c r="F384" s="4"/>
      <c r="G384" s="4" t="s">
        <v>653</v>
      </c>
      <c r="H384" s="1"/>
      <c r="S384" s="66"/>
      <c r="T384" s="75">
        <v>25</v>
      </c>
      <c r="U384" s="76"/>
      <c r="V384" s="75">
        <v>25</v>
      </c>
      <c r="W384" s="76"/>
      <c r="X384" s="75">
        <v>25</v>
      </c>
      <c r="Y384" s="76"/>
      <c r="Z384" s="75">
        <v>25</v>
      </c>
      <c r="AA384" s="52"/>
      <c r="AB384" s="34">
        <v>25</v>
      </c>
      <c r="AC384" s="52"/>
      <c r="AD384" s="34">
        <v>25</v>
      </c>
      <c r="AE384" s="52"/>
      <c r="AF384" s="34">
        <v>25</v>
      </c>
      <c r="AG384" s="52"/>
      <c r="AH384" s="34">
        <v>25</v>
      </c>
      <c r="AI384" s="52"/>
      <c r="AJ384" s="34">
        <v>25</v>
      </c>
      <c r="AK384" s="52"/>
      <c r="AL384" s="34">
        <v>25</v>
      </c>
      <c r="AM384" s="52"/>
      <c r="AN384" s="34">
        <v>25</v>
      </c>
      <c r="AO384" s="52"/>
      <c r="AP384" s="34">
        <v>25</v>
      </c>
      <c r="AQ384" s="52"/>
      <c r="AR384" s="34">
        <v>25</v>
      </c>
      <c r="AS384" s="31"/>
      <c r="AT384" s="126">
        <v>25</v>
      </c>
      <c r="AU384" s="31"/>
      <c r="AV384" s="34">
        <v>0</v>
      </c>
      <c r="AW384" s="31"/>
      <c r="AX384" s="34">
        <v>0</v>
      </c>
      <c r="AY384" s="31"/>
      <c r="AZ384" s="34">
        <v>0</v>
      </c>
      <c r="BA384" s="31"/>
      <c r="BB384" s="34">
        <v>0</v>
      </c>
      <c r="BC384" s="31"/>
      <c r="BD384" s="34">
        <v>0</v>
      </c>
      <c r="BE384" s="31"/>
      <c r="BF384" s="34">
        <v>0</v>
      </c>
      <c r="BG384" s="31"/>
      <c r="BH384" s="34">
        <v>25</v>
      </c>
      <c r="BI384" s="52"/>
      <c r="BJ384" s="34">
        <v>25</v>
      </c>
      <c r="BK384" s="52"/>
      <c r="BL384" s="34">
        <v>25</v>
      </c>
      <c r="BM384" s="52"/>
      <c r="BN384" s="34">
        <v>25</v>
      </c>
      <c r="BO384" s="52"/>
      <c r="BP384" s="34">
        <v>25</v>
      </c>
      <c r="BQ384" s="52"/>
      <c r="BR384" s="34">
        <v>25</v>
      </c>
      <c r="BS384" s="76"/>
    </row>
    <row r="385" spans="5:71" s="58" customFormat="1" outlineLevel="1" x14ac:dyDescent="0.25">
      <c r="E385" s="4"/>
      <c r="F385" s="4"/>
      <c r="G385" s="4" t="s">
        <v>654</v>
      </c>
      <c r="H385" s="1"/>
      <c r="S385" s="66"/>
      <c r="T385" s="75">
        <v>5.89</v>
      </c>
      <c r="U385" s="76"/>
      <c r="V385" s="75">
        <v>5.89</v>
      </c>
      <c r="W385" s="76"/>
      <c r="X385" s="75">
        <v>5.89</v>
      </c>
      <c r="Y385" s="76"/>
      <c r="Z385" s="75">
        <v>5.89</v>
      </c>
      <c r="AA385" s="52"/>
      <c r="AB385" s="34">
        <v>5.89</v>
      </c>
      <c r="AC385" s="52"/>
      <c r="AD385" s="34">
        <v>5.89</v>
      </c>
      <c r="AE385" s="52"/>
      <c r="AF385" s="34">
        <v>5.89</v>
      </c>
      <c r="AG385" s="52"/>
      <c r="AH385" s="34">
        <v>5.89</v>
      </c>
      <c r="AI385" s="52"/>
      <c r="AJ385" s="34">
        <v>5.89</v>
      </c>
      <c r="AK385" s="52"/>
      <c r="AL385" s="34">
        <v>5.89</v>
      </c>
      <c r="AM385" s="52"/>
      <c r="AN385" s="34">
        <v>5.89</v>
      </c>
      <c r="AO385" s="52"/>
      <c r="AP385" s="34">
        <v>5.89</v>
      </c>
      <c r="AQ385" s="52"/>
      <c r="AR385" s="34">
        <v>5.89</v>
      </c>
      <c r="AS385" s="31"/>
      <c r="AT385" s="126">
        <v>5.89</v>
      </c>
      <c r="AU385" s="31"/>
      <c r="AV385" s="34">
        <v>0</v>
      </c>
      <c r="AW385" s="31"/>
      <c r="AX385" s="34">
        <v>0</v>
      </c>
      <c r="AY385" s="31"/>
      <c r="AZ385" s="34">
        <v>0</v>
      </c>
      <c r="BA385" s="31"/>
      <c r="BB385" s="34">
        <v>0</v>
      </c>
      <c r="BC385" s="31"/>
      <c r="BD385" s="34">
        <v>0</v>
      </c>
      <c r="BE385" s="31"/>
      <c r="BF385" s="34">
        <v>0</v>
      </c>
      <c r="BG385" s="31"/>
      <c r="BH385" s="34">
        <v>5.89</v>
      </c>
      <c r="BI385" s="52"/>
      <c r="BJ385" s="34">
        <v>5.89</v>
      </c>
      <c r="BK385" s="52"/>
      <c r="BL385" s="34">
        <v>5.89</v>
      </c>
      <c r="BM385" s="52"/>
      <c r="BN385" s="34">
        <v>5.89</v>
      </c>
      <c r="BO385" s="52"/>
      <c r="BP385" s="34">
        <v>5.89</v>
      </c>
      <c r="BQ385" s="52"/>
      <c r="BR385" s="34">
        <v>5.89</v>
      </c>
      <c r="BS385" s="76"/>
    </row>
    <row r="386" spans="5:71" s="58" customFormat="1" outlineLevel="1" x14ac:dyDescent="0.25">
      <c r="E386" s="4"/>
      <c r="F386" s="4"/>
      <c r="G386" s="4" t="s">
        <v>656</v>
      </c>
      <c r="H386" s="1"/>
      <c r="S386" s="66"/>
      <c r="T386" s="75">
        <v>49</v>
      </c>
      <c r="U386" s="76"/>
      <c r="V386" s="75">
        <v>49</v>
      </c>
      <c r="W386" s="76"/>
      <c r="X386" s="75">
        <v>49</v>
      </c>
      <c r="Y386" s="76"/>
      <c r="Z386" s="75">
        <v>49</v>
      </c>
      <c r="AA386" s="52"/>
      <c r="AB386" s="34">
        <v>49</v>
      </c>
      <c r="AC386" s="52"/>
      <c r="AD386" s="34">
        <v>49</v>
      </c>
      <c r="AE386" s="52"/>
      <c r="AF386" s="34">
        <v>49</v>
      </c>
      <c r="AG386" s="52"/>
      <c r="AH386" s="34">
        <v>49</v>
      </c>
      <c r="AI386" s="52"/>
      <c r="AJ386" s="34">
        <v>49</v>
      </c>
      <c r="AK386" s="52"/>
      <c r="AL386" s="34">
        <v>49</v>
      </c>
      <c r="AM386" s="52"/>
      <c r="AN386" s="34">
        <v>49</v>
      </c>
      <c r="AO386" s="52"/>
      <c r="AP386" s="34">
        <v>49</v>
      </c>
      <c r="AQ386" s="52"/>
      <c r="AR386" s="34">
        <v>49</v>
      </c>
      <c r="AS386" s="31"/>
      <c r="AT386" s="126">
        <v>49</v>
      </c>
      <c r="AU386" s="31"/>
      <c r="AV386" s="34">
        <v>0</v>
      </c>
      <c r="AW386" s="31"/>
      <c r="AX386" s="34">
        <v>0</v>
      </c>
      <c r="AY386" s="31"/>
      <c r="AZ386" s="34">
        <v>0</v>
      </c>
      <c r="BA386" s="31"/>
      <c r="BB386" s="34">
        <v>0</v>
      </c>
      <c r="BC386" s="31"/>
      <c r="BD386" s="34">
        <v>0</v>
      </c>
      <c r="BE386" s="31"/>
      <c r="BF386" s="34">
        <v>0</v>
      </c>
      <c r="BG386" s="31"/>
      <c r="BH386" s="34">
        <v>0</v>
      </c>
      <c r="BI386" s="52"/>
      <c r="BJ386" s="34">
        <v>49</v>
      </c>
      <c r="BK386" s="52"/>
      <c r="BL386" s="34">
        <v>49</v>
      </c>
      <c r="BM386" s="52"/>
      <c r="BN386" s="34">
        <v>49</v>
      </c>
      <c r="BO386" s="52"/>
      <c r="BP386" s="34">
        <v>49</v>
      </c>
      <c r="BQ386" s="52"/>
      <c r="BR386" s="34">
        <v>49</v>
      </c>
      <c r="BS386" s="76"/>
    </row>
    <row r="387" spans="5:71" s="58" customFormat="1" outlineLevel="1" x14ac:dyDescent="0.25">
      <c r="E387" s="4"/>
      <c r="F387" s="4"/>
      <c r="G387" s="4" t="s">
        <v>657</v>
      </c>
      <c r="H387" s="1"/>
      <c r="S387" s="66"/>
      <c r="T387" s="75">
        <v>20</v>
      </c>
      <c r="U387" s="76"/>
      <c r="V387" s="75">
        <v>20</v>
      </c>
      <c r="W387" s="76"/>
      <c r="X387" s="75">
        <v>20</v>
      </c>
      <c r="Y387" s="76"/>
      <c r="Z387" s="75">
        <v>20</v>
      </c>
      <c r="AA387" s="52"/>
      <c r="AB387" s="34">
        <v>20</v>
      </c>
      <c r="AC387" s="52"/>
      <c r="AD387" s="34">
        <v>20</v>
      </c>
      <c r="AE387" s="52"/>
      <c r="AF387" s="34">
        <v>20</v>
      </c>
      <c r="AG387" s="52"/>
      <c r="AH387" s="34">
        <v>20</v>
      </c>
      <c r="AI387" s="52"/>
      <c r="AJ387" s="34">
        <v>20</v>
      </c>
      <c r="AK387" s="52"/>
      <c r="AL387" s="34">
        <v>20</v>
      </c>
      <c r="AM387" s="52"/>
      <c r="AN387" s="34">
        <v>20</v>
      </c>
      <c r="AO387" s="52"/>
      <c r="AP387" s="34">
        <v>20</v>
      </c>
      <c r="AQ387" s="52"/>
      <c r="AR387" s="34">
        <v>20</v>
      </c>
      <c r="AS387" s="31"/>
      <c r="AT387" s="126">
        <v>18.149999999999999</v>
      </c>
      <c r="AU387" s="31"/>
      <c r="AV387" s="34">
        <v>18.149999999999999</v>
      </c>
      <c r="AW387" s="31"/>
      <c r="AX387" s="34">
        <v>18.149999999999999</v>
      </c>
      <c r="AY387" s="31"/>
      <c r="AZ387" s="34">
        <v>15</v>
      </c>
      <c r="BA387" s="31"/>
      <c r="BB387" s="34">
        <v>15</v>
      </c>
      <c r="BC387" s="31"/>
      <c r="BD387" s="34">
        <v>20</v>
      </c>
      <c r="BE387" s="31"/>
      <c r="BF387" s="34">
        <v>20</v>
      </c>
      <c r="BG387" s="31"/>
      <c r="BH387" s="34">
        <v>20</v>
      </c>
      <c r="BI387" s="52"/>
      <c r="BJ387" s="34">
        <v>20</v>
      </c>
      <c r="BK387" s="52"/>
      <c r="BL387" s="34">
        <v>20</v>
      </c>
      <c r="BM387" s="52"/>
      <c r="BN387" s="34">
        <v>20</v>
      </c>
      <c r="BO387" s="52"/>
      <c r="BP387" s="34">
        <v>20</v>
      </c>
      <c r="BQ387" s="52"/>
      <c r="BR387" s="34">
        <v>20</v>
      </c>
      <c r="BS387" s="76"/>
    </row>
    <row r="388" spans="5:71" s="58" customFormat="1" outlineLevel="1" x14ac:dyDescent="0.25">
      <c r="E388" s="4"/>
      <c r="F388" s="4"/>
      <c r="G388" s="4" t="s">
        <v>658</v>
      </c>
      <c r="H388" s="1"/>
      <c r="S388" s="66"/>
      <c r="T388" s="75">
        <v>80</v>
      </c>
      <c r="U388" s="76"/>
      <c r="V388" s="75">
        <v>80</v>
      </c>
      <c r="W388" s="76"/>
      <c r="X388" s="75">
        <v>80</v>
      </c>
      <c r="Y388" s="76"/>
      <c r="Z388" s="75">
        <v>80</v>
      </c>
      <c r="AA388" s="52"/>
      <c r="AB388" s="34">
        <v>80</v>
      </c>
      <c r="AC388" s="52"/>
      <c r="AD388" s="34">
        <v>80</v>
      </c>
      <c r="AE388" s="52"/>
      <c r="AF388" s="34">
        <v>80</v>
      </c>
      <c r="AG388" s="52"/>
      <c r="AH388" s="34">
        <v>80</v>
      </c>
      <c r="AI388" s="52"/>
      <c r="AJ388" s="34">
        <v>80</v>
      </c>
      <c r="AK388" s="52"/>
      <c r="AL388" s="34">
        <v>80</v>
      </c>
      <c r="AM388" s="52"/>
      <c r="AN388" s="34">
        <v>80</v>
      </c>
      <c r="AO388" s="52"/>
      <c r="AP388" s="34">
        <v>80</v>
      </c>
      <c r="AQ388" s="52"/>
      <c r="AR388" s="34">
        <v>80</v>
      </c>
      <c r="AS388" s="31"/>
      <c r="AT388" s="126">
        <v>80</v>
      </c>
      <c r="AU388" s="31"/>
      <c r="AV388" s="34">
        <v>0</v>
      </c>
      <c r="AW388" s="31"/>
      <c r="AX388" s="34">
        <v>0</v>
      </c>
      <c r="AY388" s="31"/>
      <c r="AZ388" s="34">
        <v>0</v>
      </c>
      <c r="BA388" s="31"/>
      <c r="BB388" s="34">
        <v>284.77999999999997</v>
      </c>
      <c r="BC388" s="31"/>
      <c r="BD388" s="34">
        <v>0</v>
      </c>
      <c r="BE388" s="31"/>
      <c r="BF388" s="34">
        <v>0</v>
      </c>
      <c r="BG388" s="31"/>
      <c r="BH388" s="34">
        <v>80</v>
      </c>
      <c r="BI388" s="52"/>
      <c r="BJ388" s="34">
        <v>80</v>
      </c>
      <c r="BK388" s="52"/>
      <c r="BL388" s="34">
        <v>80</v>
      </c>
      <c r="BM388" s="52"/>
      <c r="BN388" s="34">
        <v>80</v>
      </c>
      <c r="BO388" s="52"/>
      <c r="BP388" s="34">
        <v>80</v>
      </c>
      <c r="BQ388" s="52"/>
      <c r="BR388" s="34">
        <v>80</v>
      </c>
      <c r="BS388" s="76"/>
    </row>
    <row r="389" spans="5:71" s="58" customFormat="1" outlineLevel="1" x14ac:dyDescent="0.25">
      <c r="E389" s="4"/>
      <c r="F389" s="4"/>
      <c r="G389" s="1" t="s">
        <v>662</v>
      </c>
      <c r="S389" s="66"/>
      <c r="T389" s="75"/>
      <c r="U389" s="76"/>
      <c r="V389" s="75"/>
      <c r="W389" s="76"/>
      <c r="X389" s="75"/>
      <c r="Y389" s="76"/>
      <c r="Z389" s="75"/>
      <c r="AA389" s="52"/>
      <c r="AB389" s="34">
        <v>0</v>
      </c>
      <c r="AC389" s="52"/>
      <c r="AD389" s="34">
        <v>0</v>
      </c>
      <c r="AE389" s="52"/>
      <c r="AF389" s="34">
        <v>0</v>
      </c>
      <c r="AG389" s="52"/>
      <c r="AH389" s="34">
        <v>0</v>
      </c>
      <c r="AI389" s="52"/>
      <c r="AJ389" s="34">
        <v>0</v>
      </c>
      <c r="AK389" s="52"/>
      <c r="AL389" s="34">
        <v>0</v>
      </c>
      <c r="AM389" s="52"/>
      <c r="AN389" s="34">
        <v>0</v>
      </c>
      <c r="AO389" s="52"/>
      <c r="AP389" s="34">
        <v>0</v>
      </c>
      <c r="AQ389" s="52"/>
      <c r="AR389" s="34">
        <v>0</v>
      </c>
      <c r="AS389" s="31"/>
      <c r="AT389" s="126">
        <v>0</v>
      </c>
      <c r="AU389" s="31"/>
      <c r="AV389" s="34">
        <v>19.37</v>
      </c>
      <c r="AW389" s="31"/>
      <c r="AX389" s="34">
        <v>19.329999999999998</v>
      </c>
      <c r="AY389" s="31"/>
      <c r="AZ389" s="34">
        <f>37.16+18.67</f>
        <v>55.83</v>
      </c>
      <c r="BA389" s="31"/>
      <c r="BB389" s="34">
        <f>35.93+17.68</f>
        <v>53.61</v>
      </c>
      <c r="BC389" s="31"/>
      <c r="BD389" s="36">
        <f>36.34+17.93+17.82</f>
        <v>72.09</v>
      </c>
      <c r="BE389" s="4"/>
      <c r="BF389" s="36">
        <f>52.53</f>
        <v>52.53</v>
      </c>
      <c r="BG389" s="4"/>
      <c r="BH389" s="34">
        <v>36.340000000000003</v>
      </c>
      <c r="BI389" s="52"/>
      <c r="BJ389" s="34">
        <v>36.340000000000003</v>
      </c>
      <c r="BK389" s="52"/>
      <c r="BL389" s="34">
        <v>36.340000000000003</v>
      </c>
      <c r="BM389" s="52"/>
      <c r="BN389" s="34">
        <v>36.340000000000003</v>
      </c>
      <c r="BO389" s="52"/>
      <c r="BP389" s="34">
        <v>36.340000000000003</v>
      </c>
      <c r="BQ389" s="52"/>
      <c r="BR389" s="34">
        <v>36.340000000000003</v>
      </c>
      <c r="BS389" s="76"/>
    </row>
    <row r="390" spans="5:71" s="58" customFormat="1" outlineLevel="1" x14ac:dyDescent="0.25">
      <c r="E390" s="4"/>
      <c r="F390" s="4"/>
      <c r="G390" s="1" t="s">
        <v>663</v>
      </c>
      <c r="S390" s="66"/>
      <c r="T390" s="75"/>
      <c r="U390" s="76"/>
      <c r="V390" s="75"/>
      <c r="W390" s="76"/>
      <c r="X390" s="75"/>
      <c r="Y390" s="76"/>
      <c r="Z390" s="75"/>
      <c r="AA390" s="52"/>
      <c r="AB390" s="34">
        <v>0</v>
      </c>
      <c r="AC390" s="52"/>
      <c r="AD390" s="34">
        <v>0</v>
      </c>
      <c r="AE390" s="52"/>
      <c r="AF390" s="34">
        <v>0</v>
      </c>
      <c r="AG390" s="52"/>
      <c r="AH390" s="34">
        <v>0</v>
      </c>
      <c r="AI390" s="52"/>
      <c r="AJ390" s="34">
        <v>0</v>
      </c>
      <c r="AK390" s="52"/>
      <c r="AL390" s="34">
        <v>0</v>
      </c>
      <c r="AM390" s="52"/>
      <c r="AN390" s="34">
        <v>0</v>
      </c>
      <c r="AO390" s="52"/>
      <c r="AP390" s="34">
        <v>0</v>
      </c>
      <c r="AQ390" s="52"/>
      <c r="AR390" s="34">
        <v>0</v>
      </c>
      <c r="AS390" s="31"/>
      <c r="AT390" s="126">
        <v>0</v>
      </c>
      <c r="AU390" s="31"/>
      <c r="AV390" s="34">
        <v>0</v>
      </c>
      <c r="AW390" s="31"/>
      <c r="AX390" s="34">
        <v>9.6999999999999993</v>
      </c>
      <c r="AY390" s="31"/>
      <c r="AZ390" s="34">
        <v>9.68</v>
      </c>
      <c r="BA390" s="31"/>
      <c r="BB390" s="34">
        <v>9.32</v>
      </c>
      <c r="BC390" s="31"/>
      <c r="BD390" s="34">
        <v>8.8699999999999992</v>
      </c>
      <c r="BE390" s="31"/>
      <c r="BF390" s="34">
        <v>8.8800000000000008</v>
      </c>
      <c r="BG390" s="31"/>
      <c r="BH390" s="34">
        <v>8.8699999999999992</v>
      </c>
      <c r="BI390" s="52"/>
      <c r="BJ390" s="34">
        <v>8.8699999999999992</v>
      </c>
      <c r="BK390" s="52"/>
      <c r="BL390" s="34">
        <v>8.8699999999999992</v>
      </c>
      <c r="BM390" s="52"/>
      <c r="BN390" s="34">
        <v>8.8699999999999992</v>
      </c>
      <c r="BO390" s="52"/>
      <c r="BP390" s="34">
        <v>8.8699999999999992</v>
      </c>
      <c r="BQ390" s="52"/>
      <c r="BR390" s="34">
        <v>8.8699999999999992</v>
      </c>
      <c r="BS390" s="76"/>
    </row>
    <row r="391" spans="5:71" s="58" customFormat="1" outlineLevel="1" x14ac:dyDescent="0.25">
      <c r="E391" s="4"/>
      <c r="F391" s="4"/>
      <c r="G391" s="1" t="s">
        <v>664</v>
      </c>
      <c r="S391" s="66"/>
      <c r="T391" s="75"/>
      <c r="U391" s="76"/>
      <c r="V391" s="75"/>
      <c r="W391" s="76"/>
      <c r="X391" s="75"/>
      <c r="Y391" s="76"/>
      <c r="Z391" s="75"/>
      <c r="AA391" s="52"/>
      <c r="AB391" s="34">
        <v>0</v>
      </c>
      <c r="AC391" s="52"/>
      <c r="AD391" s="34">
        <v>0</v>
      </c>
      <c r="AE391" s="52"/>
      <c r="AF391" s="34">
        <v>0</v>
      </c>
      <c r="AG391" s="52"/>
      <c r="AH391" s="34">
        <v>0</v>
      </c>
      <c r="AI391" s="52"/>
      <c r="AJ391" s="34">
        <v>0</v>
      </c>
      <c r="AK391" s="52"/>
      <c r="AL391" s="34">
        <v>0</v>
      </c>
      <c r="AM391" s="52"/>
      <c r="AN391" s="34">
        <v>0</v>
      </c>
      <c r="AO391" s="52"/>
      <c r="AP391" s="34">
        <v>0</v>
      </c>
      <c r="AQ391" s="52"/>
      <c r="AR391" s="34">
        <v>0</v>
      </c>
      <c r="AS391" s="31"/>
      <c r="AT391" s="126">
        <v>0</v>
      </c>
      <c r="AU391" s="31"/>
      <c r="AV391" s="34">
        <v>0</v>
      </c>
      <c r="AW391" s="31"/>
      <c r="AX391" s="34">
        <f>89.88/12</f>
        <v>7.4899999999999993</v>
      </c>
      <c r="AY391" s="31"/>
      <c r="AZ391" s="34">
        <v>7</v>
      </c>
      <c r="BA391" s="31"/>
      <c r="BB391" s="34">
        <v>7</v>
      </c>
      <c r="BC391" s="31"/>
      <c r="BD391" s="34">
        <v>7</v>
      </c>
      <c r="BE391" s="31"/>
      <c r="BF391" s="34">
        <v>7</v>
      </c>
      <c r="BG391" s="31"/>
      <c r="BH391" s="34">
        <v>7</v>
      </c>
      <c r="BI391" s="52"/>
      <c r="BJ391" s="34">
        <v>7</v>
      </c>
      <c r="BK391" s="52"/>
      <c r="BL391" s="34">
        <v>7</v>
      </c>
      <c r="BM391" s="52"/>
      <c r="BN391" s="34">
        <v>7</v>
      </c>
      <c r="BO391" s="52"/>
      <c r="BP391" s="34">
        <v>7</v>
      </c>
      <c r="BQ391" s="52"/>
      <c r="BR391" s="34">
        <v>7</v>
      </c>
      <c r="BS391" s="76"/>
    </row>
    <row r="392" spans="5:71" s="58" customFormat="1" outlineLevel="1" x14ac:dyDescent="0.25">
      <c r="E392" s="4"/>
      <c r="F392" s="4"/>
      <c r="G392" s="1" t="s">
        <v>665</v>
      </c>
      <c r="S392" s="66"/>
      <c r="T392" s="75"/>
      <c r="U392" s="76"/>
      <c r="V392" s="75"/>
      <c r="W392" s="76"/>
      <c r="X392" s="75"/>
      <c r="Y392" s="76"/>
      <c r="Z392" s="75"/>
      <c r="AA392" s="52"/>
      <c r="AB392" s="34">
        <v>0</v>
      </c>
      <c r="AC392" s="52"/>
      <c r="AD392" s="34">
        <v>0</v>
      </c>
      <c r="AE392" s="52"/>
      <c r="AF392" s="34">
        <v>0</v>
      </c>
      <c r="AG392" s="52"/>
      <c r="AH392" s="34">
        <v>0</v>
      </c>
      <c r="AI392" s="52"/>
      <c r="AJ392" s="34">
        <v>0</v>
      </c>
      <c r="AK392" s="52"/>
      <c r="AL392" s="34">
        <v>0</v>
      </c>
      <c r="AM392" s="52"/>
      <c r="AN392" s="34">
        <f>13.54+9.02</f>
        <v>22.56</v>
      </c>
      <c r="AO392" s="52"/>
      <c r="AP392" s="34">
        <v>13.96</v>
      </c>
      <c r="AQ392" s="52"/>
      <c r="AR392" s="34">
        <v>14.59</v>
      </c>
      <c r="AS392" s="31"/>
      <c r="AT392" s="126">
        <v>14.58</v>
      </c>
      <c r="AU392" s="31"/>
      <c r="AV392" s="34">
        <v>14.5</v>
      </c>
      <c r="AW392" s="31"/>
      <c r="AX392" s="34">
        <v>14.43</v>
      </c>
      <c r="AY392" s="31"/>
      <c r="AZ392" s="36">
        <v>13.96</v>
      </c>
      <c r="BA392" s="4"/>
      <c r="BB392" s="34">
        <v>13.16</v>
      </c>
      <c r="BC392" s="31"/>
      <c r="BD392" s="34">
        <v>13.39</v>
      </c>
      <c r="BE392" s="31"/>
      <c r="BF392" s="34">
        <v>0</v>
      </c>
      <c r="BG392" s="31"/>
      <c r="BH392" s="34">
        <v>0</v>
      </c>
      <c r="BI392" s="52"/>
      <c r="BJ392" s="34">
        <v>0</v>
      </c>
      <c r="BK392" s="52"/>
      <c r="BL392" s="34">
        <v>0</v>
      </c>
      <c r="BM392" s="52"/>
      <c r="BN392" s="34">
        <v>0</v>
      </c>
      <c r="BO392" s="52"/>
      <c r="BP392" s="34">
        <v>0</v>
      </c>
      <c r="BQ392" s="52"/>
      <c r="BR392" s="34">
        <v>0</v>
      </c>
      <c r="BS392" s="76"/>
    </row>
    <row r="393" spans="5:71" s="58" customFormat="1" outlineLevel="1" x14ac:dyDescent="0.25">
      <c r="E393" s="4"/>
      <c r="F393" s="4"/>
      <c r="G393" s="1" t="s">
        <v>675</v>
      </c>
      <c r="S393" s="66"/>
      <c r="T393" s="75"/>
      <c r="U393" s="76"/>
      <c r="V393" s="75"/>
      <c r="W393" s="76"/>
      <c r="X393" s="75"/>
      <c r="Y393" s="76"/>
      <c r="Z393" s="75"/>
      <c r="AA393" s="52"/>
      <c r="AB393" s="34">
        <v>0</v>
      </c>
      <c r="AC393" s="52"/>
      <c r="AD393" s="34">
        <v>0</v>
      </c>
      <c r="AE393" s="52"/>
      <c r="AF393" s="34">
        <v>0</v>
      </c>
      <c r="AG393" s="52"/>
      <c r="AH393" s="34">
        <v>0</v>
      </c>
      <c r="AI393" s="52"/>
      <c r="AJ393" s="34">
        <v>0</v>
      </c>
      <c r="AK393" s="52"/>
      <c r="AL393" s="34">
        <v>0</v>
      </c>
      <c r="AM393" s="52"/>
      <c r="AN393" s="34">
        <v>0</v>
      </c>
      <c r="AO393" s="52"/>
      <c r="AP393" s="34">
        <v>0</v>
      </c>
      <c r="AQ393" s="52"/>
      <c r="AR393" s="34">
        <v>35</v>
      </c>
      <c r="AS393" s="31"/>
      <c r="AT393" s="126">
        <v>35</v>
      </c>
      <c r="AU393" s="31"/>
      <c r="AV393" s="34">
        <v>35.229999999999997</v>
      </c>
      <c r="AW393" s="31"/>
      <c r="AX393" s="36">
        <v>35.14</v>
      </c>
      <c r="AY393" s="4"/>
      <c r="AZ393" s="34">
        <v>35.14</v>
      </c>
      <c r="BA393" s="31"/>
      <c r="BB393" s="34">
        <v>32</v>
      </c>
      <c r="BC393" s="31"/>
      <c r="BD393" s="34">
        <v>32.22</v>
      </c>
      <c r="BE393" s="31"/>
      <c r="BF393" s="34">
        <v>32.22</v>
      </c>
      <c r="BG393" s="31"/>
      <c r="BH393" s="34">
        <v>32.22</v>
      </c>
      <c r="BI393" s="52"/>
      <c r="BJ393" s="34">
        <v>32.22</v>
      </c>
      <c r="BK393" s="52"/>
      <c r="BL393" s="34">
        <v>32.22</v>
      </c>
      <c r="BM393" s="52"/>
      <c r="BN393" s="34">
        <v>32.22</v>
      </c>
      <c r="BO393" s="52"/>
      <c r="BP393" s="34">
        <v>32.22</v>
      </c>
      <c r="BQ393" s="52"/>
      <c r="BR393" s="34">
        <v>32.22</v>
      </c>
      <c r="BS393" s="76"/>
    </row>
    <row r="394" spans="5:71" s="58" customFormat="1" outlineLevel="1" x14ac:dyDescent="0.25">
      <c r="E394" s="4"/>
      <c r="F394" s="4"/>
      <c r="G394" s="1" t="s">
        <v>676</v>
      </c>
      <c r="S394" s="66"/>
      <c r="T394" s="75"/>
      <c r="U394" s="76"/>
      <c r="V394" s="75"/>
      <c r="W394" s="76"/>
      <c r="X394" s="75"/>
      <c r="Y394" s="76"/>
      <c r="Z394" s="75"/>
      <c r="AA394" s="52"/>
      <c r="AB394" s="34">
        <v>0</v>
      </c>
      <c r="AC394" s="52"/>
      <c r="AD394" s="34">
        <v>0</v>
      </c>
      <c r="AE394" s="52"/>
      <c r="AF394" s="34">
        <v>0</v>
      </c>
      <c r="AG394" s="52"/>
      <c r="AH394" s="34">
        <v>0</v>
      </c>
      <c r="AI394" s="52"/>
      <c r="AJ394" s="34">
        <v>0</v>
      </c>
      <c r="AK394" s="52"/>
      <c r="AL394" s="34">
        <v>0</v>
      </c>
      <c r="AM394" s="52"/>
      <c r="AN394" s="34">
        <v>0</v>
      </c>
      <c r="AO394" s="52"/>
      <c r="AP394" s="34">
        <v>0</v>
      </c>
      <c r="AQ394" s="52"/>
      <c r="AR394" s="34">
        <v>0</v>
      </c>
      <c r="AS394" s="31"/>
      <c r="AT394" s="126">
        <v>0</v>
      </c>
      <c r="AU394" s="31"/>
      <c r="AV394" s="34">
        <v>186.12</v>
      </c>
      <c r="AW394" s="31"/>
      <c r="AX394" s="34">
        <v>0</v>
      </c>
      <c r="AY394" s="31"/>
      <c r="AZ394" s="34">
        <v>373.47</v>
      </c>
      <c r="BA394" s="31"/>
      <c r="BB394" s="34">
        <v>0</v>
      </c>
      <c r="BC394" s="31"/>
      <c r="BD394" s="34">
        <v>8.91</v>
      </c>
      <c r="BE394" s="31"/>
      <c r="BF394" s="34">
        <v>0</v>
      </c>
      <c r="BG394" s="31"/>
      <c r="BH394" s="34">
        <v>8.91</v>
      </c>
      <c r="BI394" s="52"/>
      <c r="BJ394" s="34">
        <v>8.91</v>
      </c>
      <c r="BK394" s="52"/>
      <c r="BL394" s="34">
        <v>8.91</v>
      </c>
      <c r="BM394" s="52"/>
      <c r="BN394" s="34">
        <v>8.91</v>
      </c>
      <c r="BO394" s="52"/>
      <c r="BP394" s="34">
        <v>8.91</v>
      </c>
      <c r="BQ394" s="52"/>
      <c r="BR394" s="34">
        <v>8.91</v>
      </c>
      <c r="BS394" s="76"/>
    </row>
    <row r="395" spans="5:71" s="58" customFormat="1" outlineLevel="1" x14ac:dyDescent="0.25">
      <c r="E395" s="4"/>
      <c r="F395" s="4"/>
      <c r="G395" s="1" t="s">
        <v>703</v>
      </c>
      <c r="S395" s="66"/>
      <c r="T395" s="75"/>
      <c r="U395" s="76"/>
      <c r="V395" s="75"/>
      <c r="W395" s="76"/>
      <c r="X395" s="75"/>
      <c r="Y395" s="76"/>
      <c r="Z395" s="75"/>
      <c r="AA395" s="52"/>
      <c r="AB395" s="34"/>
      <c r="AC395" s="52"/>
      <c r="AD395" s="34"/>
      <c r="AE395" s="52"/>
      <c r="AF395" s="34"/>
      <c r="AG395" s="52"/>
      <c r="AH395" s="34"/>
      <c r="AI395" s="52"/>
      <c r="AJ395" s="34"/>
      <c r="AK395" s="52"/>
      <c r="AL395" s="34"/>
      <c r="AM395" s="52"/>
      <c r="AN395" s="34"/>
      <c r="AO395" s="52"/>
      <c r="AP395" s="34"/>
      <c r="AQ395" s="52"/>
      <c r="AR395" s="34"/>
      <c r="AS395" s="31"/>
      <c r="AT395" s="126"/>
      <c r="AU395" s="31"/>
      <c r="AV395" s="34"/>
      <c r="AW395" s="31"/>
      <c r="AX395" s="34"/>
      <c r="AY395" s="31"/>
      <c r="AZ395" s="34"/>
      <c r="BA395" s="31"/>
      <c r="BB395" s="34"/>
      <c r="BC395" s="31"/>
      <c r="BD395" s="34"/>
      <c r="BE395" s="31"/>
      <c r="BF395" s="34"/>
      <c r="BG395" s="31"/>
      <c r="BH395" s="34">
        <v>200</v>
      </c>
      <c r="BI395" s="52"/>
      <c r="BJ395" s="34">
        <v>200</v>
      </c>
      <c r="BK395" s="52"/>
      <c r="BL395" s="34">
        <v>200</v>
      </c>
      <c r="BM395" s="52"/>
      <c r="BN395" s="34">
        <v>200</v>
      </c>
      <c r="BO395" s="52"/>
      <c r="BP395" s="34">
        <v>200</v>
      </c>
      <c r="BQ395" s="52"/>
      <c r="BR395" s="34">
        <v>200</v>
      </c>
      <c r="BS395" s="76"/>
    </row>
    <row r="396" spans="5:71" s="58" customFormat="1" outlineLevel="1" x14ac:dyDescent="0.25">
      <c r="E396" s="4"/>
      <c r="F396" s="4"/>
      <c r="G396" s="1" t="s">
        <v>677</v>
      </c>
      <c r="S396" s="66"/>
      <c r="T396" s="75"/>
      <c r="U396" s="76"/>
      <c r="V396" s="75"/>
      <c r="W396" s="76"/>
      <c r="X396" s="75"/>
      <c r="Y396" s="76"/>
      <c r="Z396" s="75"/>
      <c r="AA396" s="52"/>
      <c r="AB396" s="34">
        <v>0</v>
      </c>
      <c r="AC396" s="52"/>
      <c r="AD396" s="34">
        <v>0</v>
      </c>
      <c r="AE396" s="52"/>
      <c r="AF396" s="34">
        <v>0</v>
      </c>
      <c r="AG396" s="52"/>
      <c r="AH396" s="34">
        <v>0</v>
      </c>
      <c r="AI396" s="52"/>
      <c r="AJ396" s="34">
        <v>0</v>
      </c>
      <c r="AK396" s="52"/>
      <c r="AL396" s="34">
        <v>0</v>
      </c>
      <c r="AM396" s="52"/>
      <c r="AN396" s="34">
        <v>0</v>
      </c>
      <c r="AO396" s="52"/>
      <c r="AP396" s="34">
        <v>0</v>
      </c>
      <c r="AQ396" s="52"/>
      <c r="AR396" s="34">
        <v>0</v>
      </c>
      <c r="AS396" s="31"/>
      <c r="AT396" s="126">
        <v>0</v>
      </c>
      <c r="AU396" s="31"/>
      <c r="AV396" s="34">
        <v>109.99</v>
      </c>
      <c r="AW396" s="31"/>
      <c r="AX396" s="34">
        <v>0</v>
      </c>
      <c r="AY396" s="31"/>
      <c r="AZ396" s="34">
        <v>0</v>
      </c>
      <c r="BA396" s="31"/>
      <c r="BB396" s="34">
        <v>0</v>
      </c>
      <c r="BC396" s="31"/>
      <c r="BD396" s="34">
        <v>0</v>
      </c>
      <c r="BE396" s="31"/>
      <c r="BF396" s="34">
        <v>0</v>
      </c>
      <c r="BG396" s="31"/>
      <c r="BH396" s="34">
        <v>0</v>
      </c>
      <c r="BI396" s="52"/>
      <c r="BJ396" s="34">
        <v>0</v>
      </c>
      <c r="BK396" s="52"/>
      <c r="BL396" s="34">
        <v>0</v>
      </c>
      <c r="BM396" s="52"/>
      <c r="BN396" s="34">
        <v>0</v>
      </c>
      <c r="BO396" s="52"/>
      <c r="BP396" s="34">
        <v>0</v>
      </c>
      <c r="BQ396" s="52"/>
      <c r="BR396" s="34">
        <v>0</v>
      </c>
      <c r="BS396" s="76"/>
    </row>
    <row r="397" spans="5:71" s="58" customFormat="1" outlineLevel="1" x14ac:dyDescent="0.25">
      <c r="E397" s="4"/>
      <c r="F397" s="4"/>
      <c r="G397" s="1" t="s">
        <v>679</v>
      </c>
      <c r="S397" s="66"/>
      <c r="T397" s="75"/>
      <c r="U397" s="76"/>
      <c r="V397" s="75"/>
      <c r="W397" s="76"/>
      <c r="X397" s="75"/>
      <c r="Y397" s="76"/>
      <c r="Z397" s="75"/>
      <c r="AA397" s="52"/>
      <c r="AB397" s="34">
        <v>0</v>
      </c>
      <c r="AC397" s="52"/>
      <c r="AD397" s="34">
        <v>0</v>
      </c>
      <c r="AE397" s="52"/>
      <c r="AF397" s="34">
        <v>0</v>
      </c>
      <c r="AG397" s="52"/>
      <c r="AH397" s="34">
        <v>0</v>
      </c>
      <c r="AI397" s="52"/>
      <c r="AJ397" s="34">
        <v>0</v>
      </c>
      <c r="AK397" s="52"/>
      <c r="AL397" s="34">
        <v>0</v>
      </c>
      <c r="AM397" s="52"/>
      <c r="AN397" s="34">
        <v>0</v>
      </c>
      <c r="AO397" s="52"/>
      <c r="AP397" s="34">
        <v>0</v>
      </c>
      <c r="AQ397" s="52"/>
      <c r="AR397" s="34">
        <v>0</v>
      </c>
      <c r="AS397" s="31"/>
      <c r="AT397" s="149">
        <v>49</v>
      </c>
      <c r="AU397" s="4"/>
      <c r="AV397" s="34">
        <v>49</v>
      </c>
      <c r="AW397" s="31"/>
      <c r="AX397" s="34">
        <v>0</v>
      </c>
      <c r="AY397" s="31"/>
      <c r="AZ397" s="34">
        <v>0</v>
      </c>
      <c r="BA397" s="31"/>
      <c r="BB397" s="34">
        <v>0</v>
      </c>
      <c r="BC397" s="31"/>
      <c r="BD397" s="34">
        <v>0</v>
      </c>
      <c r="BE397" s="31"/>
      <c r="BF397" s="34">
        <v>0</v>
      </c>
      <c r="BG397" s="31"/>
      <c r="BH397" s="34">
        <v>0</v>
      </c>
      <c r="BI397" s="52"/>
      <c r="BJ397" s="34">
        <v>0</v>
      </c>
      <c r="BK397" s="52"/>
      <c r="BL397" s="34">
        <v>0</v>
      </c>
      <c r="BM397" s="52"/>
      <c r="BN397" s="34">
        <v>0</v>
      </c>
      <c r="BO397" s="52"/>
      <c r="BP397" s="34">
        <v>0</v>
      </c>
      <c r="BQ397" s="52"/>
      <c r="BR397" s="34">
        <v>0</v>
      </c>
      <c r="BS397" s="76"/>
    </row>
    <row r="398" spans="5:71" s="58" customFormat="1" outlineLevel="1" x14ac:dyDescent="0.25">
      <c r="E398" s="4"/>
      <c r="F398" s="4"/>
      <c r="G398" s="1" t="s">
        <v>680</v>
      </c>
      <c r="S398" s="66"/>
      <c r="T398" s="75"/>
      <c r="U398" s="76"/>
      <c r="V398" s="75"/>
      <c r="W398" s="76"/>
      <c r="X398" s="75"/>
      <c r="Y398" s="76"/>
      <c r="Z398" s="75"/>
      <c r="AA398" s="52"/>
      <c r="AB398" s="34">
        <v>0</v>
      </c>
      <c r="AC398" s="52"/>
      <c r="AD398" s="34">
        <v>0</v>
      </c>
      <c r="AE398" s="52"/>
      <c r="AF398" s="34">
        <v>0</v>
      </c>
      <c r="AG398" s="52"/>
      <c r="AH398" s="34">
        <v>0</v>
      </c>
      <c r="AI398" s="52"/>
      <c r="AJ398" s="34">
        <v>0</v>
      </c>
      <c r="AK398" s="52"/>
      <c r="AL398" s="34">
        <v>0</v>
      </c>
      <c r="AM398" s="52"/>
      <c r="AN398" s="34">
        <v>0</v>
      </c>
      <c r="AO398" s="52"/>
      <c r="AP398" s="34">
        <v>0</v>
      </c>
      <c r="AQ398" s="52"/>
      <c r="AR398" s="34">
        <v>0</v>
      </c>
      <c r="AS398" s="31"/>
      <c r="AT398" s="126">
        <v>0</v>
      </c>
      <c r="AU398" s="31"/>
      <c r="AV398" s="34">
        <v>0</v>
      </c>
      <c r="AW398" s="31"/>
      <c r="AX398" s="34">
        <v>0</v>
      </c>
      <c r="AY398" s="31"/>
      <c r="AZ398" s="36">
        <f>18.62+9.53</f>
        <v>28.15</v>
      </c>
      <c r="BA398" s="4"/>
      <c r="BB398" s="36">
        <v>13.05</v>
      </c>
      <c r="BC398" s="4"/>
      <c r="BD398" s="34">
        <v>0</v>
      </c>
      <c r="BE398" s="31"/>
      <c r="BF398" s="34">
        <v>0</v>
      </c>
      <c r="BG398" s="31"/>
      <c r="BH398" s="34">
        <v>0</v>
      </c>
      <c r="BI398" s="52"/>
      <c r="BJ398" s="34">
        <v>0</v>
      </c>
      <c r="BK398" s="52"/>
      <c r="BL398" s="34">
        <v>0</v>
      </c>
      <c r="BM398" s="52"/>
      <c r="BN398" s="34">
        <v>0</v>
      </c>
      <c r="BO398" s="52"/>
      <c r="BP398" s="34">
        <v>0</v>
      </c>
      <c r="BQ398" s="52"/>
      <c r="BR398" s="34">
        <v>0</v>
      </c>
      <c r="BS398" s="76"/>
    </row>
    <row r="399" spans="5:71" s="58" customFormat="1" outlineLevel="1" x14ac:dyDescent="0.25">
      <c r="E399" s="4"/>
      <c r="F399" s="4"/>
      <c r="G399" s="1" t="s">
        <v>681</v>
      </c>
      <c r="S399" s="66"/>
      <c r="T399" s="75"/>
      <c r="U399" s="76"/>
      <c r="V399" s="75"/>
      <c r="W399" s="76"/>
      <c r="X399" s="75"/>
      <c r="Y399" s="76"/>
      <c r="Z399" s="75"/>
      <c r="AA399" s="52"/>
      <c r="AB399" s="34">
        <v>0</v>
      </c>
      <c r="AC399" s="52"/>
      <c r="AD399" s="34">
        <v>0</v>
      </c>
      <c r="AE399" s="52"/>
      <c r="AF399" s="34">
        <v>0</v>
      </c>
      <c r="AG399" s="52"/>
      <c r="AH399" s="34">
        <v>0</v>
      </c>
      <c r="AI399" s="52"/>
      <c r="AJ399" s="34">
        <v>0</v>
      </c>
      <c r="AK399" s="52"/>
      <c r="AL399" s="34">
        <v>0</v>
      </c>
      <c r="AM399" s="52"/>
      <c r="AN399" s="34">
        <v>0</v>
      </c>
      <c r="AO399" s="52"/>
      <c r="AP399" s="34">
        <v>0</v>
      </c>
      <c r="AQ399" s="52"/>
      <c r="AR399" s="34">
        <v>0</v>
      </c>
      <c r="AS399" s="31"/>
      <c r="AT399" s="126">
        <v>0</v>
      </c>
      <c r="AU399" s="31"/>
      <c r="AV399" s="34">
        <v>0</v>
      </c>
      <c r="AW399" s="31"/>
      <c r="AX399" s="34">
        <v>0</v>
      </c>
      <c r="AY399" s="31"/>
      <c r="AZ399" s="36">
        <v>0</v>
      </c>
      <c r="BA399" s="4"/>
      <c r="BB399" s="36">
        <v>0</v>
      </c>
      <c r="BC399" s="4"/>
      <c r="BD399" s="34">
        <v>0</v>
      </c>
      <c r="BE399" s="31"/>
      <c r="BF399" s="34">
        <f>9.95+9.32+7.46+7.44+5.36+5.25+4.92+2.84+2.8</f>
        <v>55.34</v>
      </c>
      <c r="BG399" s="31"/>
      <c r="BH399" s="34">
        <f>163</f>
        <v>163</v>
      </c>
      <c r="BI399" s="52"/>
      <c r="BJ399" s="34">
        <v>0</v>
      </c>
      <c r="BK399" s="52"/>
      <c r="BL399" s="34">
        <v>0</v>
      </c>
      <c r="BM399" s="52"/>
      <c r="BN399" s="34">
        <v>0</v>
      </c>
      <c r="BO399" s="52"/>
      <c r="BP399" s="34">
        <v>0</v>
      </c>
      <c r="BQ399" s="52"/>
      <c r="BR399" s="34">
        <v>0</v>
      </c>
      <c r="BS399" s="76"/>
    </row>
    <row r="400" spans="5:71" s="58" customFormat="1" x14ac:dyDescent="0.25">
      <c r="E400" s="98"/>
      <c r="F400" s="98" t="s">
        <v>682</v>
      </c>
      <c r="G400" s="98"/>
      <c r="H400" s="99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100"/>
      <c r="T400" s="98">
        <f>SUM(T401:T402)</f>
        <v>40</v>
      </c>
      <c r="U400" s="102"/>
      <c r="V400" s="98">
        <f>SUM(V401:V402)</f>
        <v>40</v>
      </c>
      <c r="W400" s="102"/>
      <c r="X400" s="98">
        <f>SUM(X401:X402)</f>
        <v>40</v>
      </c>
      <c r="Y400" s="102"/>
      <c r="Z400" s="98">
        <f>SUM(Z401:Z402)</f>
        <v>40</v>
      </c>
      <c r="AA400" s="102"/>
      <c r="AB400" s="98">
        <f>SUM(AB401:AB402)</f>
        <v>40</v>
      </c>
      <c r="AC400" s="102"/>
      <c r="AD400" s="98">
        <f>SUM(AD401:AD402)</f>
        <v>55.26</v>
      </c>
      <c r="AE400" s="102"/>
      <c r="AF400" s="98">
        <f>SUM(AF401:AF402)</f>
        <v>55.26</v>
      </c>
      <c r="AG400" s="102"/>
      <c r="AH400" s="98">
        <f>SUM(AH401:AH402)</f>
        <v>55.26</v>
      </c>
      <c r="AI400" s="102"/>
      <c r="AJ400" s="98">
        <f>SUM(AJ401:AJ402)</f>
        <v>34.380000000000003</v>
      </c>
      <c r="AK400" s="102"/>
      <c r="AL400" s="98">
        <f>SUM(AL401:AL402)</f>
        <v>34.380000000000003</v>
      </c>
      <c r="AM400" s="102"/>
      <c r="AN400" s="98">
        <f>SUM(AN401:AN402)</f>
        <v>34.380000000000003</v>
      </c>
      <c r="AO400" s="102"/>
      <c r="AP400" s="98">
        <f>SUM(AP401:AP402)</f>
        <v>3.6</v>
      </c>
      <c r="AQ400" s="102"/>
      <c r="AR400" s="98">
        <f>SUM(AR401:AR402)</f>
        <v>3.6</v>
      </c>
      <c r="AS400" s="102"/>
      <c r="AT400" s="151">
        <f>SUM(AT401:AT402)</f>
        <v>3.6</v>
      </c>
      <c r="AU400" s="98"/>
      <c r="AV400" s="98">
        <f>SUM(AV401:AV402)</f>
        <v>58.563333333333333</v>
      </c>
      <c r="AW400" s="98"/>
      <c r="AX400" s="98">
        <f>SUM(AX401:AX402)</f>
        <v>58.563333333333333</v>
      </c>
      <c r="AY400" s="98"/>
      <c r="AZ400" s="98">
        <f>SUM(AZ401:AZ402)</f>
        <v>58.563333333333333</v>
      </c>
      <c r="BA400" s="102"/>
      <c r="BB400" s="98">
        <f>SUM(BB401:BB402)</f>
        <v>96.8</v>
      </c>
      <c r="BC400" s="98"/>
      <c r="BD400" s="98">
        <f>SUM(BD401:BD402)</f>
        <v>96.8</v>
      </c>
      <c r="BE400" s="98"/>
      <c r="BF400" s="98">
        <f>SUM(BF401:BF402)</f>
        <v>96.8</v>
      </c>
      <c r="BG400" s="98"/>
      <c r="BH400" s="98">
        <f>SUM(BH401:BH402)</f>
        <v>40</v>
      </c>
      <c r="BI400" s="102"/>
      <c r="BJ400" s="98">
        <f>SUM(BJ401:BJ402)</f>
        <v>40</v>
      </c>
      <c r="BK400" s="102"/>
      <c r="BL400" s="98">
        <f>SUM(BL401:BL402)</f>
        <v>40</v>
      </c>
      <c r="BM400" s="102"/>
      <c r="BN400" s="98">
        <f>SUM(BN401:BN402)</f>
        <v>40</v>
      </c>
      <c r="BO400" s="102"/>
      <c r="BP400" s="98">
        <f>SUM(BP401:BP402)</f>
        <v>40</v>
      </c>
      <c r="BQ400" s="102"/>
      <c r="BR400" s="98">
        <f>SUM(BR401:BR402)</f>
        <v>40</v>
      </c>
      <c r="BS400" s="76"/>
    </row>
    <row r="401" spans="5:71" s="58" customFormat="1" outlineLevel="1" x14ac:dyDescent="0.25">
      <c r="G401" s="98" t="s">
        <v>684</v>
      </c>
      <c r="H401" s="99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100"/>
      <c r="T401" s="94">
        <v>40</v>
      </c>
      <c r="U401" s="100"/>
      <c r="V401" s="94">
        <v>40</v>
      </c>
      <c r="W401" s="100"/>
      <c r="X401" s="94">
        <v>40</v>
      </c>
      <c r="Y401" s="100"/>
      <c r="Z401" s="94">
        <v>40</v>
      </c>
      <c r="AA401" s="100"/>
      <c r="AB401" s="94">
        <v>40</v>
      </c>
      <c r="AC401" s="100"/>
      <c r="AD401" s="101">
        <f>165.78/3</f>
        <v>55.26</v>
      </c>
      <c r="AF401" s="101">
        <f>165.78/3</f>
        <v>55.26</v>
      </c>
      <c r="AG401" s="100"/>
      <c r="AH401" s="101">
        <f>165.78/3</f>
        <v>55.26</v>
      </c>
      <c r="AI401" s="100"/>
      <c r="AJ401" s="94">
        <f>103.14/3</f>
        <v>34.380000000000003</v>
      </c>
      <c r="AK401" s="100"/>
      <c r="AL401" s="94">
        <f>103.14/3</f>
        <v>34.380000000000003</v>
      </c>
      <c r="AM401" s="100"/>
      <c r="AN401" s="94">
        <f>103.14/3</f>
        <v>34.380000000000003</v>
      </c>
      <c r="AO401" s="100"/>
      <c r="AP401" s="94">
        <f>10.8/3</f>
        <v>3.6</v>
      </c>
      <c r="AQ401" s="100"/>
      <c r="AR401" s="94">
        <f>10.8/3</f>
        <v>3.6</v>
      </c>
      <c r="AS401" s="66"/>
      <c r="AT401" s="152">
        <f>10.8/3</f>
        <v>3.6</v>
      </c>
      <c r="AU401" s="100"/>
      <c r="AV401" s="94">
        <f>175.69/3</f>
        <v>58.563333333333333</v>
      </c>
      <c r="AW401" s="100"/>
      <c r="AX401" s="94">
        <f>175.69/3</f>
        <v>58.563333333333333</v>
      </c>
      <c r="AY401" s="100"/>
      <c r="AZ401" s="94">
        <f>175.69/3</f>
        <v>58.563333333333333</v>
      </c>
      <c r="BA401" s="100"/>
      <c r="BB401" s="94">
        <f>290.4/3</f>
        <v>96.8</v>
      </c>
      <c r="BC401" s="100"/>
      <c r="BD401" s="94">
        <f>290.4/3</f>
        <v>96.8</v>
      </c>
      <c r="BE401" s="100"/>
      <c r="BF401" s="94">
        <f>290.4/3</f>
        <v>96.8</v>
      </c>
      <c r="BG401" s="100"/>
      <c r="BH401" s="94">
        <v>40</v>
      </c>
      <c r="BI401" s="100"/>
      <c r="BJ401" s="94">
        <v>40</v>
      </c>
      <c r="BK401" s="100"/>
      <c r="BL401" s="94">
        <v>40</v>
      </c>
      <c r="BM401" s="100"/>
      <c r="BN401" s="94">
        <v>40</v>
      </c>
      <c r="BO401" s="100"/>
      <c r="BP401" s="94">
        <v>40</v>
      </c>
      <c r="BQ401" s="100"/>
      <c r="BR401" s="94">
        <v>40</v>
      </c>
      <c r="BS401" s="66"/>
    </row>
    <row r="402" spans="5:71" s="31" customFormat="1" outlineLevel="1" x14ac:dyDescent="0.25">
      <c r="T402" s="94">
        <v>0</v>
      </c>
      <c r="V402" s="94">
        <v>0</v>
      </c>
      <c r="X402" s="94">
        <v>0</v>
      </c>
      <c r="Z402" s="94">
        <v>0</v>
      </c>
      <c r="AB402" s="94">
        <v>0</v>
      </c>
      <c r="AD402" s="94">
        <v>0</v>
      </c>
      <c r="AF402" s="94">
        <v>0</v>
      </c>
      <c r="AH402" s="94">
        <v>0</v>
      </c>
      <c r="AJ402" s="94">
        <v>0</v>
      </c>
      <c r="AL402" s="94">
        <v>0</v>
      </c>
      <c r="AN402" s="94">
        <v>0</v>
      </c>
      <c r="AP402" s="94">
        <v>0</v>
      </c>
      <c r="AR402" s="94">
        <v>0</v>
      </c>
      <c r="AT402" s="152">
        <v>0</v>
      </c>
      <c r="AV402" s="94">
        <v>0</v>
      </c>
      <c r="AX402" s="94">
        <v>0</v>
      </c>
      <c r="AZ402" s="94">
        <v>0</v>
      </c>
      <c r="BB402" s="94">
        <v>0</v>
      </c>
      <c r="BD402" s="94">
        <v>0</v>
      </c>
      <c r="BF402" s="94">
        <v>0</v>
      </c>
      <c r="BH402" s="94">
        <v>0</v>
      </c>
      <c r="BJ402" s="94">
        <v>0</v>
      </c>
      <c r="BL402" s="94">
        <v>0</v>
      </c>
      <c r="BN402" s="94">
        <v>0</v>
      </c>
      <c r="BP402" s="94">
        <v>0</v>
      </c>
      <c r="BR402" s="94">
        <v>0</v>
      </c>
    </row>
    <row r="405" spans="5:71" s="14" customFormat="1" x14ac:dyDescent="0.25">
      <c r="E405" s="14" t="s">
        <v>745</v>
      </c>
      <c r="G405" s="21"/>
      <c r="I405" s="92"/>
      <c r="N405" s="19"/>
      <c r="R405" s="4"/>
      <c r="S405" s="20"/>
      <c r="T405" s="14">
        <f>T406+T422+T429+T431+T434+T437+T443+T453</f>
        <v>6566.1225000000004</v>
      </c>
      <c r="U405" s="22"/>
      <c r="V405" s="14">
        <f>V406+V422+V429+V431+V434+V437+V443+V453</f>
        <v>12888.122499999999</v>
      </c>
      <c r="W405" s="22"/>
      <c r="X405" s="14">
        <f>X406+X422+X429+X431+X434+X437+X443+X453</f>
        <v>12888.122499999999</v>
      </c>
      <c r="Y405" s="22"/>
      <c r="Z405" s="14">
        <f>Z406+Z422+Z429+Z431+Z434+Z437+Z443+Z453</f>
        <v>13213.122499999999</v>
      </c>
      <c r="AA405" s="22"/>
      <c r="AB405" s="14">
        <f>AB406+AB422+AB429+AB431+AB434+AB437+AB443+AB453</f>
        <v>16679.692499999997</v>
      </c>
      <c r="AC405" s="22"/>
      <c r="AD405" s="14">
        <f>AD406+AD422+AD429+AD431+AD434+AD437+AD443+AD453</f>
        <v>18141.509166666667</v>
      </c>
      <c r="AE405" s="18"/>
      <c r="AF405" s="14">
        <f>AF406+AF422+AF429+AF431+AF434+AF437+AF443+AF453</f>
        <v>18205.509166666667</v>
      </c>
      <c r="AG405" s="22"/>
      <c r="AH405" s="14">
        <f>AH406+AH422+AH429+AH431+AH434+AH437+AH443+AH453</f>
        <v>18104.509166666667</v>
      </c>
      <c r="AI405" s="22"/>
      <c r="AJ405" s="14">
        <f>AJ406+AJ422+AJ429+AJ431+AJ434+AJ437+AJ443+AJ453</f>
        <v>18793.592499999999</v>
      </c>
      <c r="AK405" s="22"/>
      <c r="AL405" s="14">
        <f>AL406+AL422+AL429+AL431+AL434+AL437+AL443+AL453</f>
        <v>14890.592499999999</v>
      </c>
      <c r="AM405" s="22"/>
      <c r="AN405" s="14">
        <f>AN406+AN422+AN429+AN431+AN434+AN437+AN443+AN453</f>
        <v>15029.865833333333</v>
      </c>
      <c r="AO405" s="22"/>
      <c r="AP405" s="14">
        <f>AP406+AP422+AP429+AP431+AP434+AP437+AP443+AP453</f>
        <v>16997.009166666667</v>
      </c>
      <c r="AQ405" s="22"/>
      <c r="AR405" s="14">
        <f>AR406+AR422+AR429+AR431+AR434+AR437+AR443+AR453</f>
        <v>16970.989166666666</v>
      </c>
      <c r="AS405" s="22"/>
      <c r="AT405" s="125">
        <f>AT406+AT422+AT429+AT431+AT434+AT437+AT443+AT453</f>
        <v>17042.369166666664</v>
      </c>
      <c r="AU405" s="22"/>
      <c r="AV405" s="14">
        <f>AV406+AV422+AV429+AV431+AV434+AV437+AV443+AV453</f>
        <v>18413.213333333333</v>
      </c>
      <c r="AW405" s="22"/>
      <c r="AX405" s="14">
        <f>AX406+AX422+AX429+AX431+AX434+AX437+AX443+AX453</f>
        <v>17593.173333333336</v>
      </c>
      <c r="AY405" s="22"/>
      <c r="AZ405" s="14">
        <f>AZ406+AZ422+AZ429+AZ431+AZ434+AZ437+AZ443+AZ453</f>
        <v>17355.653333333335</v>
      </c>
      <c r="BA405" s="22"/>
      <c r="BB405" s="14">
        <f>BB406+BB422+BB429+BB431+BB434+BB437+BB443+BB453</f>
        <v>17616.8</v>
      </c>
      <c r="BC405" s="22"/>
      <c r="BD405" s="14">
        <f>BD406+BD422+BD429+BD431+BD434+BD437+BD443+BD453</f>
        <v>24597.05</v>
      </c>
      <c r="BE405" s="22"/>
      <c r="BF405" s="14">
        <f>BF406+BF422+BF429+BF431+BF434+BF437+BF443+BF453</f>
        <v>24462.539999999997</v>
      </c>
      <c r="BG405" s="22"/>
      <c r="BH405" s="14">
        <f>BH406+BH422+BH429+BH431+BH434+BH437+BH443+BH453</f>
        <v>25988.7925</v>
      </c>
      <c r="BI405" s="22"/>
      <c r="BJ405" s="14">
        <f>BJ406+BJ422+BJ429+BJ431+BJ434+BJ437+BJ443+BJ453</f>
        <v>25860.7925</v>
      </c>
      <c r="BK405" s="22"/>
      <c r="BL405" s="14">
        <f>BL406+BL422+BL429+BL431+BL434+BL437+BL443+BL453</f>
        <v>35235.792500000003</v>
      </c>
      <c r="BM405" s="22"/>
      <c r="BN405" s="14">
        <f>BN406+BN422+BN429+BN431+BN434+BN437+BN443+BN453</f>
        <v>35235.792500000003</v>
      </c>
      <c r="BO405" s="22"/>
      <c r="BP405" s="14">
        <f>BP406+BP422+BP429+BP431+BP434+BP437+BP443+BP453</f>
        <v>35235.792500000003</v>
      </c>
      <c r="BQ405" s="22"/>
      <c r="BR405" s="14">
        <f>BR406+BR422+BR429+BR431+BR434+BR437+BR443+BR453</f>
        <v>35235.792500000003</v>
      </c>
      <c r="BS405" s="22"/>
    </row>
    <row r="406" spans="5:71" x14ac:dyDescent="0.25">
      <c r="F406" s="4" t="s">
        <v>582</v>
      </c>
      <c r="T406" s="4">
        <f>T407+T410+T413+T416+T419</f>
        <v>0</v>
      </c>
      <c r="V406" s="4">
        <f>V407+V410+V413+V416+V419</f>
        <v>0</v>
      </c>
      <c r="X406" s="4">
        <f>X407+X410+X413+X416+X419</f>
        <v>0</v>
      </c>
      <c r="Z406" s="4">
        <f>Z407+Z410+Z413+Z416+Z419</f>
        <v>0</v>
      </c>
      <c r="AB406" s="4">
        <f>AB407+AB410+AB413+AB416+AB419</f>
        <v>5085</v>
      </c>
      <c r="AD406" s="4">
        <f>AD407+AD410+AD413+AD416+AD419</f>
        <v>5208.5</v>
      </c>
      <c r="AF406" s="4">
        <f>AF407+AF410+AF413+AF416+AF419</f>
        <v>5208.5</v>
      </c>
      <c r="AH406" s="4">
        <f>AH407+AH410+AH413+AH416+AH419</f>
        <v>5208.5</v>
      </c>
      <c r="AJ406" s="4">
        <f>AJ407+AJ410+AJ413+AJ416+AJ419</f>
        <v>5208.5</v>
      </c>
      <c r="AL406" s="4">
        <f>AL407+AL410+AL413+AL416+AL419</f>
        <v>5208.5</v>
      </c>
      <c r="AN406" s="4">
        <f>AN407+AN410+AN413+AN416+AN419</f>
        <v>5208.5</v>
      </c>
      <c r="AP406" s="4">
        <f>AP407+AP410+AP413+AP416+AP419</f>
        <v>6333.1</v>
      </c>
      <c r="AR406" s="4">
        <f>AR407+AR410+AR413+AR416+AR419</f>
        <v>6333.1</v>
      </c>
      <c r="AT406" s="121">
        <f>AT407+AT410+AT413+AT416+AT419</f>
        <v>6333.1</v>
      </c>
      <c r="AV406" s="4">
        <f>AV407+AV410+AV413+AV416+AV419</f>
        <v>6816.66</v>
      </c>
      <c r="AX406" s="4">
        <f>AX407+AX410+AX413+AX416+AX419</f>
        <v>6298.8</v>
      </c>
      <c r="AZ406" s="4">
        <f>AZ407+AZ410+AZ413+AZ416+AZ419</f>
        <v>6298.8</v>
      </c>
      <c r="BB406" s="4">
        <f>BB407+BB410+BB413+BB416+BB419</f>
        <v>6434</v>
      </c>
      <c r="BD406" s="4">
        <f>BD407+BD410+BD413+BD416+BD419</f>
        <v>8080</v>
      </c>
      <c r="BF406" s="4">
        <f>BF407+BF410+BF413+BF416+BF419</f>
        <v>8728.6</v>
      </c>
      <c r="BH406" s="4">
        <f>BH407+BH410+BH413+BH416+BH419</f>
        <v>8728.6</v>
      </c>
      <c r="BJ406" s="4">
        <f>BJ407+BJ410+BJ413+BJ416+BJ419</f>
        <v>8728.6</v>
      </c>
      <c r="BL406" s="4">
        <f>BL407+BL410+BL413+BL416+BL419</f>
        <v>11781.6</v>
      </c>
      <c r="BN406" s="4">
        <f>BN407+BN410+BN413+BN416+BN419</f>
        <v>11781.6</v>
      </c>
      <c r="BP406" s="4">
        <f>BP407+BP410+BP413+BP416+BP419</f>
        <v>11781.6</v>
      </c>
      <c r="BR406" s="4">
        <f>BR407+BR410+BR413+BR416+BR419</f>
        <v>11781.6</v>
      </c>
    </row>
    <row r="407" spans="5:71" outlineLevel="1" x14ac:dyDescent="0.25">
      <c r="G407" s="4" t="s">
        <v>587</v>
      </c>
      <c r="H407" s="1"/>
      <c r="I407" s="1"/>
      <c r="J407" s="1"/>
      <c r="P407" s="31"/>
      <c r="T407" s="4">
        <f>T408+T409</f>
        <v>0</v>
      </c>
      <c r="U407" s="16"/>
      <c r="V407" s="4">
        <f>V408+V409</f>
        <v>0</v>
      </c>
      <c r="W407" s="16"/>
      <c r="X407" s="4">
        <f>X408+X409</f>
        <v>0</v>
      </c>
      <c r="Y407" s="16"/>
      <c r="Z407" s="4">
        <f>Z408+Z409</f>
        <v>0</v>
      </c>
      <c r="AA407" s="16"/>
      <c r="AB407" s="4">
        <f>AB408+AB409</f>
        <v>2485</v>
      </c>
      <c r="AC407" s="16"/>
      <c r="AD407" s="4">
        <f>AD408+AD409</f>
        <v>2485</v>
      </c>
      <c r="AE407" s="16"/>
      <c r="AF407" s="4">
        <f>AF408+AF409</f>
        <v>2485</v>
      </c>
      <c r="AG407" s="16"/>
      <c r="AH407" s="4">
        <f>AH408+AH409</f>
        <v>2485</v>
      </c>
      <c r="AI407" s="16"/>
      <c r="AJ407" s="4">
        <f>AJ408+AJ409</f>
        <v>2485</v>
      </c>
      <c r="AK407" s="16"/>
      <c r="AL407" s="4">
        <f>AL408+AL409</f>
        <v>2485</v>
      </c>
      <c r="AM407" s="16"/>
      <c r="AN407" s="4">
        <f>AN408+AN409</f>
        <v>2485</v>
      </c>
      <c r="AO407" s="16"/>
      <c r="AP407" s="4">
        <f>AP408+AP409</f>
        <v>2485</v>
      </c>
      <c r="AQ407" s="16"/>
      <c r="AR407" s="4">
        <f>AR408+AR409</f>
        <v>2485</v>
      </c>
      <c r="AS407" s="16"/>
      <c r="AT407" s="121">
        <f>AT408+AT409</f>
        <v>2485</v>
      </c>
      <c r="AU407" s="16"/>
      <c r="AV407" s="4">
        <f>AV408+AV409</f>
        <v>2721</v>
      </c>
      <c r="AW407" s="16"/>
      <c r="AX407" s="4">
        <f>AX408+AX409</f>
        <v>2721</v>
      </c>
      <c r="AY407" s="16"/>
      <c r="AZ407" s="4">
        <f>AZ408+AZ409</f>
        <v>2721</v>
      </c>
      <c r="BA407" s="16"/>
      <c r="BB407" s="4">
        <f>BB408+BB409</f>
        <v>2452</v>
      </c>
      <c r="BC407" s="16"/>
      <c r="BD407" s="4">
        <f>BD408+BD409</f>
        <v>2452</v>
      </c>
      <c r="BE407" s="16"/>
      <c r="BF407" s="4">
        <f>BF408+BF409</f>
        <v>2452</v>
      </c>
      <c r="BG407" s="16"/>
      <c r="BH407" s="4">
        <f>BH408+BH409</f>
        <v>2452</v>
      </c>
      <c r="BI407" s="16"/>
      <c r="BJ407" s="4">
        <f>BJ408+BJ409</f>
        <v>2452</v>
      </c>
      <c r="BK407" s="16"/>
      <c r="BL407" s="4">
        <f>BL408+BL409</f>
        <v>2452</v>
      </c>
      <c r="BM407" s="16"/>
      <c r="BN407" s="4">
        <f>BN408+BN409</f>
        <v>2452</v>
      </c>
      <c r="BO407" s="16"/>
      <c r="BP407" s="4">
        <f>BP408+BP409</f>
        <v>2452</v>
      </c>
      <c r="BQ407" s="16"/>
      <c r="BR407" s="4">
        <f>BR408+BR409</f>
        <v>2452</v>
      </c>
      <c r="BS407" s="16"/>
    </row>
    <row r="408" spans="5:71" s="1" customFormat="1" outlineLevel="2" x14ac:dyDescent="0.25">
      <c r="E408" s="4"/>
      <c r="F408" s="4"/>
      <c r="G408" s="4"/>
      <c r="H408" s="1" t="s">
        <v>584</v>
      </c>
      <c r="I408" s="4"/>
      <c r="N408" s="23"/>
      <c r="P408" s="52"/>
      <c r="S408" s="18"/>
      <c r="T408" s="53">
        <v>0</v>
      </c>
      <c r="U408" s="18"/>
      <c r="V408" s="53">
        <v>0</v>
      </c>
      <c r="W408" s="18"/>
      <c r="X408" s="53">
        <v>0</v>
      </c>
      <c r="Y408" s="18"/>
      <c r="Z408" s="53">
        <v>0</v>
      </c>
      <c r="AA408" s="18"/>
      <c r="AB408" s="53">
        <v>1066</v>
      </c>
      <c r="AC408" s="18"/>
      <c r="AD408" s="53">
        <v>1066</v>
      </c>
      <c r="AE408" s="18"/>
      <c r="AF408" s="53">
        <v>1066</v>
      </c>
      <c r="AG408" s="18"/>
      <c r="AH408" s="53">
        <v>1066</v>
      </c>
      <c r="AI408" s="18"/>
      <c r="AJ408" s="53">
        <v>1066</v>
      </c>
      <c r="AK408" s="18"/>
      <c r="AL408" s="53">
        <v>1066</v>
      </c>
      <c r="AM408" s="18"/>
      <c r="AN408" s="53">
        <v>1066</v>
      </c>
      <c r="AO408" s="18"/>
      <c r="AP408" s="53">
        <v>1066</v>
      </c>
      <c r="AQ408" s="18"/>
      <c r="AR408" s="53">
        <v>1066</v>
      </c>
      <c r="AS408" s="18"/>
      <c r="AT408" s="148">
        <v>1066</v>
      </c>
      <c r="AU408" s="18"/>
      <c r="AV408" s="53">
        <v>1163</v>
      </c>
      <c r="AW408" s="18"/>
      <c r="AX408" s="53">
        <v>1163</v>
      </c>
      <c r="AY408" s="18"/>
      <c r="AZ408" s="53">
        <v>1163</v>
      </c>
      <c r="BA408" s="18"/>
      <c r="BB408" s="53">
        <v>894</v>
      </c>
      <c r="BC408" s="18"/>
      <c r="BD408" s="53">
        <v>894</v>
      </c>
      <c r="BE408" s="18"/>
      <c r="BF408" s="53">
        <v>894</v>
      </c>
      <c r="BG408" s="18"/>
      <c r="BH408" s="53">
        <v>894</v>
      </c>
      <c r="BI408" s="18"/>
      <c r="BJ408" s="53">
        <v>894</v>
      </c>
      <c r="BK408" s="18"/>
      <c r="BL408" s="53">
        <v>894</v>
      </c>
      <c r="BM408" s="18"/>
      <c r="BN408" s="53">
        <v>894</v>
      </c>
      <c r="BO408" s="18"/>
      <c r="BP408" s="53">
        <v>894</v>
      </c>
      <c r="BQ408" s="18"/>
      <c r="BR408" s="53">
        <v>894</v>
      </c>
      <c r="BS408" s="18"/>
    </row>
    <row r="409" spans="5:71" s="1" customFormat="1" outlineLevel="2" x14ac:dyDescent="0.25">
      <c r="E409" s="4"/>
      <c r="F409" s="4"/>
      <c r="G409" s="4"/>
      <c r="H409" s="1" t="s">
        <v>585</v>
      </c>
      <c r="J409" s="4"/>
      <c r="N409" s="23"/>
      <c r="P409" s="52"/>
      <c r="S409" s="18"/>
      <c r="T409" s="53">
        <v>0</v>
      </c>
      <c r="U409" s="18"/>
      <c r="V409" s="53">
        <v>0</v>
      </c>
      <c r="W409" s="18"/>
      <c r="X409" s="53">
        <v>0</v>
      </c>
      <c r="Y409" s="18"/>
      <c r="Z409" s="53">
        <v>0</v>
      </c>
      <c r="AA409" s="18"/>
      <c r="AB409" s="53">
        <v>1419</v>
      </c>
      <c r="AC409" s="18"/>
      <c r="AD409" s="53">
        <v>1419</v>
      </c>
      <c r="AE409" s="18"/>
      <c r="AF409" s="53">
        <v>1419</v>
      </c>
      <c r="AG409" s="18"/>
      <c r="AH409" s="53">
        <v>1419</v>
      </c>
      <c r="AI409" s="18"/>
      <c r="AJ409" s="53">
        <v>1419</v>
      </c>
      <c r="AK409" s="18"/>
      <c r="AL409" s="53">
        <v>1419</v>
      </c>
      <c r="AM409" s="18"/>
      <c r="AN409" s="53">
        <v>1419</v>
      </c>
      <c r="AO409" s="18"/>
      <c r="AP409" s="53">
        <v>1419</v>
      </c>
      <c r="AQ409" s="18"/>
      <c r="AR409" s="53">
        <v>1419</v>
      </c>
      <c r="AS409" s="18"/>
      <c r="AT409" s="148">
        <v>1419</v>
      </c>
      <c r="AU409" s="18"/>
      <c r="AV409" s="53">
        <v>1558</v>
      </c>
      <c r="AW409" s="18"/>
      <c r="AX409" s="53">
        <v>1558</v>
      </c>
      <c r="AY409" s="18"/>
      <c r="AZ409" s="53">
        <v>1558</v>
      </c>
      <c r="BA409" s="18"/>
      <c r="BB409" s="53">
        <v>1558</v>
      </c>
      <c r="BC409" s="18"/>
      <c r="BD409" s="53">
        <v>1558</v>
      </c>
      <c r="BE409" s="18"/>
      <c r="BF409" s="53">
        <v>1558</v>
      </c>
      <c r="BG409" s="18"/>
      <c r="BH409" s="53">
        <v>1558</v>
      </c>
      <c r="BI409" s="18"/>
      <c r="BJ409" s="53">
        <v>1558</v>
      </c>
      <c r="BK409" s="18"/>
      <c r="BL409" s="53">
        <v>1558</v>
      </c>
      <c r="BM409" s="18"/>
      <c r="BN409" s="53">
        <v>1558</v>
      </c>
      <c r="BO409" s="18"/>
      <c r="BP409" s="53">
        <v>1558</v>
      </c>
      <c r="BQ409" s="18"/>
      <c r="BR409" s="53">
        <v>1558</v>
      </c>
      <c r="BS409" s="18"/>
    </row>
    <row r="410" spans="5:71" outlineLevel="1" x14ac:dyDescent="0.25">
      <c r="G410" s="4" t="s">
        <v>586</v>
      </c>
      <c r="H410" s="1"/>
      <c r="I410" s="1"/>
      <c r="J410" s="1"/>
      <c r="P410" s="31"/>
      <c r="T410" s="4">
        <f>T411+T412</f>
        <v>0</v>
      </c>
      <c r="U410" s="16"/>
      <c r="V410" s="4">
        <f>V411+V412</f>
        <v>0</v>
      </c>
      <c r="W410" s="16"/>
      <c r="X410" s="4">
        <f>X411+X412</f>
        <v>0</v>
      </c>
      <c r="Y410" s="16"/>
      <c r="Z410" s="4">
        <f>Z411+Z412</f>
        <v>0</v>
      </c>
      <c r="AA410" s="16"/>
      <c r="AB410" s="4">
        <f>AB411+AB412</f>
        <v>2600</v>
      </c>
      <c r="AC410" s="16"/>
      <c r="AD410" s="4">
        <f>AD411+AD412</f>
        <v>2723.5</v>
      </c>
      <c r="AE410" s="16"/>
      <c r="AF410" s="4">
        <f>AF411+AF412</f>
        <v>2723.5</v>
      </c>
      <c r="AG410" s="16"/>
      <c r="AH410" s="4">
        <f>AH411+AH412</f>
        <v>2723.5</v>
      </c>
      <c r="AI410" s="16"/>
      <c r="AJ410" s="4">
        <f>AJ411+AJ412</f>
        <v>2723.5</v>
      </c>
      <c r="AK410" s="16"/>
      <c r="AL410" s="4">
        <f>AL411+AL412</f>
        <v>2723.5</v>
      </c>
      <c r="AM410" s="16"/>
      <c r="AN410" s="4">
        <f>AN411+AN412</f>
        <v>2723.5</v>
      </c>
      <c r="AO410" s="16"/>
      <c r="AP410" s="4">
        <f>AP411+AP412</f>
        <v>2723.5</v>
      </c>
      <c r="AQ410" s="16"/>
      <c r="AR410" s="4">
        <f>AR411+AR412</f>
        <v>2723.5</v>
      </c>
      <c r="AS410" s="16"/>
      <c r="AT410" s="121">
        <f>AT411+AT412</f>
        <v>2723.5</v>
      </c>
      <c r="AU410" s="16"/>
      <c r="AV410" s="4">
        <f>AV411+AV412</f>
        <v>2584</v>
      </c>
      <c r="AW410" s="16"/>
      <c r="AX410" s="4">
        <f>AX411+AX412</f>
        <v>2584</v>
      </c>
      <c r="AY410" s="16"/>
      <c r="AZ410" s="4">
        <f>AZ411+AZ412</f>
        <v>2584</v>
      </c>
      <c r="BA410" s="16"/>
      <c r="BB410" s="4">
        <f>BB411+BB412</f>
        <v>2584</v>
      </c>
      <c r="BC410" s="16"/>
      <c r="BD410" s="4">
        <f>BD411+BD412</f>
        <v>2584</v>
      </c>
      <c r="BE410" s="16"/>
      <c r="BF410" s="4">
        <f>BF411+BF412</f>
        <v>2584</v>
      </c>
      <c r="BG410" s="16"/>
      <c r="BH410" s="4">
        <f>BH411+BH412</f>
        <v>2584</v>
      </c>
      <c r="BI410" s="16"/>
      <c r="BJ410" s="4">
        <f>BJ411+BJ412</f>
        <v>2584</v>
      </c>
      <c r="BK410" s="16"/>
      <c r="BL410" s="4">
        <f>BL411+BL412</f>
        <v>2584</v>
      </c>
      <c r="BM410" s="16"/>
      <c r="BN410" s="4">
        <f>BN411+BN412</f>
        <v>2584</v>
      </c>
      <c r="BO410" s="16"/>
      <c r="BP410" s="4">
        <f>BP411+BP412</f>
        <v>2584</v>
      </c>
      <c r="BQ410" s="16"/>
      <c r="BR410" s="4">
        <f>BR411+BR412</f>
        <v>2584</v>
      </c>
      <c r="BS410" s="16"/>
    </row>
    <row r="411" spans="5:71" s="1" customFormat="1" outlineLevel="2" x14ac:dyDescent="0.25">
      <c r="E411" s="4"/>
      <c r="F411" s="4"/>
      <c r="G411" s="4"/>
      <c r="H411" s="1" t="s">
        <v>584</v>
      </c>
      <c r="I411" s="4"/>
      <c r="N411" s="23"/>
      <c r="P411" s="52"/>
      <c r="S411" s="18"/>
      <c r="T411" s="53">
        <v>0</v>
      </c>
      <c r="U411" s="18"/>
      <c r="V411" s="53">
        <v>0</v>
      </c>
      <c r="W411" s="18"/>
      <c r="X411" s="53">
        <v>0</v>
      </c>
      <c r="Y411" s="18"/>
      <c r="Z411" s="53">
        <v>0</v>
      </c>
      <c r="AA411" s="18"/>
      <c r="AB411" s="53">
        <v>1181</v>
      </c>
      <c r="AC411" s="18"/>
      <c r="AD411" s="53">
        <v>1304.5</v>
      </c>
      <c r="AE411" s="18"/>
      <c r="AF411" s="53">
        <v>1304.5</v>
      </c>
      <c r="AG411" s="18"/>
      <c r="AH411" s="53">
        <v>1304.5</v>
      </c>
      <c r="AI411" s="18"/>
      <c r="AJ411" s="53">
        <v>1304.5</v>
      </c>
      <c r="AK411" s="18"/>
      <c r="AL411" s="53">
        <v>1304.5</v>
      </c>
      <c r="AM411" s="18"/>
      <c r="AN411" s="53">
        <v>1304.5</v>
      </c>
      <c r="AO411" s="18"/>
      <c r="AP411" s="53">
        <v>1304.5</v>
      </c>
      <c r="AQ411" s="18"/>
      <c r="AR411" s="53">
        <v>1304.5</v>
      </c>
      <c r="AS411" s="18"/>
      <c r="AT411" s="148">
        <v>1304.5</v>
      </c>
      <c r="AU411" s="18"/>
      <c r="AV411" s="53">
        <v>1122</v>
      </c>
      <c r="AW411" s="18"/>
      <c r="AX411" s="53">
        <v>1122</v>
      </c>
      <c r="AY411" s="18"/>
      <c r="AZ411" s="53">
        <v>1122</v>
      </c>
      <c r="BA411" s="18"/>
      <c r="BB411" s="53">
        <v>1122</v>
      </c>
      <c r="BC411" s="18"/>
      <c r="BD411" s="53">
        <v>1122</v>
      </c>
      <c r="BE411" s="18"/>
      <c r="BF411" s="53">
        <v>1122</v>
      </c>
      <c r="BG411" s="18"/>
      <c r="BH411" s="53">
        <v>1122</v>
      </c>
      <c r="BI411" s="18"/>
      <c r="BJ411" s="53">
        <v>1122</v>
      </c>
      <c r="BK411" s="18"/>
      <c r="BL411" s="53">
        <v>1122</v>
      </c>
      <c r="BM411" s="18"/>
      <c r="BN411" s="53">
        <v>1122</v>
      </c>
      <c r="BO411" s="18"/>
      <c r="BP411" s="53">
        <v>1122</v>
      </c>
      <c r="BQ411" s="18"/>
      <c r="BR411" s="53">
        <v>1122</v>
      </c>
      <c r="BS411" s="18"/>
    </row>
    <row r="412" spans="5:71" s="1" customFormat="1" outlineLevel="2" x14ac:dyDescent="0.25">
      <c r="E412" s="4"/>
      <c r="F412" s="4"/>
      <c r="G412" s="4"/>
      <c r="H412" s="1" t="s">
        <v>585</v>
      </c>
      <c r="J412" s="4"/>
      <c r="N412" s="23"/>
      <c r="P412" s="52"/>
      <c r="S412" s="18"/>
      <c r="T412" s="53">
        <v>0</v>
      </c>
      <c r="U412" s="18"/>
      <c r="V412" s="53">
        <v>0</v>
      </c>
      <c r="W412" s="18"/>
      <c r="X412" s="53">
        <v>0</v>
      </c>
      <c r="Y412" s="18"/>
      <c r="Z412" s="53">
        <v>0</v>
      </c>
      <c r="AA412" s="18"/>
      <c r="AB412" s="53">
        <v>1419</v>
      </c>
      <c r="AC412" s="18"/>
      <c r="AD412" s="53">
        <v>1419</v>
      </c>
      <c r="AE412" s="18"/>
      <c r="AF412" s="53">
        <v>1419</v>
      </c>
      <c r="AG412" s="18"/>
      <c r="AH412" s="53">
        <v>1419</v>
      </c>
      <c r="AI412" s="18"/>
      <c r="AJ412" s="53">
        <v>1419</v>
      </c>
      <c r="AK412" s="18"/>
      <c r="AL412" s="53">
        <v>1419</v>
      </c>
      <c r="AM412" s="18"/>
      <c r="AN412" s="53">
        <v>1419</v>
      </c>
      <c r="AO412" s="18"/>
      <c r="AP412" s="53">
        <v>1419</v>
      </c>
      <c r="AQ412" s="18"/>
      <c r="AR412" s="53">
        <v>1419</v>
      </c>
      <c r="AS412" s="18"/>
      <c r="AT412" s="148">
        <v>1419</v>
      </c>
      <c r="AU412" s="18"/>
      <c r="AV412" s="53">
        <v>1462</v>
      </c>
      <c r="AW412" s="18"/>
      <c r="AX412" s="53">
        <v>1462</v>
      </c>
      <c r="AY412" s="18"/>
      <c r="AZ412" s="53">
        <v>1462</v>
      </c>
      <c r="BA412" s="18"/>
      <c r="BB412" s="53">
        <v>1462</v>
      </c>
      <c r="BC412" s="18"/>
      <c r="BD412" s="53">
        <v>1462</v>
      </c>
      <c r="BE412" s="18"/>
      <c r="BF412" s="53">
        <v>1462</v>
      </c>
      <c r="BG412" s="18"/>
      <c r="BH412" s="53">
        <v>1462</v>
      </c>
      <c r="BI412" s="18"/>
      <c r="BJ412" s="53">
        <v>1462</v>
      </c>
      <c r="BK412" s="18"/>
      <c r="BL412" s="53">
        <v>1462</v>
      </c>
      <c r="BM412" s="18"/>
      <c r="BN412" s="53">
        <v>1462</v>
      </c>
      <c r="BO412" s="18"/>
      <c r="BP412" s="53">
        <v>1462</v>
      </c>
      <c r="BQ412" s="18"/>
      <c r="BR412" s="53">
        <v>1462</v>
      </c>
      <c r="BS412" s="18"/>
    </row>
    <row r="413" spans="5:71" outlineLevel="1" x14ac:dyDescent="0.25">
      <c r="G413" s="4" t="s">
        <v>590</v>
      </c>
      <c r="H413" s="1"/>
      <c r="I413" s="63"/>
      <c r="J413" s="63"/>
      <c r="P413" s="31"/>
      <c r="T413" s="4">
        <f>T414+T415</f>
        <v>0</v>
      </c>
      <c r="U413" s="16"/>
      <c r="V413" s="4">
        <f>V414+V415</f>
        <v>0</v>
      </c>
      <c r="W413" s="16"/>
      <c r="X413" s="4">
        <f>X414+X415</f>
        <v>0</v>
      </c>
      <c r="Y413" s="16"/>
      <c r="Z413" s="4">
        <f>Z414+Z415</f>
        <v>0</v>
      </c>
      <c r="AA413" s="16"/>
      <c r="AB413" s="4">
        <f>AB414+AB415</f>
        <v>0</v>
      </c>
      <c r="AC413" s="16"/>
      <c r="AD413" s="4">
        <f>AD414+AD415</f>
        <v>0</v>
      </c>
      <c r="AE413" s="16"/>
      <c r="AF413" s="4">
        <f>AF414+AF415</f>
        <v>0</v>
      </c>
      <c r="AG413" s="16"/>
      <c r="AH413" s="4">
        <f>AH414+AH415</f>
        <v>0</v>
      </c>
      <c r="AI413" s="16"/>
      <c r="AJ413" s="4">
        <f>AJ414+AJ415</f>
        <v>0</v>
      </c>
      <c r="AK413" s="16"/>
      <c r="AL413" s="4">
        <f>AL414+AL415</f>
        <v>0</v>
      </c>
      <c r="AM413" s="16"/>
      <c r="AN413" s="4">
        <f>AN414+AN415</f>
        <v>0</v>
      </c>
      <c r="AO413" s="16"/>
      <c r="AP413" s="4">
        <f>AP414+AP415*0.8</f>
        <v>1124.5999999999999</v>
      </c>
      <c r="AQ413" s="16"/>
      <c r="AR413" s="4">
        <f>AR414+AR415*0.8</f>
        <v>1124.5999999999999</v>
      </c>
      <c r="AS413" s="16"/>
      <c r="AT413" s="121">
        <f>AT414+AT415*0.8</f>
        <v>1124.5999999999999</v>
      </c>
      <c r="AU413" s="16"/>
      <c r="AV413" s="4">
        <f>AV414+AV415*0.8</f>
        <v>1511.6599999999996</v>
      </c>
      <c r="AW413" s="16"/>
      <c r="AX413" s="4">
        <f>AX414+AX415*0.8</f>
        <v>993.8</v>
      </c>
      <c r="AY413" s="16"/>
      <c r="AZ413" s="4">
        <f>AZ414+AZ415*0.8</f>
        <v>993.8</v>
      </c>
      <c r="BA413" s="16"/>
      <c r="BB413" s="4">
        <f>BB414+BB415*0.8</f>
        <v>1398</v>
      </c>
      <c r="BC413" s="16"/>
      <c r="BD413" s="4">
        <f>BD414+BD415*0.8</f>
        <v>1398</v>
      </c>
      <c r="BE413" s="16"/>
      <c r="BF413" s="4">
        <f>BF414+BF415*0.8</f>
        <v>1398</v>
      </c>
      <c r="BG413" s="16"/>
      <c r="BH413" s="4">
        <f>BH414+BH415*0.8</f>
        <v>1398</v>
      </c>
      <c r="BI413" s="16"/>
      <c r="BJ413" s="4">
        <f>BJ414+BJ415*0.8</f>
        <v>1398</v>
      </c>
      <c r="BK413" s="16"/>
      <c r="BL413" s="4">
        <f>BL414+BL415*0.8</f>
        <v>1398</v>
      </c>
      <c r="BM413" s="16"/>
      <c r="BN413" s="4">
        <f>BN414+BN415*0.8</f>
        <v>1398</v>
      </c>
      <c r="BO413" s="16"/>
      <c r="BP413" s="4">
        <f>BP414+BP415*0.8</f>
        <v>1398</v>
      </c>
      <c r="BQ413" s="16"/>
      <c r="BR413" s="4">
        <f>BR414+BR415*0.8</f>
        <v>1398</v>
      </c>
      <c r="BS413" s="16"/>
    </row>
    <row r="414" spans="5:71" s="63" customFormat="1" outlineLevel="2" x14ac:dyDescent="0.25">
      <c r="E414" s="62"/>
      <c r="F414" s="62"/>
      <c r="G414" s="62"/>
      <c r="H414" s="63" t="s">
        <v>584</v>
      </c>
      <c r="I414" s="4"/>
      <c r="P414" s="64"/>
      <c r="S414" s="64"/>
      <c r="T414" s="65">
        <v>0</v>
      </c>
      <c r="U414" s="64"/>
      <c r="V414" s="65">
        <v>0</v>
      </c>
      <c r="W414" s="64"/>
      <c r="X414" s="65">
        <v>0</v>
      </c>
      <c r="Y414" s="64"/>
      <c r="Z414" s="65">
        <v>0</v>
      </c>
      <c r="AA414" s="64"/>
      <c r="AB414" s="65">
        <v>0</v>
      </c>
      <c r="AC414" s="64"/>
      <c r="AD414" s="65">
        <v>0</v>
      </c>
      <c r="AE414" s="64"/>
      <c r="AF414" s="65">
        <v>0</v>
      </c>
      <c r="AG414" s="64"/>
      <c r="AH414" s="65">
        <v>0</v>
      </c>
      <c r="AI414" s="64"/>
      <c r="AJ414" s="65">
        <v>0</v>
      </c>
      <c r="AK414" s="64"/>
      <c r="AL414" s="65">
        <v>0</v>
      </c>
      <c r="AM414" s="64"/>
      <c r="AN414" s="65">
        <v>0</v>
      </c>
      <c r="AO414" s="64"/>
      <c r="AP414" s="65">
        <v>691</v>
      </c>
      <c r="AQ414" s="76"/>
      <c r="AR414" s="65">
        <v>691</v>
      </c>
      <c r="AS414" s="76"/>
      <c r="AT414" s="147">
        <v>691</v>
      </c>
      <c r="AU414" s="76"/>
      <c r="AV414" s="65">
        <f>4928.86-3750</f>
        <v>1178.8599999999997</v>
      </c>
      <c r="AW414" s="64"/>
      <c r="AX414" s="65">
        <v>661</v>
      </c>
      <c r="AY414" s="64"/>
      <c r="AZ414" s="65">
        <v>661</v>
      </c>
      <c r="BA414" s="64"/>
      <c r="BB414" s="65">
        <v>810</v>
      </c>
      <c r="BC414" s="64"/>
      <c r="BD414" s="65">
        <v>810</v>
      </c>
      <c r="BE414" s="64"/>
      <c r="BF414" s="65">
        <v>810</v>
      </c>
      <c r="BG414" s="64"/>
      <c r="BH414" s="65">
        <v>810</v>
      </c>
      <c r="BI414" s="64"/>
      <c r="BJ414" s="65">
        <v>810</v>
      </c>
      <c r="BK414" s="64"/>
      <c r="BL414" s="65">
        <v>810</v>
      </c>
      <c r="BM414" s="64"/>
      <c r="BN414" s="65">
        <v>810</v>
      </c>
      <c r="BO414" s="64"/>
      <c r="BP414" s="65">
        <v>810</v>
      </c>
      <c r="BQ414" s="64"/>
      <c r="BR414" s="65">
        <v>810</v>
      </c>
      <c r="BS414" s="64"/>
    </row>
    <row r="415" spans="5:71" s="63" customFormat="1" outlineLevel="2" x14ac:dyDescent="0.25">
      <c r="E415" s="62"/>
      <c r="F415" s="62"/>
      <c r="G415" s="62"/>
      <c r="H415" s="63" t="s">
        <v>585</v>
      </c>
      <c r="J415" s="4"/>
      <c r="P415" s="64"/>
      <c r="S415" s="64"/>
      <c r="T415" s="65">
        <v>0</v>
      </c>
      <c r="U415" s="64"/>
      <c r="V415" s="65">
        <v>0</v>
      </c>
      <c r="W415" s="64"/>
      <c r="X415" s="65">
        <v>0</v>
      </c>
      <c r="Y415" s="64"/>
      <c r="Z415" s="65">
        <v>0</v>
      </c>
      <c r="AA415" s="64"/>
      <c r="AB415" s="65">
        <v>0</v>
      </c>
      <c r="AC415" s="64"/>
      <c r="AD415" s="65">
        <v>0</v>
      </c>
      <c r="AE415" s="64"/>
      <c r="AF415" s="65">
        <v>0</v>
      </c>
      <c r="AG415" s="64"/>
      <c r="AH415" s="65">
        <v>0</v>
      </c>
      <c r="AI415" s="64"/>
      <c r="AJ415" s="65">
        <v>0</v>
      </c>
      <c r="AK415" s="64"/>
      <c r="AL415" s="65">
        <v>0</v>
      </c>
      <c r="AM415" s="64"/>
      <c r="AN415" s="65">
        <v>0</v>
      </c>
      <c r="AO415" s="64"/>
      <c r="AP415" s="65">
        <v>542</v>
      </c>
      <c r="AQ415" s="76"/>
      <c r="AR415" s="65">
        <v>542</v>
      </c>
      <c r="AS415" s="76"/>
      <c r="AT415" s="147">
        <v>542</v>
      </c>
      <c r="AU415" s="76"/>
      <c r="AV415" s="65">
        <v>416</v>
      </c>
      <c r="AW415" s="64"/>
      <c r="AX415" s="65">
        <v>416</v>
      </c>
      <c r="AY415" s="64"/>
      <c r="AZ415" s="65">
        <v>416</v>
      </c>
      <c r="BA415" s="64"/>
      <c r="BB415" s="65">
        <v>735</v>
      </c>
      <c r="BC415" s="64"/>
      <c r="BD415" s="65">
        <v>735</v>
      </c>
      <c r="BE415" s="64"/>
      <c r="BF415" s="65">
        <v>735</v>
      </c>
      <c r="BG415" s="64"/>
      <c r="BH415" s="65">
        <v>735</v>
      </c>
      <c r="BI415" s="64"/>
      <c r="BJ415" s="65">
        <v>735</v>
      </c>
      <c r="BK415" s="64"/>
      <c r="BL415" s="65">
        <v>735</v>
      </c>
      <c r="BM415" s="64"/>
      <c r="BN415" s="65">
        <v>735</v>
      </c>
      <c r="BO415" s="64"/>
      <c r="BP415" s="65">
        <v>735</v>
      </c>
      <c r="BQ415" s="64"/>
      <c r="BR415" s="65">
        <v>735</v>
      </c>
      <c r="BS415" s="64"/>
    </row>
    <row r="416" spans="5:71" outlineLevel="1" x14ac:dyDescent="0.25">
      <c r="G416" s="4" t="s">
        <v>501</v>
      </c>
      <c r="H416" s="1"/>
      <c r="I416" s="63"/>
      <c r="J416" s="63"/>
      <c r="P416" s="31"/>
      <c r="T416" s="4">
        <f>T417+T418</f>
        <v>0</v>
      </c>
      <c r="U416" s="16"/>
      <c r="V416" s="4">
        <f>V417+V418</f>
        <v>0</v>
      </c>
      <c r="W416" s="16"/>
      <c r="X416" s="4">
        <f>X417+X418</f>
        <v>0</v>
      </c>
      <c r="Y416" s="16"/>
      <c r="Z416" s="4">
        <f>Z417+Z418</f>
        <v>0</v>
      </c>
      <c r="AA416" s="16"/>
      <c r="AB416" s="4">
        <f>AB417+AB418</f>
        <v>0</v>
      </c>
      <c r="AC416" s="16"/>
      <c r="AD416" s="4">
        <f>AD417+AD418</f>
        <v>0</v>
      </c>
      <c r="AE416" s="16"/>
      <c r="AF416" s="4">
        <f>AF417+AF418</f>
        <v>0</v>
      </c>
      <c r="AG416" s="16"/>
      <c r="AH416" s="4">
        <f>AH417+AH418</f>
        <v>0</v>
      </c>
      <c r="AI416" s="16"/>
      <c r="AJ416" s="4">
        <f>AJ417+AJ418</f>
        <v>0</v>
      </c>
      <c r="AK416" s="16"/>
      <c r="AL416" s="4">
        <f>AL417+AL418</f>
        <v>0</v>
      </c>
      <c r="AM416" s="16"/>
      <c r="AN416" s="4">
        <f>AN417+AN418</f>
        <v>0</v>
      </c>
      <c r="AO416" s="16"/>
      <c r="AP416" s="4">
        <f>AP417+AP418*0.8</f>
        <v>0</v>
      </c>
      <c r="AQ416" s="16"/>
      <c r="AR416" s="4">
        <f>AR417+AR418*0.8</f>
        <v>0</v>
      </c>
      <c r="AS416" s="16"/>
      <c r="AT416" s="121">
        <f>AT417+AT418*0.8</f>
        <v>0</v>
      </c>
      <c r="AU416" s="16"/>
      <c r="AV416" s="4">
        <f>AV417+AV418*0.8</f>
        <v>0</v>
      </c>
      <c r="AW416" s="16"/>
      <c r="AX416" s="4">
        <f>AX417+AX418*0.8</f>
        <v>0</v>
      </c>
      <c r="AY416" s="16"/>
      <c r="AZ416" s="4">
        <f>AZ417+AZ418*0.8</f>
        <v>0</v>
      </c>
      <c r="BA416" s="16"/>
      <c r="BB416" s="4">
        <f>BB417+BB418*0.8</f>
        <v>0</v>
      </c>
      <c r="BC416" s="16"/>
      <c r="BD416" s="4">
        <f>BD417+BD418</f>
        <v>1646</v>
      </c>
      <c r="BE416" s="16"/>
      <c r="BF416" s="4">
        <f>BF417+BF418*0.8</f>
        <v>2294.6000000000004</v>
      </c>
      <c r="BG416" s="16"/>
      <c r="BH416" s="4">
        <f>BH417+BH418*0.8</f>
        <v>2294.6000000000004</v>
      </c>
      <c r="BI416" s="16"/>
      <c r="BJ416" s="4">
        <f>BJ417+BJ418*0.8</f>
        <v>2294.6000000000004</v>
      </c>
      <c r="BK416" s="16"/>
      <c r="BL416" s="4">
        <f>BL417+BL418*0.8</f>
        <v>2294.6000000000004</v>
      </c>
      <c r="BM416" s="16"/>
      <c r="BN416" s="4">
        <f>BN417+BN418*0.8</f>
        <v>2294.6000000000004</v>
      </c>
      <c r="BO416" s="16"/>
      <c r="BP416" s="4">
        <f>BP417+BP418*0.8</f>
        <v>2294.6000000000004</v>
      </c>
      <c r="BQ416" s="16"/>
      <c r="BR416" s="4">
        <f>BR417+BR418*0.8</f>
        <v>2294.6000000000004</v>
      </c>
      <c r="BS416" s="16"/>
    </row>
    <row r="417" spans="5:71" s="63" customFormat="1" outlineLevel="2" x14ac:dyDescent="0.25">
      <c r="E417" s="62"/>
      <c r="F417" s="62"/>
      <c r="G417" s="62"/>
      <c r="H417" s="63" t="s">
        <v>584</v>
      </c>
      <c r="I417" s="4"/>
      <c r="P417" s="64"/>
      <c r="S417" s="64"/>
      <c r="T417" s="65">
        <v>0</v>
      </c>
      <c r="U417" s="64"/>
      <c r="V417" s="65">
        <v>0</v>
      </c>
      <c r="W417" s="64"/>
      <c r="X417" s="65">
        <v>0</v>
      </c>
      <c r="Y417" s="64"/>
      <c r="Z417" s="65">
        <v>0</v>
      </c>
      <c r="AA417" s="64"/>
      <c r="AB417" s="65">
        <v>0</v>
      </c>
      <c r="AC417" s="64"/>
      <c r="AD417" s="65">
        <v>0</v>
      </c>
      <c r="AE417" s="64"/>
      <c r="AF417" s="65">
        <v>0</v>
      </c>
      <c r="AG417" s="64"/>
      <c r="AH417" s="65">
        <v>0</v>
      </c>
      <c r="AI417" s="64"/>
      <c r="AJ417" s="65">
        <v>0</v>
      </c>
      <c r="AK417" s="64"/>
      <c r="AL417" s="65">
        <v>0</v>
      </c>
      <c r="AM417" s="64"/>
      <c r="AN417" s="65">
        <v>0</v>
      </c>
      <c r="AO417" s="64"/>
      <c r="AP417" s="65">
        <v>0</v>
      </c>
      <c r="AQ417" s="64"/>
      <c r="AR417" s="65">
        <v>0</v>
      </c>
      <c r="AS417" s="64"/>
      <c r="AT417" s="147">
        <v>0</v>
      </c>
      <c r="AU417" s="64"/>
      <c r="AV417" s="65">
        <v>0</v>
      </c>
      <c r="AW417" s="64"/>
      <c r="AX417" s="34">
        <v>0</v>
      </c>
      <c r="AY417" s="64"/>
      <c r="AZ417" s="65">
        <v>0</v>
      </c>
      <c r="BA417" s="64"/>
      <c r="BB417" s="65">
        <v>0</v>
      </c>
      <c r="BC417" s="64"/>
      <c r="BD417" s="53">
        <v>841</v>
      </c>
      <c r="BE417" s="64"/>
      <c r="BF417" s="53">
        <v>1133</v>
      </c>
      <c r="BG417" s="64"/>
      <c r="BH417" s="53">
        <v>1133</v>
      </c>
      <c r="BI417" s="64"/>
      <c r="BJ417" s="53">
        <v>1133</v>
      </c>
      <c r="BK417" s="64"/>
      <c r="BL417" s="53">
        <v>1133</v>
      </c>
      <c r="BM417" s="64"/>
      <c r="BN417" s="53">
        <v>1133</v>
      </c>
      <c r="BO417" s="64"/>
      <c r="BP417" s="53">
        <v>1133</v>
      </c>
      <c r="BQ417" s="64"/>
      <c r="BR417" s="53">
        <v>1133</v>
      </c>
      <c r="BS417" s="64"/>
    </row>
    <row r="418" spans="5:71" s="63" customFormat="1" outlineLevel="2" x14ac:dyDescent="0.25">
      <c r="E418" s="62"/>
      <c r="F418" s="62"/>
      <c r="G418" s="62"/>
      <c r="H418" s="63" t="s">
        <v>585</v>
      </c>
      <c r="J418" s="4"/>
      <c r="P418" s="64"/>
      <c r="S418" s="64"/>
      <c r="T418" s="65">
        <v>0</v>
      </c>
      <c r="U418" s="64"/>
      <c r="V418" s="65">
        <v>0</v>
      </c>
      <c r="W418" s="64"/>
      <c r="X418" s="65">
        <v>0</v>
      </c>
      <c r="Y418" s="64"/>
      <c r="Z418" s="65">
        <v>0</v>
      </c>
      <c r="AA418" s="64"/>
      <c r="AB418" s="65">
        <v>0</v>
      </c>
      <c r="AC418" s="64"/>
      <c r="AD418" s="65">
        <v>0</v>
      </c>
      <c r="AE418" s="64"/>
      <c r="AF418" s="65">
        <v>0</v>
      </c>
      <c r="AG418" s="64"/>
      <c r="AH418" s="65">
        <v>0</v>
      </c>
      <c r="AI418" s="64"/>
      <c r="AJ418" s="65">
        <v>0</v>
      </c>
      <c r="AK418" s="64"/>
      <c r="AL418" s="65">
        <v>0</v>
      </c>
      <c r="AM418" s="64"/>
      <c r="AN418" s="65">
        <v>0</v>
      </c>
      <c r="AO418" s="64"/>
      <c r="AP418" s="65">
        <v>0</v>
      </c>
      <c r="AQ418" s="64"/>
      <c r="AR418" s="65">
        <v>0</v>
      </c>
      <c r="AS418" s="64"/>
      <c r="AT418" s="147">
        <v>0</v>
      </c>
      <c r="AU418" s="64"/>
      <c r="AV418" s="65">
        <v>0</v>
      </c>
      <c r="AW418" s="64"/>
      <c r="AX418" s="65">
        <v>0</v>
      </c>
      <c r="AY418" s="64"/>
      <c r="AZ418" s="65">
        <v>0</v>
      </c>
      <c r="BA418" s="64"/>
      <c r="BB418" s="65">
        <v>0</v>
      </c>
      <c r="BC418" s="64"/>
      <c r="BD418" s="53">
        <v>805</v>
      </c>
      <c r="BE418" s="64"/>
      <c r="BF418" s="53">
        <v>1452</v>
      </c>
      <c r="BG418" s="64"/>
      <c r="BH418" s="53">
        <v>1452</v>
      </c>
      <c r="BI418" s="64"/>
      <c r="BJ418" s="53">
        <v>1452</v>
      </c>
      <c r="BK418" s="64"/>
      <c r="BL418" s="53">
        <v>1452</v>
      </c>
      <c r="BM418" s="64"/>
      <c r="BN418" s="53">
        <v>1452</v>
      </c>
      <c r="BO418" s="64"/>
      <c r="BP418" s="53">
        <v>1452</v>
      </c>
      <c r="BQ418" s="64"/>
      <c r="BR418" s="53">
        <v>1452</v>
      </c>
      <c r="BS418" s="64"/>
    </row>
    <row r="419" spans="5:71" outlineLevel="1" x14ac:dyDescent="0.25">
      <c r="G419" s="4" t="s">
        <v>598</v>
      </c>
      <c r="H419" s="1"/>
      <c r="I419" s="63"/>
      <c r="J419" s="63"/>
      <c r="P419" s="31"/>
      <c r="T419" s="4">
        <f>T420+T421</f>
        <v>0</v>
      </c>
      <c r="U419" s="16"/>
      <c r="V419" s="4">
        <f>V420+V421</f>
        <v>0</v>
      </c>
      <c r="W419" s="16"/>
      <c r="X419" s="4">
        <f>X420+X421</f>
        <v>0</v>
      </c>
      <c r="Y419" s="16"/>
      <c r="Z419" s="4">
        <f>Z420+Z421</f>
        <v>0</v>
      </c>
      <c r="AA419" s="16"/>
      <c r="AB419" s="4">
        <f>AB420+AB421</f>
        <v>0</v>
      </c>
      <c r="AC419" s="16"/>
      <c r="AD419" s="4">
        <f>AD420+AD421</f>
        <v>0</v>
      </c>
      <c r="AE419" s="16"/>
      <c r="AF419" s="4">
        <f>AF420+AF421</f>
        <v>0</v>
      </c>
      <c r="AG419" s="16"/>
      <c r="AH419" s="4">
        <f>AH420+AH421</f>
        <v>0</v>
      </c>
      <c r="AI419" s="16"/>
      <c r="AJ419" s="4">
        <f>AJ420+AJ421</f>
        <v>0</v>
      </c>
      <c r="AK419" s="16"/>
      <c r="AL419" s="4">
        <f>AL420+AL421</f>
        <v>0</v>
      </c>
      <c r="AM419" s="16"/>
      <c r="AN419" s="4">
        <f>AN420+AN421</f>
        <v>0</v>
      </c>
      <c r="AO419" s="16"/>
      <c r="AP419" s="4">
        <f>AP420+AP421</f>
        <v>0</v>
      </c>
      <c r="AQ419" s="16"/>
      <c r="AR419" s="4">
        <f>AR420+AR421</f>
        <v>0</v>
      </c>
      <c r="AS419" s="16"/>
      <c r="AT419" s="121">
        <f>AT420+AT421</f>
        <v>0</v>
      </c>
      <c r="AU419" s="16"/>
      <c r="AV419" s="4">
        <f>AV420+AV421</f>
        <v>0</v>
      </c>
      <c r="AW419" s="16"/>
      <c r="AX419" s="4">
        <f>AX420+AX421</f>
        <v>0</v>
      </c>
      <c r="AY419" s="16"/>
      <c r="AZ419" s="4">
        <f>AZ420+AZ421</f>
        <v>0</v>
      </c>
      <c r="BA419" s="16"/>
      <c r="BB419" s="4">
        <f>BB420+BB421</f>
        <v>0</v>
      </c>
      <c r="BC419" s="16"/>
      <c r="BD419" s="4">
        <f>BD420+BD421</f>
        <v>0</v>
      </c>
      <c r="BE419" s="16"/>
      <c r="BF419" s="4">
        <f>BF420+BF421</f>
        <v>0</v>
      </c>
      <c r="BG419" s="16"/>
      <c r="BH419" s="4">
        <f>BH420+BH421</f>
        <v>0</v>
      </c>
      <c r="BI419" s="16"/>
      <c r="BJ419" s="4">
        <f>BJ420+BJ421</f>
        <v>0</v>
      </c>
      <c r="BK419" s="16"/>
      <c r="BL419" s="4">
        <f>BL420+BL421</f>
        <v>3053</v>
      </c>
      <c r="BM419" s="16"/>
      <c r="BN419" s="4">
        <f>BN420+BN421</f>
        <v>3053</v>
      </c>
      <c r="BO419" s="16"/>
      <c r="BP419" s="4">
        <f>BP420+BP421</f>
        <v>3053</v>
      </c>
      <c r="BQ419" s="16"/>
      <c r="BR419" s="4">
        <f>BR420+BR421</f>
        <v>3053</v>
      </c>
      <c r="BS419" s="16"/>
    </row>
    <row r="420" spans="5:71" s="63" customFormat="1" outlineLevel="2" x14ac:dyDescent="0.25">
      <c r="E420" s="62"/>
      <c r="F420" s="62"/>
      <c r="G420" s="62"/>
      <c r="H420" s="63" t="s">
        <v>584</v>
      </c>
      <c r="I420" s="4"/>
      <c r="P420" s="64"/>
      <c r="S420" s="64"/>
      <c r="T420" s="65"/>
      <c r="U420" s="64"/>
      <c r="V420" s="65"/>
      <c r="W420" s="64"/>
      <c r="X420" s="65"/>
      <c r="Y420" s="64"/>
      <c r="Z420" s="65"/>
      <c r="AA420" s="64"/>
      <c r="AB420" s="65"/>
      <c r="AC420" s="64"/>
      <c r="AD420" s="65"/>
      <c r="AE420" s="64"/>
      <c r="AF420" s="65"/>
      <c r="AG420" s="64"/>
      <c r="AH420" s="65"/>
      <c r="AI420" s="64"/>
      <c r="AJ420" s="65"/>
      <c r="AK420" s="64"/>
      <c r="AL420" s="65"/>
      <c r="AM420" s="64"/>
      <c r="AN420" s="65"/>
      <c r="AO420" s="64"/>
      <c r="AP420" s="65"/>
      <c r="AQ420" s="64"/>
      <c r="AR420" s="65"/>
      <c r="AS420" s="64"/>
      <c r="AT420" s="147"/>
      <c r="AU420" s="64"/>
      <c r="AV420" s="65"/>
      <c r="AW420" s="64"/>
      <c r="AX420" s="65"/>
      <c r="AY420" s="64"/>
      <c r="AZ420" s="65"/>
      <c r="BA420" s="64"/>
      <c r="BB420" s="65"/>
      <c r="BC420" s="64"/>
      <c r="BD420" s="65"/>
      <c r="BE420" s="64"/>
      <c r="BF420" s="65"/>
      <c r="BG420" s="64"/>
      <c r="BH420" s="65">
        <v>0</v>
      </c>
      <c r="BI420" s="64"/>
      <c r="BJ420" s="65">
        <v>0</v>
      </c>
      <c r="BK420" s="64"/>
      <c r="BL420" s="65">
        <v>1394</v>
      </c>
      <c r="BM420" s="64"/>
      <c r="BN420" s="65">
        <v>1394</v>
      </c>
      <c r="BO420" s="64"/>
      <c r="BP420" s="65">
        <v>1394</v>
      </c>
      <c r="BQ420" s="64"/>
      <c r="BR420" s="65">
        <v>1394</v>
      </c>
      <c r="BS420" s="64"/>
    </row>
    <row r="421" spans="5:71" s="63" customFormat="1" outlineLevel="2" x14ac:dyDescent="0.25">
      <c r="E421" s="62"/>
      <c r="F421" s="62"/>
      <c r="G421" s="62"/>
      <c r="H421" s="63" t="s">
        <v>585</v>
      </c>
      <c r="J421" s="4"/>
      <c r="P421" s="64"/>
      <c r="S421" s="64"/>
      <c r="T421" s="65"/>
      <c r="U421" s="64"/>
      <c r="V421" s="65"/>
      <c r="W421" s="64"/>
      <c r="X421" s="65"/>
      <c r="Y421" s="64"/>
      <c r="Z421" s="65"/>
      <c r="AA421" s="64"/>
      <c r="AB421" s="65"/>
      <c r="AC421" s="64"/>
      <c r="AD421" s="65"/>
      <c r="AE421" s="64"/>
      <c r="AF421" s="65"/>
      <c r="AG421" s="64"/>
      <c r="AH421" s="65"/>
      <c r="AI421" s="64"/>
      <c r="AJ421" s="65"/>
      <c r="AK421" s="64"/>
      <c r="AL421" s="65"/>
      <c r="AM421" s="64"/>
      <c r="AN421" s="65"/>
      <c r="AO421" s="64"/>
      <c r="AP421" s="65"/>
      <c r="AQ421" s="64"/>
      <c r="AR421" s="65"/>
      <c r="AS421" s="64"/>
      <c r="AT421" s="147"/>
      <c r="AU421" s="64"/>
      <c r="AV421" s="65"/>
      <c r="AW421" s="64"/>
      <c r="AX421" s="65"/>
      <c r="AY421" s="64"/>
      <c r="AZ421" s="65"/>
      <c r="BA421" s="64"/>
      <c r="BB421" s="65"/>
      <c r="BC421" s="64"/>
      <c r="BD421" s="65"/>
      <c r="BE421" s="64"/>
      <c r="BF421" s="65"/>
      <c r="BG421" s="64"/>
      <c r="BH421" s="65">
        <v>0</v>
      </c>
      <c r="BI421" s="64"/>
      <c r="BJ421" s="65">
        <v>0</v>
      </c>
      <c r="BK421" s="64"/>
      <c r="BL421" s="65">
        <v>1659</v>
      </c>
      <c r="BM421" s="64"/>
      <c r="BN421" s="65">
        <v>1659</v>
      </c>
      <c r="BO421" s="64"/>
      <c r="BP421" s="65">
        <v>1659</v>
      </c>
      <c r="BQ421" s="64"/>
      <c r="BR421" s="65">
        <v>1659</v>
      </c>
      <c r="BS421" s="64"/>
    </row>
    <row r="422" spans="5:71" x14ac:dyDescent="0.25">
      <c r="F422" s="4" t="s">
        <v>599</v>
      </c>
      <c r="T422" s="4">
        <f>SUM(T423:T428)</f>
        <v>6322</v>
      </c>
      <c r="V422" s="4">
        <f>SUM(V423:V428)</f>
        <v>12644</v>
      </c>
      <c r="X422" s="4">
        <f>SUM(X423:X428)</f>
        <v>12644</v>
      </c>
      <c r="Z422" s="4">
        <f>SUM(Z423:Z428)</f>
        <v>12644</v>
      </c>
      <c r="AB422" s="4">
        <f>SUM(AB423:AB428)</f>
        <v>11141</v>
      </c>
      <c r="AD422" s="4">
        <f>SUM(AD423:AD428)</f>
        <v>12391</v>
      </c>
      <c r="AF422" s="4">
        <f>SUM(AF423:AF428)</f>
        <v>12391</v>
      </c>
      <c r="AH422" s="4">
        <f>SUM(AH423:AH428)</f>
        <v>12391</v>
      </c>
      <c r="AJ422" s="4">
        <f>SUM(AJ423:AJ428)</f>
        <v>12941</v>
      </c>
      <c r="AL422" s="4">
        <f>SUM(AL423:AL428)</f>
        <v>9191</v>
      </c>
      <c r="AN422" s="4">
        <f>SUM(AN423:AN428)</f>
        <v>9191</v>
      </c>
      <c r="AP422" s="4">
        <f>SUM(AP423:AP428)</f>
        <v>10103</v>
      </c>
      <c r="AR422" s="4">
        <f>SUM(AR423:AR428)</f>
        <v>10103</v>
      </c>
      <c r="AT422" s="121">
        <f>SUM(AT423:AT428)</f>
        <v>10103</v>
      </c>
      <c r="AV422" s="4">
        <f>SUM(AV423:AV428)</f>
        <v>10808.59</v>
      </c>
      <c r="AX422" s="4">
        <f>SUM(AX423:AX428)</f>
        <v>10566.970000000001</v>
      </c>
      <c r="AZ422" s="4">
        <f>SUM(AZ423:AZ428)</f>
        <v>10566.970000000001</v>
      </c>
      <c r="BB422" s="4">
        <f>SUM(BB423:BB428)</f>
        <v>10566.869999999999</v>
      </c>
      <c r="BD422" s="4">
        <f>SUM(BD423:BD428)</f>
        <v>15116</v>
      </c>
      <c r="BF422" s="4">
        <f>SUM(BF423:BF428)</f>
        <v>15116</v>
      </c>
      <c r="BH422" s="4">
        <f>SUM(BH423:BH428)</f>
        <v>15778.54</v>
      </c>
      <c r="BJ422" s="4">
        <f>SUM(BJ423:BJ428)</f>
        <v>15778.54</v>
      </c>
      <c r="BL422" s="4">
        <f>SUM(BL423:BL428)</f>
        <v>22118.54</v>
      </c>
      <c r="BN422" s="4">
        <f>SUM(BN423:BN428)</f>
        <v>22118.54</v>
      </c>
      <c r="BP422" s="4">
        <f>SUM(BP423:BP428)</f>
        <v>22118.54</v>
      </c>
      <c r="BR422" s="4">
        <f>SUM(BR423:BR428)</f>
        <v>22118.54</v>
      </c>
    </row>
    <row r="423" spans="5:71" outlineLevel="1" x14ac:dyDescent="0.25">
      <c r="G423" s="4" t="s">
        <v>587</v>
      </c>
      <c r="H423" s="1"/>
      <c r="P423" s="66"/>
      <c r="Q423" s="58"/>
      <c r="T423" s="36">
        <v>6322</v>
      </c>
      <c r="V423" s="36">
        <v>6322</v>
      </c>
      <c r="X423" s="36">
        <v>6322</v>
      </c>
      <c r="Z423" s="36">
        <v>6322</v>
      </c>
      <c r="AB423" s="36">
        <v>3695.5</v>
      </c>
      <c r="AD423" s="36">
        <v>3695.5</v>
      </c>
      <c r="AF423" s="36">
        <v>3695.5</v>
      </c>
      <c r="AH423" s="36">
        <v>3695.5</v>
      </c>
      <c r="AJ423" s="36">
        <v>3695.5</v>
      </c>
      <c r="AL423" s="36">
        <v>3695.5</v>
      </c>
      <c r="AN423" s="36">
        <v>3695.5</v>
      </c>
      <c r="AP423" s="36">
        <v>3695.5</v>
      </c>
      <c r="AR423" s="36">
        <v>3695.5</v>
      </c>
      <c r="AT423" s="149">
        <v>3695.5</v>
      </c>
      <c r="AV423" s="81">
        <v>3936.62</v>
      </c>
      <c r="AW423" s="64"/>
      <c r="AX423" s="81">
        <v>3695</v>
      </c>
      <c r="AY423" s="64"/>
      <c r="AZ423" s="81">
        <v>3695</v>
      </c>
      <c r="BA423" s="64"/>
      <c r="BB423" s="81">
        <v>3695</v>
      </c>
      <c r="BC423" s="64"/>
      <c r="BD423" s="81">
        <v>3936</v>
      </c>
      <c r="BE423" s="64"/>
      <c r="BF423" s="81">
        <v>3936</v>
      </c>
      <c r="BG423" s="76"/>
      <c r="BH423" s="78">
        <v>3936</v>
      </c>
      <c r="BI423" s="76"/>
      <c r="BJ423" s="78">
        <v>3936</v>
      </c>
      <c r="BK423" s="76"/>
      <c r="BL423" s="78">
        <v>3936</v>
      </c>
      <c r="BM423" s="76"/>
      <c r="BN423" s="78">
        <v>3936</v>
      </c>
      <c r="BO423" s="76"/>
      <c r="BP423" s="78">
        <v>3936</v>
      </c>
      <c r="BQ423" s="76"/>
      <c r="BR423" s="78">
        <v>3936</v>
      </c>
      <c r="BS423" s="76"/>
    </row>
    <row r="424" spans="5:71" outlineLevel="1" x14ac:dyDescent="0.25">
      <c r="G424" s="4" t="s">
        <v>586</v>
      </c>
      <c r="H424" s="1"/>
      <c r="J424" s="14"/>
      <c r="P424" s="66"/>
      <c r="Q424" s="58"/>
      <c r="T424" s="36">
        <v>0</v>
      </c>
      <c r="V424" s="36">
        <v>6322</v>
      </c>
      <c r="X424" s="36">
        <v>6322</v>
      </c>
      <c r="Z424" s="36">
        <v>6322</v>
      </c>
      <c r="AB424" s="36">
        <v>3695.5</v>
      </c>
      <c r="AD424" s="36">
        <v>3695.5</v>
      </c>
      <c r="AF424" s="36">
        <v>3695.5</v>
      </c>
      <c r="AH424" s="36">
        <v>3695.5</v>
      </c>
      <c r="AJ424" s="36">
        <v>3695.5</v>
      </c>
      <c r="AL424" s="36">
        <v>3695.5</v>
      </c>
      <c r="AN424" s="36">
        <v>3695.5</v>
      </c>
      <c r="AP424" s="36">
        <v>3695.5</v>
      </c>
      <c r="AR424" s="36">
        <v>3695.5</v>
      </c>
      <c r="AT424" s="149">
        <v>3695.5</v>
      </c>
      <c r="AV424" s="81">
        <v>3842.1</v>
      </c>
      <c r="AW424" s="64"/>
      <c r="AX424" s="81">
        <v>3842.1</v>
      </c>
      <c r="AY424" s="64"/>
      <c r="AZ424" s="81">
        <v>3842.1</v>
      </c>
      <c r="BA424" s="64"/>
      <c r="BB424" s="81">
        <v>3842</v>
      </c>
      <c r="BC424" s="64"/>
      <c r="BD424" s="81">
        <v>3842</v>
      </c>
      <c r="BE424" s="64"/>
      <c r="BF424" s="81">
        <v>3842</v>
      </c>
      <c r="BG424" s="76"/>
      <c r="BH424" s="78">
        <v>4226.54</v>
      </c>
      <c r="BI424" s="76"/>
      <c r="BJ424" s="78">
        <v>4226.54</v>
      </c>
      <c r="BK424" s="76"/>
      <c r="BL424" s="78">
        <v>4226.54</v>
      </c>
      <c r="BM424" s="76"/>
      <c r="BN424" s="78">
        <v>4226.54</v>
      </c>
      <c r="BO424" s="76"/>
      <c r="BP424" s="78">
        <v>4226.54</v>
      </c>
      <c r="BQ424" s="76"/>
      <c r="BR424" s="78">
        <v>4226.54</v>
      </c>
      <c r="BS424" s="76"/>
    </row>
    <row r="425" spans="5:71" s="62" customFormat="1" outlineLevel="1" x14ac:dyDescent="0.25">
      <c r="G425" s="62" t="s">
        <v>590</v>
      </c>
      <c r="H425" s="63"/>
      <c r="I425" s="4"/>
      <c r="J425" s="4"/>
      <c r="P425" s="80"/>
      <c r="S425" s="80"/>
      <c r="T425" s="81">
        <v>0</v>
      </c>
      <c r="U425" s="64"/>
      <c r="V425" s="81">
        <v>0</v>
      </c>
      <c r="W425" s="64"/>
      <c r="X425" s="37">
        <v>0</v>
      </c>
      <c r="Y425" s="64"/>
      <c r="Z425" s="37">
        <v>0</v>
      </c>
      <c r="AA425" s="64"/>
      <c r="AB425" s="37">
        <v>0</v>
      </c>
      <c r="AC425" s="64"/>
      <c r="AD425" s="37">
        <v>0</v>
      </c>
      <c r="AE425" s="64"/>
      <c r="AF425" s="37">
        <v>0</v>
      </c>
      <c r="AG425" s="64"/>
      <c r="AH425" s="37">
        <v>0</v>
      </c>
      <c r="AI425" s="64"/>
      <c r="AJ425" s="37">
        <v>1800</v>
      </c>
      <c r="AK425" s="64"/>
      <c r="AL425" s="37">
        <v>1800</v>
      </c>
      <c r="AM425" s="64"/>
      <c r="AN425" s="37">
        <v>1800</v>
      </c>
      <c r="AO425" s="64"/>
      <c r="AP425" s="81">
        <v>2712</v>
      </c>
      <c r="AQ425" s="64"/>
      <c r="AR425" s="81">
        <v>2712</v>
      </c>
      <c r="AS425" s="64"/>
      <c r="AT425" s="153">
        <v>2712</v>
      </c>
      <c r="AU425" s="64"/>
      <c r="AV425" s="81">
        <v>3029.87</v>
      </c>
      <c r="AW425" s="64"/>
      <c r="AX425" s="81">
        <v>3029.87</v>
      </c>
      <c r="AY425" s="64"/>
      <c r="AZ425" s="81">
        <v>3029.87</v>
      </c>
      <c r="BA425" s="64"/>
      <c r="BB425" s="81">
        <v>3029.87</v>
      </c>
      <c r="BC425" s="64"/>
      <c r="BD425" s="81">
        <v>3029</v>
      </c>
      <c r="BE425" s="64"/>
      <c r="BF425" s="81">
        <v>3029</v>
      </c>
      <c r="BG425" s="76"/>
      <c r="BH425" s="78">
        <v>3307</v>
      </c>
      <c r="BI425" s="76"/>
      <c r="BJ425" s="78">
        <v>3307</v>
      </c>
      <c r="BK425" s="76"/>
      <c r="BL425" s="78">
        <v>3307</v>
      </c>
      <c r="BM425" s="76"/>
      <c r="BN425" s="78">
        <v>3307</v>
      </c>
      <c r="BO425" s="76"/>
      <c r="BP425" s="78">
        <v>3307</v>
      </c>
      <c r="BQ425" s="76"/>
      <c r="BR425" s="78">
        <v>3307</v>
      </c>
      <c r="BS425" s="76"/>
    </row>
    <row r="426" spans="5:71" outlineLevel="1" x14ac:dyDescent="0.25">
      <c r="G426" s="4" t="s">
        <v>501</v>
      </c>
      <c r="H426" s="1"/>
      <c r="P426" s="66"/>
      <c r="Q426" s="58"/>
      <c r="T426" s="36"/>
      <c r="V426" s="36"/>
      <c r="X426" s="36"/>
      <c r="Z426" s="36"/>
      <c r="AB426" s="36"/>
      <c r="AD426" s="36"/>
      <c r="AF426" s="36"/>
      <c r="AH426" s="36"/>
      <c r="AJ426" s="36"/>
      <c r="AL426" s="36"/>
      <c r="AN426" s="36"/>
      <c r="AP426" s="36"/>
      <c r="AR426" s="36"/>
      <c r="AT426" s="149"/>
      <c r="AV426" s="81"/>
      <c r="AW426" s="64"/>
      <c r="AX426" s="81"/>
      <c r="AY426" s="64"/>
      <c r="AZ426" s="81"/>
      <c r="BA426" s="64"/>
      <c r="BB426" s="81"/>
      <c r="BC426" s="64"/>
      <c r="BD426" s="81">
        <v>4309</v>
      </c>
      <c r="BE426" s="76"/>
      <c r="BF426" s="81">
        <v>4309</v>
      </c>
      <c r="BG426" s="76"/>
      <c r="BH426" s="81">
        <v>4309</v>
      </c>
      <c r="BI426" s="76"/>
      <c r="BJ426" s="81">
        <v>4309</v>
      </c>
      <c r="BK426" s="76"/>
      <c r="BL426" s="81">
        <v>4309</v>
      </c>
      <c r="BM426" s="76"/>
      <c r="BN426" s="81">
        <v>4309</v>
      </c>
      <c r="BO426" s="76"/>
      <c r="BP426" s="81">
        <v>4309</v>
      </c>
      <c r="BQ426" s="76"/>
      <c r="BR426" s="81">
        <v>4309</v>
      </c>
      <c r="BS426" s="76"/>
    </row>
    <row r="427" spans="5:71" outlineLevel="1" x14ac:dyDescent="0.25">
      <c r="G427" s="4" t="s">
        <v>598</v>
      </c>
      <c r="H427" s="1"/>
      <c r="P427" s="66"/>
      <c r="Q427" s="58"/>
      <c r="T427" s="34"/>
      <c r="V427" s="34"/>
      <c r="X427" s="34"/>
      <c r="Z427" s="34"/>
      <c r="AB427" s="34"/>
      <c r="AD427" s="34"/>
      <c r="AF427" s="36"/>
      <c r="AH427" s="36"/>
      <c r="AJ427" s="36"/>
      <c r="AL427" s="36"/>
      <c r="AN427" s="36"/>
      <c r="AP427" s="36"/>
      <c r="AR427" s="34"/>
      <c r="AT427" s="126"/>
      <c r="AV427" s="37"/>
      <c r="AW427" s="64"/>
      <c r="AX427" s="37"/>
      <c r="AY427" s="64"/>
      <c r="AZ427" s="37"/>
      <c r="BA427" s="64"/>
      <c r="BB427" s="37"/>
      <c r="BC427" s="64"/>
      <c r="BD427" s="37"/>
      <c r="BE427" s="64"/>
      <c r="BF427" s="37"/>
      <c r="BG427" s="76"/>
      <c r="BH427" s="75"/>
      <c r="BI427" s="76"/>
      <c r="BJ427" s="75"/>
      <c r="BK427" s="76"/>
      <c r="BL427" s="75">
        <v>6340</v>
      </c>
      <c r="BM427" s="76"/>
      <c r="BN427" s="75">
        <v>6340</v>
      </c>
      <c r="BO427" s="76"/>
      <c r="BP427" s="75">
        <v>6340</v>
      </c>
      <c r="BQ427" s="76"/>
      <c r="BR427" s="75">
        <v>6340</v>
      </c>
      <c r="BS427" s="76"/>
    </row>
    <row r="428" spans="5:71" outlineLevel="1" x14ac:dyDescent="0.25">
      <c r="G428" s="4" t="s">
        <v>601</v>
      </c>
      <c r="H428" s="1"/>
      <c r="J428" s="62"/>
      <c r="P428" s="66"/>
      <c r="Q428" s="58"/>
      <c r="T428" s="34">
        <v>0</v>
      </c>
      <c r="V428" s="34">
        <v>0</v>
      </c>
      <c r="X428" s="34">
        <v>0</v>
      </c>
      <c r="Z428" s="34">
        <v>0</v>
      </c>
      <c r="AB428" s="48">
        <f>5000*0.75</f>
        <v>3750</v>
      </c>
      <c r="AC428" s="32"/>
      <c r="AD428" s="48">
        <v>5000</v>
      </c>
      <c r="AE428" s="32"/>
      <c r="AF428" s="48">
        <v>5000</v>
      </c>
      <c r="AG428" s="32"/>
      <c r="AH428" s="48">
        <v>5000</v>
      </c>
      <c r="AI428" s="32"/>
      <c r="AJ428" s="48">
        <f>5000*0.75</f>
        <v>3750</v>
      </c>
      <c r="AK428" s="32"/>
      <c r="AL428" s="36">
        <v>0</v>
      </c>
      <c r="AM428" s="32"/>
      <c r="AN428" s="36">
        <v>0</v>
      </c>
      <c r="AO428" s="32"/>
      <c r="AP428" s="36">
        <v>0</v>
      </c>
      <c r="AQ428" s="32"/>
      <c r="AR428" s="36">
        <v>0</v>
      </c>
      <c r="AS428" s="32"/>
      <c r="AT428" s="149">
        <v>0</v>
      </c>
      <c r="AU428" s="32"/>
      <c r="AV428" s="81">
        <v>0</v>
      </c>
      <c r="AW428" s="64"/>
      <c r="AX428" s="81">
        <v>0</v>
      </c>
      <c r="AY428" s="64"/>
      <c r="AZ428" s="81">
        <v>0</v>
      </c>
      <c r="BA428" s="64"/>
      <c r="BB428" s="81">
        <v>0</v>
      </c>
      <c r="BC428" s="64"/>
      <c r="BD428" s="81">
        <v>0</v>
      </c>
      <c r="BE428" s="64"/>
      <c r="BF428" s="81">
        <v>0</v>
      </c>
      <c r="BG428" s="32"/>
      <c r="BH428" s="36">
        <v>0</v>
      </c>
      <c r="BI428" s="32"/>
      <c r="BJ428" s="36">
        <v>0</v>
      </c>
      <c r="BK428" s="32"/>
      <c r="BL428" s="36">
        <v>0</v>
      </c>
      <c r="BM428" s="32"/>
      <c r="BN428" s="36">
        <v>0</v>
      </c>
      <c r="BO428" s="32"/>
      <c r="BP428" s="36">
        <v>0</v>
      </c>
      <c r="BQ428" s="32"/>
      <c r="BR428" s="36">
        <v>0</v>
      </c>
      <c r="BS428" s="32"/>
    </row>
    <row r="429" spans="5:71" x14ac:dyDescent="0.25">
      <c r="F429" s="4" t="s">
        <v>608</v>
      </c>
      <c r="T429" s="4">
        <f>T430</f>
        <v>152.5</v>
      </c>
      <c r="V429" s="4">
        <f>V430</f>
        <v>152.5</v>
      </c>
      <c r="X429" s="4">
        <f>X430</f>
        <v>152.5</v>
      </c>
      <c r="Z429" s="4">
        <f>Z430</f>
        <v>152.5</v>
      </c>
      <c r="AB429" s="4">
        <f>AB430</f>
        <v>152.5</v>
      </c>
      <c r="AD429" s="4">
        <f>AD430</f>
        <v>152.5</v>
      </c>
      <c r="AF429" s="4">
        <f>AF430</f>
        <v>152.5</v>
      </c>
      <c r="AH429" s="4">
        <f>AH430</f>
        <v>152.5</v>
      </c>
      <c r="AJ429" s="4">
        <f>AJ430</f>
        <v>152.5</v>
      </c>
      <c r="AL429" s="4">
        <f>AL430</f>
        <v>152.5</v>
      </c>
      <c r="AN429" s="4">
        <f>AN430</f>
        <v>152.5</v>
      </c>
      <c r="AP429" s="4">
        <f>AP430</f>
        <v>152.5</v>
      </c>
      <c r="AR429" s="4">
        <f>AR430</f>
        <v>152.5</v>
      </c>
      <c r="AT429" s="121">
        <f>AT430</f>
        <v>152.5</v>
      </c>
      <c r="AV429" s="4">
        <f>AV430</f>
        <v>153</v>
      </c>
      <c r="AX429" s="4">
        <f>AX430</f>
        <v>153</v>
      </c>
      <c r="AZ429" s="4">
        <f>AZ430</f>
        <v>153</v>
      </c>
      <c r="BB429" s="4">
        <f>BB430</f>
        <v>153</v>
      </c>
      <c r="BD429" s="4">
        <f>BD430</f>
        <v>152.5</v>
      </c>
      <c r="BF429" s="4">
        <f>BF430</f>
        <v>152.5</v>
      </c>
      <c r="BH429" s="4">
        <f>BH430</f>
        <v>152.5</v>
      </c>
      <c r="BJ429" s="4">
        <f>BJ430</f>
        <v>152.5</v>
      </c>
      <c r="BL429" s="4">
        <f>BL430</f>
        <v>152.5</v>
      </c>
      <c r="BN429" s="4">
        <f>BN430</f>
        <v>152.5</v>
      </c>
      <c r="BP429" s="4">
        <f>BP430</f>
        <v>152.5</v>
      </c>
      <c r="BR429" s="4">
        <f>BR430</f>
        <v>152.5</v>
      </c>
    </row>
    <row r="430" spans="5:71" outlineLevel="1" x14ac:dyDescent="0.25">
      <c r="G430" s="98" t="s">
        <v>610</v>
      </c>
      <c r="H430" s="1"/>
      <c r="J430" s="14"/>
      <c r="P430" s="58"/>
      <c r="Q430" s="58"/>
      <c r="T430" s="34">
        <v>152.5</v>
      </c>
      <c r="V430" s="34">
        <v>152.5</v>
      </c>
      <c r="X430" s="34">
        <v>152.5</v>
      </c>
      <c r="Z430" s="34">
        <v>152.5</v>
      </c>
      <c r="AB430" s="34">
        <v>152.5</v>
      </c>
      <c r="AD430" s="34">
        <v>152.5</v>
      </c>
      <c r="AF430" s="34">
        <v>152.5</v>
      </c>
      <c r="AH430" s="34">
        <v>152.5</v>
      </c>
      <c r="AJ430" s="34">
        <v>152.5</v>
      </c>
      <c r="AL430" s="34">
        <v>152.5</v>
      </c>
      <c r="AN430" s="34">
        <v>152.5</v>
      </c>
      <c r="AP430" s="75">
        <v>152.5</v>
      </c>
      <c r="AQ430" s="76"/>
      <c r="AR430" s="75">
        <v>152.5</v>
      </c>
      <c r="AS430" s="76"/>
      <c r="AT430" s="130">
        <v>152.5</v>
      </c>
      <c r="AU430" s="76"/>
      <c r="AV430" s="75">
        <v>153</v>
      </c>
      <c r="AW430" s="76"/>
      <c r="AX430" s="75">
        <v>153</v>
      </c>
      <c r="AY430" s="76"/>
      <c r="AZ430" s="75">
        <v>153</v>
      </c>
      <c r="BA430" s="76"/>
      <c r="BB430" s="75">
        <v>153</v>
      </c>
      <c r="BC430" s="76"/>
      <c r="BD430" s="75">
        <v>152.5</v>
      </c>
      <c r="BE430" s="76"/>
      <c r="BF430" s="75">
        <v>152.5</v>
      </c>
      <c r="BG430" s="76"/>
      <c r="BH430" s="75">
        <v>152.5</v>
      </c>
      <c r="BI430" s="76"/>
      <c r="BJ430" s="75">
        <v>152.5</v>
      </c>
      <c r="BK430" s="76"/>
      <c r="BL430" s="75">
        <v>152.5</v>
      </c>
      <c r="BM430" s="76"/>
      <c r="BN430" s="75">
        <v>152.5</v>
      </c>
      <c r="BO430" s="76"/>
      <c r="BP430" s="75">
        <v>152.5</v>
      </c>
      <c r="BQ430" s="76"/>
      <c r="BR430" s="75">
        <v>152.5</v>
      </c>
      <c r="BS430" s="76"/>
    </row>
    <row r="431" spans="5:71" x14ac:dyDescent="0.25">
      <c r="F431" s="4" t="s">
        <v>542</v>
      </c>
      <c r="T431" s="4">
        <f>SUM(T432:T433)</f>
        <v>0</v>
      </c>
      <c r="V431" s="4">
        <f>SUM(V432:V433)</f>
        <v>0</v>
      </c>
      <c r="X431" s="4">
        <f>SUM(X432:X433)</f>
        <v>0</v>
      </c>
      <c r="Z431" s="4">
        <f>SUM(Z432:Z433)</f>
        <v>0</v>
      </c>
      <c r="AB431" s="4">
        <f>SUM(AB432:AB433)</f>
        <v>0</v>
      </c>
      <c r="AD431" s="4">
        <f>SUM(AD432:AD433)</f>
        <v>0</v>
      </c>
      <c r="AF431" s="4">
        <f>SUM(AF432:AF433)</f>
        <v>0</v>
      </c>
      <c r="AH431" s="4">
        <f>SUM(AH432:AH433)</f>
        <v>0</v>
      </c>
      <c r="AJ431" s="4">
        <f>SUM(AJ432:AJ433)</f>
        <v>0</v>
      </c>
      <c r="AL431" s="4">
        <f>SUM(AL432:AL433)</f>
        <v>0</v>
      </c>
      <c r="AN431" s="4">
        <f>SUM(AN432:AN433)</f>
        <v>0</v>
      </c>
      <c r="AP431" s="4">
        <f>SUM(AP432:AP433)</f>
        <v>0</v>
      </c>
      <c r="AR431" s="4">
        <f>SUM(AR432:AR433)</f>
        <v>0</v>
      </c>
      <c r="AT431" s="121">
        <f>SUM(AT432:AT433)</f>
        <v>0</v>
      </c>
      <c r="AV431" s="4">
        <f>SUM(AV432:AV433)</f>
        <v>0</v>
      </c>
      <c r="AX431" s="4">
        <f>SUM(AX432:AX433)</f>
        <v>0</v>
      </c>
      <c r="AZ431" s="4">
        <f>SUM(AZ432:AZ433)</f>
        <v>0</v>
      </c>
      <c r="BB431" s="4">
        <f>SUM(BB432:BB433)</f>
        <v>0</v>
      </c>
      <c r="BD431" s="4">
        <f>SUM(BD432:BD433)</f>
        <v>0</v>
      </c>
      <c r="BF431" s="4">
        <f>SUM(BF432:BF433)</f>
        <v>0</v>
      </c>
      <c r="BH431" s="4">
        <f>SUM(BH432:BH433)</f>
        <v>0</v>
      </c>
      <c r="BJ431" s="4">
        <f>SUM(BJ432:BJ433)</f>
        <v>0</v>
      </c>
      <c r="BL431" s="4">
        <f>SUM(BL432:BL433)</f>
        <v>0</v>
      </c>
      <c r="BN431" s="4">
        <f>SUM(BN432:BN433)</f>
        <v>0</v>
      </c>
      <c r="BP431" s="4">
        <f>SUM(BP432:BP433)</f>
        <v>0</v>
      </c>
      <c r="BR431" s="4">
        <f>SUM(BR432:BR433)</f>
        <v>0</v>
      </c>
    </row>
    <row r="432" spans="5:71" outlineLevel="1" x14ac:dyDescent="0.25">
      <c r="T432" s="81">
        <v>0</v>
      </c>
      <c r="V432" s="81">
        <v>0</v>
      </c>
      <c r="X432" s="81">
        <v>0</v>
      </c>
      <c r="Z432" s="81">
        <v>0</v>
      </c>
      <c r="AB432" s="81">
        <v>0</v>
      </c>
      <c r="AD432" s="81">
        <v>0</v>
      </c>
      <c r="AF432" s="81">
        <v>0</v>
      </c>
      <c r="AH432" s="81">
        <v>0</v>
      </c>
      <c r="AJ432" s="81">
        <v>0</v>
      </c>
      <c r="AL432" s="81">
        <v>0</v>
      </c>
      <c r="AN432" s="81">
        <v>0</v>
      </c>
      <c r="AP432" s="81">
        <v>0</v>
      </c>
      <c r="AR432" s="81">
        <v>0</v>
      </c>
      <c r="AT432" s="153">
        <v>0</v>
      </c>
      <c r="AV432" s="81">
        <v>0</v>
      </c>
      <c r="AX432" s="81">
        <v>0</v>
      </c>
      <c r="AZ432" s="81">
        <v>0</v>
      </c>
      <c r="BB432" s="81">
        <v>0</v>
      </c>
      <c r="BD432" s="81">
        <v>0</v>
      </c>
      <c r="BF432" s="81">
        <v>0</v>
      </c>
      <c r="BH432" s="81">
        <v>0</v>
      </c>
      <c r="BJ432" s="81">
        <v>0</v>
      </c>
      <c r="BL432" s="81">
        <v>0</v>
      </c>
      <c r="BN432" s="81">
        <v>0</v>
      </c>
      <c r="BP432" s="81">
        <v>0</v>
      </c>
      <c r="BR432" s="81">
        <v>0</v>
      </c>
    </row>
    <row r="433" spans="5:71" outlineLevel="1" x14ac:dyDescent="0.25">
      <c r="T433" s="81">
        <v>0</v>
      </c>
      <c r="V433" s="81">
        <v>0</v>
      </c>
      <c r="X433" s="81">
        <v>0</v>
      </c>
      <c r="Z433" s="81">
        <v>0</v>
      </c>
      <c r="AB433" s="81">
        <v>0</v>
      </c>
      <c r="AD433" s="81">
        <v>0</v>
      </c>
      <c r="AF433" s="81">
        <v>0</v>
      </c>
      <c r="AH433" s="81">
        <v>0</v>
      </c>
      <c r="AJ433" s="81">
        <v>0</v>
      </c>
      <c r="AL433" s="81">
        <v>0</v>
      </c>
      <c r="AN433" s="81">
        <v>0</v>
      </c>
      <c r="AP433" s="81">
        <v>0</v>
      </c>
      <c r="AR433" s="81">
        <v>0</v>
      </c>
      <c r="AT433" s="153">
        <v>0</v>
      </c>
      <c r="AV433" s="81">
        <v>0</v>
      </c>
      <c r="AX433" s="81">
        <v>0</v>
      </c>
      <c r="AZ433" s="81">
        <v>0</v>
      </c>
      <c r="BB433" s="81">
        <v>0</v>
      </c>
      <c r="BD433" s="81">
        <v>0</v>
      </c>
      <c r="BF433" s="81">
        <v>0</v>
      </c>
      <c r="BH433" s="81">
        <v>0</v>
      </c>
      <c r="BJ433" s="81">
        <v>0</v>
      </c>
      <c r="BL433" s="81">
        <v>0</v>
      </c>
      <c r="BN433" s="81">
        <v>0</v>
      </c>
      <c r="BP433" s="81">
        <v>0</v>
      </c>
      <c r="BR433" s="81">
        <v>0</v>
      </c>
    </row>
    <row r="434" spans="5:71" x14ac:dyDescent="0.25">
      <c r="F434" s="4" t="s">
        <v>559</v>
      </c>
      <c r="T434" s="4">
        <f>SUM(T435:T436)</f>
        <v>0</v>
      </c>
      <c r="V434" s="4">
        <f>SUM(V435:V436)</f>
        <v>0</v>
      </c>
      <c r="X434" s="4">
        <f>SUM(X435:X436)</f>
        <v>0</v>
      </c>
      <c r="Z434" s="4">
        <f>SUM(Z435:Z436)</f>
        <v>325</v>
      </c>
      <c r="AB434" s="4">
        <f>SUM(AB435:AB436)</f>
        <v>128</v>
      </c>
      <c r="AD434" s="4">
        <f>SUM(AD435:AD436)</f>
        <v>211</v>
      </c>
      <c r="AF434" s="4">
        <f>SUM(AF435:AF436)</f>
        <v>275</v>
      </c>
      <c r="AH434" s="4">
        <f>SUM(AH435:AH436)</f>
        <v>174</v>
      </c>
      <c r="AJ434" s="4">
        <f>SUM(AJ435:AJ436)</f>
        <v>313</v>
      </c>
      <c r="AL434" s="4">
        <f>SUM(AL435:AL436)</f>
        <v>160</v>
      </c>
      <c r="AN434" s="4">
        <f>SUM(AN435:AN436)</f>
        <v>190</v>
      </c>
      <c r="AP434" s="4">
        <f>SUM(AP435:AP436)</f>
        <v>60</v>
      </c>
      <c r="AR434" s="4">
        <f>SUM(AR435:AR436)</f>
        <v>32</v>
      </c>
      <c r="AT434" s="121">
        <f>SUM(AT435:AT436)</f>
        <v>27</v>
      </c>
      <c r="AV434" s="4">
        <f>SUM(AV435:AV436)</f>
        <v>40</v>
      </c>
      <c r="AX434" s="4">
        <f>SUM(AX435:AX436)</f>
        <v>19</v>
      </c>
      <c r="AZ434" s="4">
        <f>SUM(AZ435:AZ436)</f>
        <v>74</v>
      </c>
      <c r="BB434" s="4">
        <f>SUM(BB435:BB436)</f>
        <v>62</v>
      </c>
      <c r="BD434" s="4">
        <f>SUM(BD435:BD436)</f>
        <v>193</v>
      </c>
      <c r="BF434" s="4">
        <f>SUM(BF435:BF436)</f>
        <v>0</v>
      </c>
      <c r="BH434" s="4">
        <f>SUM(BH435:BH436)</f>
        <v>128</v>
      </c>
      <c r="BJ434" s="4">
        <f>SUM(BJ435:BJ436)</f>
        <v>0</v>
      </c>
      <c r="BL434" s="4">
        <f>SUM(BL435:BL436)</f>
        <v>0</v>
      </c>
      <c r="BN434" s="4">
        <f>SUM(BN435:BN436)</f>
        <v>0</v>
      </c>
      <c r="BP434" s="4">
        <f>SUM(BP435:BP436)</f>
        <v>0</v>
      </c>
      <c r="BR434" s="4">
        <f>SUM(BR435:BR436)</f>
        <v>0</v>
      </c>
    </row>
    <row r="435" spans="5:71" outlineLevel="1" x14ac:dyDescent="0.25">
      <c r="G435" s="4" t="s">
        <v>771</v>
      </c>
      <c r="T435" s="81">
        <v>0</v>
      </c>
      <c r="V435" s="81">
        <v>0</v>
      </c>
      <c r="X435" s="81">
        <v>0</v>
      </c>
      <c r="Z435" s="81">
        <v>325</v>
      </c>
      <c r="AB435" s="81">
        <v>128</v>
      </c>
      <c r="AD435" s="81">
        <v>211</v>
      </c>
      <c r="AF435" s="81">
        <v>275</v>
      </c>
      <c r="AH435" s="81">
        <v>174</v>
      </c>
      <c r="AJ435" s="81">
        <v>313</v>
      </c>
      <c r="AL435" s="81">
        <v>160</v>
      </c>
      <c r="AN435" s="81">
        <v>190</v>
      </c>
      <c r="AP435" s="81">
        <v>60</v>
      </c>
      <c r="AR435" s="81">
        <v>32</v>
      </c>
      <c r="AT435" s="153">
        <v>27</v>
      </c>
      <c r="AV435" s="81">
        <v>40</v>
      </c>
      <c r="AX435" s="81">
        <v>19</v>
      </c>
      <c r="AZ435" s="81">
        <v>74</v>
      </c>
      <c r="BB435" s="81">
        <v>62</v>
      </c>
      <c r="BD435" s="81">
        <v>193</v>
      </c>
      <c r="BF435" s="81">
        <v>0</v>
      </c>
      <c r="BH435" s="81">
        <v>128</v>
      </c>
      <c r="BJ435" s="81">
        <v>0</v>
      </c>
      <c r="BL435" s="81">
        <v>0</v>
      </c>
      <c r="BN435" s="81">
        <v>0</v>
      </c>
      <c r="BP435" s="81">
        <v>0</v>
      </c>
      <c r="BR435" s="81">
        <v>0</v>
      </c>
    </row>
    <row r="436" spans="5:71" outlineLevel="1" x14ac:dyDescent="0.25">
      <c r="T436" s="81">
        <v>0</v>
      </c>
      <c r="V436" s="81">
        <v>0</v>
      </c>
      <c r="X436" s="81">
        <v>0</v>
      </c>
      <c r="Z436" s="81">
        <v>0</v>
      </c>
      <c r="AB436" s="81">
        <v>0</v>
      </c>
      <c r="AD436" s="81">
        <v>0</v>
      </c>
      <c r="AF436" s="81">
        <v>0</v>
      </c>
      <c r="AH436" s="81">
        <v>0</v>
      </c>
      <c r="AJ436" s="81">
        <v>0</v>
      </c>
      <c r="AL436" s="81">
        <v>0</v>
      </c>
      <c r="AN436" s="81">
        <v>0</v>
      </c>
      <c r="AP436" s="81">
        <v>0</v>
      </c>
      <c r="AR436" s="81">
        <v>0</v>
      </c>
      <c r="AT436" s="153">
        <v>0</v>
      </c>
      <c r="AV436" s="81">
        <v>0</v>
      </c>
      <c r="AX436" s="81">
        <v>0</v>
      </c>
      <c r="AZ436" s="81">
        <v>0</v>
      </c>
      <c r="BB436" s="81">
        <v>0</v>
      </c>
      <c r="BD436" s="81">
        <v>0</v>
      </c>
      <c r="BF436" s="81">
        <v>0</v>
      </c>
      <c r="BH436" s="81">
        <v>0</v>
      </c>
      <c r="BJ436" s="81">
        <v>0</v>
      </c>
      <c r="BL436" s="81">
        <v>0</v>
      </c>
      <c r="BN436" s="81">
        <v>0</v>
      </c>
      <c r="BP436" s="81">
        <v>0</v>
      </c>
      <c r="BR436" s="81">
        <v>0</v>
      </c>
    </row>
    <row r="437" spans="5:71" x14ac:dyDescent="0.25">
      <c r="F437" s="4" t="s">
        <v>622</v>
      </c>
      <c r="T437" s="4">
        <f>SUM(T438:T442)</f>
        <v>50</v>
      </c>
      <c r="V437" s="4">
        <f>SUM(V438:V442)</f>
        <v>50</v>
      </c>
      <c r="X437" s="4">
        <f>SUM(X438:X442)</f>
        <v>50</v>
      </c>
      <c r="Z437" s="4">
        <f>SUM(Z438:Z442)</f>
        <v>50</v>
      </c>
      <c r="AB437" s="4">
        <f>SUM(AB438:AB442)</f>
        <v>50</v>
      </c>
      <c r="AD437" s="4">
        <f>SUM(AD438:AD442)</f>
        <v>50</v>
      </c>
      <c r="AF437" s="4">
        <f>SUM(AF438:AF442)</f>
        <v>50</v>
      </c>
      <c r="AH437" s="4">
        <f>SUM(AH438:AH442)</f>
        <v>50</v>
      </c>
      <c r="AJ437" s="4">
        <f>SUM(AJ438:AJ442)</f>
        <v>50</v>
      </c>
      <c r="AL437" s="4">
        <f>SUM(AL438:AL442)</f>
        <v>50</v>
      </c>
      <c r="AN437" s="4">
        <f>SUM(AN438:AN442)</f>
        <v>50</v>
      </c>
      <c r="AP437" s="4">
        <f>SUM(AP438:AP442)</f>
        <v>65</v>
      </c>
      <c r="AR437" s="4">
        <f>SUM(AR438:AR442)</f>
        <v>65</v>
      </c>
      <c r="AT437" s="121">
        <f>SUM(AT438:AT442)</f>
        <v>106.3</v>
      </c>
      <c r="AV437" s="4">
        <f>SUM(AV438:AV442)</f>
        <v>56.3</v>
      </c>
      <c r="AX437" s="4">
        <f>SUM(AX438:AX442)</f>
        <v>15</v>
      </c>
      <c r="AZ437" s="4">
        <f>SUM(AZ438:AZ442)</f>
        <v>15</v>
      </c>
      <c r="BB437" s="4">
        <f>SUM(BB438:BB442)</f>
        <v>161.68</v>
      </c>
      <c r="BD437" s="4">
        <f>SUM(BD438:BD442)</f>
        <v>416</v>
      </c>
      <c r="BF437" s="4">
        <f>SUM(BF438:BF442)</f>
        <v>209.77</v>
      </c>
      <c r="BH437" s="4">
        <f>SUM(BH438:BH442)</f>
        <v>614.18000000000006</v>
      </c>
      <c r="BJ437" s="4">
        <f>SUM(BJ438:BJ442)</f>
        <v>614.18000000000006</v>
      </c>
      <c r="BL437" s="4">
        <f>SUM(BL438:BL442)</f>
        <v>614.18000000000006</v>
      </c>
      <c r="BN437" s="4">
        <f>SUM(BN438:BN442)</f>
        <v>614.18000000000006</v>
      </c>
      <c r="BP437" s="4">
        <f>SUM(BP438:BP442)</f>
        <v>614.18000000000006</v>
      </c>
      <c r="BR437" s="4">
        <f>SUM(BR438:BR442)</f>
        <v>614.18000000000006</v>
      </c>
    </row>
    <row r="438" spans="5:71" s="58" customFormat="1" outlineLevel="1" x14ac:dyDescent="0.25">
      <c r="E438" s="4"/>
      <c r="F438" s="4"/>
      <c r="G438" s="4" t="s">
        <v>494</v>
      </c>
      <c r="H438" s="1"/>
      <c r="I438" s="96"/>
      <c r="M438" s="95" t="s">
        <v>623</v>
      </c>
      <c r="S438" s="66"/>
      <c r="T438" s="75">
        <v>50</v>
      </c>
      <c r="U438" s="76"/>
      <c r="V438" s="75">
        <v>50</v>
      </c>
      <c r="W438" s="76"/>
      <c r="X438" s="75">
        <v>50</v>
      </c>
      <c r="Y438" s="76"/>
      <c r="Z438" s="75">
        <v>50</v>
      </c>
      <c r="AA438" s="52"/>
      <c r="AB438" s="34">
        <v>50</v>
      </c>
      <c r="AC438" s="52"/>
      <c r="AD438" s="34">
        <v>50</v>
      </c>
      <c r="AE438" s="52"/>
      <c r="AF438" s="34">
        <v>50</v>
      </c>
      <c r="AG438" s="52"/>
      <c r="AH438" s="34">
        <v>50</v>
      </c>
      <c r="AI438" s="52"/>
      <c r="AJ438" s="34">
        <v>50</v>
      </c>
      <c r="AK438" s="52"/>
      <c r="AL438" s="34">
        <v>50</v>
      </c>
      <c r="AM438" s="52"/>
      <c r="AN438" s="34">
        <v>50</v>
      </c>
      <c r="AO438" s="52"/>
      <c r="AP438" s="34">
        <v>50</v>
      </c>
      <c r="AQ438" s="52"/>
      <c r="AR438" s="34">
        <v>50</v>
      </c>
      <c r="AS438" s="31"/>
      <c r="AT438" s="126">
        <v>50</v>
      </c>
      <c r="AU438" s="31"/>
      <c r="AV438" s="34">
        <v>0</v>
      </c>
      <c r="AW438" s="31"/>
      <c r="AX438" s="34">
        <v>0</v>
      </c>
      <c r="AY438" s="4"/>
      <c r="AZ438" s="34">
        <v>0</v>
      </c>
      <c r="BA438" s="31"/>
      <c r="BB438" s="34">
        <v>0</v>
      </c>
      <c r="BC438" s="31"/>
      <c r="BD438" s="34">
        <v>0</v>
      </c>
      <c r="BE438" s="31"/>
      <c r="BF438" s="34">
        <v>0</v>
      </c>
      <c r="BG438" s="31"/>
      <c r="BH438" s="34">
        <v>524.20000000000005</v>
      </c>
      <c r="BI438" s="52"/>
      <c r="BJ438" s="34">
        <v>524.20000000000005</v>
      </c>
      <c r="BK438" s="52"/>
      <c r="BL438" s="34">
        <v>524.20000000000005</v>
      </c>
      <c r="BM438" s="52"/>
      <c r="BN438" s="34">
        <v>524.20000000000005</v>
      </c>
      <c r="BO438" s="52"/>
      <c r="BP438" s="34">
        <v>524.20000000000005</v>
      </c>
      <c r="BQ438" s="52"/>
      <c r="BR438" s="34">
        <v>524.20000000000005</v>
      </c>
      <c r="BS438" s="76"/>
    </row>
    <row r="439" spans="5:71" s="58" customFormat="1" outlineLevel="1" x14ac:dyDescent="0.25">
      <c r="E439" s="4"/>
      <c r="F439" s="4"/>
      <c r="G439" s="4" t="s">
        <v>770</v>
      </c>
      <c r="H439" s="1"/>
      <c r="I439" s="96"/>
      <c r="M439" s="95"/>
      <c r="S439" s="66"/>
      <c r="T439" s="75"/>
      <c r="U439" s="76"/>
      <c r="V439" s="75"/>
      <c r="W439" s="76"/>
      <c r="X439" s="75"/>
      <c r="Y439" s="76"/>
      <c r="Z439" s="75"/>
      <c r="AA439" s="52"/>
      <c r="AB439" s="34"/>
      <c r="AC439" s="52"/>
      <c r="AD439" s="34"/>
      <c r="AE439" s="52"/>
      <c r="AF439" s="34"/>
      <c r="AG439" s="52"/>
      <c r="AH439" s="34"/>
      <c r="AI439" s="52"/>
      <c r="AJ439" s="34"/>
      <c r="AK439" s="52"/>
      <c r="AL439" s="34"/>
      <c r="AM439" s="52"/>
      <c r="AN439" s="34"/>
      <c r="AO439" s="52"/>
      <c r="AP439" s="34"/>
      <c r="AQ439" s="52"/>
      <c r="AR439" s="34"/>
      <c r="AS439" s="31"/>
      <c r="AT439" s="126"/>
      <c r="AU439" s="31"/>
      <c r="AV439" s="34"/>
      <c r="AW439" s="31"/>
      <c r="AX439" s="34"/>
      <c r="AY439" s="4"/>
      <c r="AZ439" s="34"/>
      <c r="BA439" s="31"/>
      <c r="BB439" s="34"/>
      <c r="BC439" s="31"/>
      <c r="BD439" s="34"/>
      <c r="BE439" s="31"/>
      <c r="BF439" s="34">
        <v>69.98</v>
      </c>
      <c r="BG439" s="31"/>
      <c r="BH439" s="34">
        <v>69.98</v>
      </c>
      <c r="BI439" s="52"/>
      <c r="BJ439" s="34">
        <v>69.98</v>
      </c>
      <c r="BK439" s="52"/>
      <c r="BL439" s="34">
        <v>69.98</v>
      </c>
      <c r="BM439" s="52"/>
      <c r="BN439" s="34">
        <v>69.98</v>
      </c>
      <c r="BO439" s="52"/>
      <c r="BP439" s="34">
        <v>69.98</v>
      </c>
      <c r="BQ439" s="52"/>
      <c r="BR439" s="34">
        <v>69.98</v>
      </c>
      <c r="BS439" s="76"/>
    </row>
    <row r="440" spans="5:71" s="58" customFormat="1" outlineLevel="1" x14ac:dyDescent="0.25">
      <c r="E440" s="4"/>
      <c r="F440" s="4"/>
      <c r="G440" s="4" t="s">
        <v>646</v>
      </c>
      <c r="H440" s="1"/>
      <c r="S440" s="66"/>
      <c r="T440" s="75"/>
      <c r="U440" s="76"/>
      <c r="V440" s="75"/>
      <c r="W440" s="76"/>
      <c r="X440" s="75"/>
      <c r="Y440" s="76"/>
      <c r="Z440" s="75"/>
      <c r="AA440" s="52"/>
      <c r="AB440" s="34">
        <v>0</v>
      </c>
      <c r="AC440" s="52"/>
      <c r="AD440" s="34">
        <v>0</v>
      </c>
      <c r="AE440" s="52"/>
      <c r="AF440" s="34">
        <v>0</v>
      </c>
      <c r="AG440" s="52"/>
      <c r="AH440" s="34">
        <v>0</v>
      </c>
      <c r="AI440" s="52"/>
      <c r="AJ440" s="34">
        <v>0</v>
      </c>
      <c r="AK440" s="52"/>
      <c r="AL440" s="34">
        <v>0</v>
      </c>
      <c r="AM440" s="52"/>
      <c r="AN440" s="34">
        <v>0</v>
      </c>
      <c r="AO440" s="52"/>
      <c r="AP440" s="34">
        <v>15</v>
      </c>
      <c r="AQ440" s="52"/>
      <c r="AR440" s="34">
        <v>15</v>
      </c>
      <c r="AS440" s="31"/>
      <c r="AT440" s="126">
        <v>15</v>
      </c>
      <c r="AU440" s="31"/>
      <c r="AV440" s="34">
        <v>15</v>
      </c>
      <c r="AW440" s="31"/>
      <c r="AX440" s="34">
        <v>15</v>
      </c>
      <c r="AY440" s="31"/>
      <c r="AZ440" s="34">
        <v>15</v>
      </c>
      <c r="BA440" s="31"/>
      <c r="BB440" s="34">
        <v>20</v>
      </c>
      <c r="BC440" s="31"/>
      <c r="BD440" s="34">
        <v>20</v>
      </c>
      <c r="BE440" s="31"/>
      <c r="BF440" s="34">
        <v>20</v>
      </c>
      <c r="BG440" s="31"/>
      <c r="BH440" s="34">
        <v>20</v>
      </c>
      <c r="BI440" s="52"/>
      <c r="BJ440" s="34">
        <v>20</v>
      </c>
      <c r="BK440" s="52"/>
      <c r="BL440" s="34">
        <v>20</v>
      </c>
      <c r="BM440" s="52"/>
      <c r="BN440" s="34">
        <v>20</v>
      </c>
      <c r="BO440" s="52"/>
      <c r="BP440" s="34">
        <v>20</v>
      </c>
      <c r="BQ440" s="52"/>
      <c r="BR440" s="34">
        <v>20</v>
      </c>
      <c r="BS440" s="76"/>
    </row>
    <row r="441" spans="5:71" s="58" customFormat="1" outlineLevel="1" x14ac:dyDescent="0.25">
      <c r="E441" s="4"/>
      <c r="F441" s="4"/>
      <c r="G441" s="4" t="s">
        <v>647</v>
      </c>
      <c r="H441" s="1"/>
      <c r="S441" s="66"/>
      <c r="T441" s="75"/>
      <c r="U441" s="76"/>
      <c r="V441" s="75"/>
      <c r="W441" s="76"/>
      <c r="X441" s="75"/>
      <c r="Y441" s="76"/>
      <c r="Z441" s="75"/>
      <c r="AA441" s="52"/>
      <c r="AB441" s="34">
        <v>0</v>
      </c>
      <c r="AC441" s="52"/>
      <c r="AD441" s="34">
        <v>0</v>
      </c>
      <c r="AE441" s="52"/>
      <c r="AF441" s="34">
        <v>0</v>
      </c>
      <c r="AG441" s="52"/>
      <c r="AH441" s="34">
        <v>0</v>
      </c>
      <c r="AI441" s="52"/>
      <c r="AJ441" s="34">
        <v>0</v>
      </c>
      <c r="AK441" s="52"/>
      <c r="AL441" s="34">
        <v>0</v>
      </c>
      <c r="AM441" s="52"/>
      <c r="AN441" s="34">
        <v>0</v>
      </c>
      <c r="AO441" s="52"/>
      <c r="AP441" s="34">
        <v>0</v>
      </c>
      <c r="AQ441" s="52"/>
      <c r="AR441" s="34">
        <v>0</v>
      </c>
      <c r="AS441" s="31"/>
      <c r="AT441" s="152">
        <v>41.3</v>
      </c>
      <c r="AU441" s="31"/>
      <c r="AV441" s="94">
        <v>41.3</v>
      </c>
      <c r="AW441" s="31"/>
      <c r="AX441" s="34">
        <v>0</v>
      </c>
      <c r="AY441" s="31"/>
      <c r="AZ441" s="34">
        <v>0</v>
      </c>
      <c r="BA441" s="31"/>
      <c r="BB441" s="34">
        <v>0</v>
      </c>
      <c r="BC441" s="31"/>
      <c r="BD441" s="94">
        <f>99*2</f>
        <v>198</v>
      </c>
      <c r="BE441" s="31"/>
      <c r="BF441" s="34">
        <v>0</v>
      </c>
      <c r="BG441" s="31"/>
      <c r="BH441" s="34">
        <v>0</v>
      </c>
      <c r="BI441" s="52"/>
      <c r="BJ441" s="34">
        <v>0</v>
      </c>
      <c r="BK441" s="52"/>
      <c r="BL441" s="34">
        <v>0</v>
      </c>
      <c r="BM441" s="52"/>
      <c r="BN441" s="34">
        <v>0</v>
      </c>
      <c r="BO441" s="52"/>
      <c r="BP441" s="34">
        <v>0</v>
      </c>
      <c r="BQ441" s="52"/>
      <c r="BR441" s="34">
        <v>0</v>
      </c>
      <c r="BS441" s="76"/>
    </row>
    <row r="442" spans="5:71" s="58" customFormat="1" outlineLevel="1" x14ac:dyDescent="0.25">
      <c r="E442" s="4"/>
      <c r="F442" s="4"/>
      <c r="G442" s="4" t="s">
        <v>648</v>
      </c>
      <c r="H442" s="1"/>
      <c r="S442" s="66"/>
      <c r="T442" s="75"/>
      <c r="U442" s="76"/>
      <c r="V442" s="75"/>
      <c r="W442" s="76"/>
      <c r="X442" s="75"/>
      <c r="Y442" s="76"/>
      <c r="Z442" s="75"/>
      <c r="AA442" s="52"/>
      <c r="AB442" s="34">
        <v>0</v>
      </c>
      <c r="AC442" s="52"/>
      <c r="AD442" s="34">
        <v>0</v>
      </c>
      <c r="AE442" s="52"/>
      <c r="AF442" s="34">
        <v>0</v>
      </c>
      <c r="AG442" s="52"/>
      <c r="AH442" s="34">
        <v>0</v>
      </c>
      <c r="AI442" s="52"/>
      <c r="AJ442" s="34">
        <v>0</v>
      </c>
      <c r="AK442" s="52"/>
      <c r="AL442" s="34">
        <v>0</v>
      </c>
      <c r="AM442" s="52"/>
      <c r="AN442" s="34">
        <v>0</v>
      </c>
      <c r="AO442" s="52"/>
      <c r="AP442" s="34">
        <v>0</v>
      </c>
      <c r="AQ442" s="52"/>
      <c r="AR442" s="34">
        <v>0</v>
      </c>
      <c r="AS442" s="31"/>
      <c r="AT442" s="126">
        <v>0</v>
      </c>
      <c r="AU442" s="31"/>
      <c r="AV442" s="34">
        <v>0</v>
      </c>
      <c r="AW442" s="31"/>
      <c r="AX442" s="34">
        <v>0</v>
      </c>
      <c r="AY442" s="31"/>
      <c r="AZ442" s="34">
        <v>0</v>
      </c>
      <c r="BA442" s="31"/>
      <c r="BB442" s="36">
        <f>99+42.68</f>
        <v>141.68</v>
      </c>
      <c r="BC442" s="4"/>
      <c r="BD442" s="34">
        <v>198</v>
      </c>
      <c r="BE442" s="31"/>
      <c r="BF442" s="34">
        <v>119.79</v>
      </c>
      <c r="BG442" s="31"/>
      <c r="BH442" s="34">
        <v>0</v>
      </c>
      <c r="BI442" s="52"/>
      <c r="BJ442" s="34">
        <v>0</v>
      </c>
      <c r="BK442" s="52"/>
      <c r="BL442" s="34">
        <v>0</v>
      </c>
      <c r="BM442" s="52"/>
      <c r="BN442" s="34">
        <v>0</v>
      </c>
      <c r="BO442" s="52"/>
      <c r="BP442" s="34">
        <v>0</v>
      </c>
      <c r="BQ442" s="52"/>
      <c r="BR442" s="34">
        <v>0</v>
      </c>
      <c r="BS442" s="76"/>
    </row>
    <row r="443" spans="5:71" x14ac:dyDescent="0.25">
      <c r="F443" s="4" t="s">
        <v>650</v>
      </c>
      <c r="T443" s="4">
        <f>SUM(T444:T452)</f>
        <v>41.622500000000002</v>
      </c>
      <c r="V443" s="4">
        <f>SUM(V444:V452)</f>
        <v>41.622500000000002</v>
      </c>
      <c r="X443" s="4">
        <f>SUM(X444:X452)</f>
        <v>41.622500000000002</v>
      </c>
      <c r="Z443" s="4">
        <f>SUM(Z444:Z452)</f>
        <v>41.622500000000002</v>
      </c>
      <c r="AB443" s="4">
        <f>SUM(AB444:AB452)</f>
        <v>77.022499999999994</v>
      </c>
      <c r="AD443" s="4">
        <f>SUM(AD444:AD452)</f>
        <v>77.022499999999994</v>
      </c>
      <c r="AF443" s="4">
        <f>SUM(AF444:AF452)</f>
        <v>77.022499999999994</v>
      </c>
      <c r="AH443" s="4">
        <f>SUM(AH444:AH452)</f>
        <v>77.022499999999994</v>
      </c>
      <c r="AJ443" s="4">
        <f>SUM(AJ444:AJ452)</f>
        <v>77.022499999999994</v>
      </c>
      <c r="AL443" s="4">
        <f>SUM(AL444:AL452)</f>
        <v>77.022499999999994</v>
      </c>
      <c r="AN443" s="4">
        <f>SUM(AN444:AN452)</f>
        <v>186.29583333333335</v>
      </c>
      <c r="AP443" s="4">
        <f>SUM(AP444:AP452)</f>
        <v>186.89249999999998</v>
      </c>
      <c r="AR443" s="4">
        <f>SUM(AR444:AR452)</f>
        <v>188.8725</v>
      </c>
      <c r="AT443" s="121">
        <f>SUM(AT444:AT452)</f>
        <v>223.95249999999999</v>
      </c>
      <c r="AV443" s="4">
        <f>SUM(AV444:AV452)</f>
        <v>472.96</v>
      </c>
      <c r="AX443" s="4">
        <f>SUM(AX444:AX452)</f>
        <v>474.7</v>
      </c>
      <c r="AZ443" s="4">
        <f>SUM(AZ444:AZ452)</f>
        <v>182.18</v>
      </c>
      <c r="BB443" s="4">
        <f>SUM(BB444:BB452)</f>
        <v>166.85</v>
      </c>
      <c r="BD443" s="4">
        <f>SUM(BD444:BD452)</f>
        <v>567.54999999999995</v>
      </c>
      <c r="BF443" s="4">
        <f>SUM(BF444:BF452)</f>
        <v>183.67000000000002</v>
      </c>
      <c r="BH443" s="4">
        <f>SUM(BH444:BH452)</f>
        <v>586.97249999999997</v>
      </c>
      <c r="BJ443" s="4">
        <f>SUM(BJ444:BJ452)</f>
        <v>586.97249999999997</v>
      </c>
      <c r="BL443" s="4">
        <f>SUM(BL444:BL452)</f>
        <v>568.97249999999997</v>
      </c>
      <c r="BN443" s="4">
        <f>SUM(BN444:BN452)</f>
        <v>568.97249999999997</v>
      </c>
      <c r="BP443" s="4">
        <f>SUM(BP444:BP452)</f>
        <v>568.97249999999997</v>
      </c>
      <c r="BR443" s="4">
        <f>SUM(BR444:BR452)</f>
        <v>568.97249999999997</v>
      </c>
    </row>
    <row r="444" spans="5:71" s="58" customFormat="1" outlineLevel="1" x14ac:dyDescent="0.25">
      <c r="E444" s="4"/>
      <c r="F444" s="4"/>
      <c r="G444" s="4" t="s">
        <v>651</v>
      </c>
      <c r="H444" s="1"/>
      <c r="I444" s="96"/>
      <c r="P444" s="4"/>
      <c r="Q444" s="4"/>
      <c r="R444" s="4"/>
      <c r="S444" s="31"/>
      <c r="T444" s="34">
        <v>0</v>
      </c>
      <c r="U444" s="52"/>
      <c r="V444" s="34">
        <v>0</v>
      </c>
      <c r="W444" s="52"/>
      <c r="X444" s="34">
        <v>0</v>
      </c>
      <c r="Y444" s="52"/>
      <c r="Z444" s="34">
        <v>0</v>
      </c>
      <c r="AA444" s="52"/>
      <c r="AB444" s="34">
        <v>35.4</v>
      </c>
      <c r="AC444" s="52"/>
      <c r="AD444" s="34">
        <v>35.4</v>
      </c>
      <c r="AE444" s="52"/>
      <c r="AF444" s="34">
        <v>35.4</v>
      </c>
      <c r="AG444" s="52"/>
      <c r="AH444" s="34">
        <v>35.4</v>
      </c>
      <c r="AI444" s="52"/>
      <c r="AJ444" s="34">
        <v>35.4</v>
      </c>
      <c r="AK444" s="52"/>
      <c r="AL444" s="34">
        <v>35.4</v>
      </c>
      <c r="AM444" s="52"/>
      <c r="AN444" s="34">
        <v>35.4</v>
      </c>
      <c r="AO444" s="52"/>
      <c r="AP444" s="34">
        <v>35.4</v>
      </c>
      <c r="AQ444" s="52"/>
      <c r="AR444" s="34">
        <v>35.4</v>
      </c>
      <c r="AS444" s="31"/>
      <c r="AT444" s="126">
        <v>35.4</v>
      </c>
      <c r="AU444" s="31"/>
      <c r="AV444" s="34">
        <v>35.4</v>
      </c>
      <c r="AW444" s="31"/>
      <c r="AX444" s="34">
        <v>35.4</v>
      </c>
      <c r="AY444" s="31"/>
      <c r="AZ444" s="34">
        <v>35.4</v>
      </c>
      <c r="BA444" s="31"/>
      <c r="BB444" s="34">
        <v>35.4</v>
      </c>
      <c r="BC444" s="31"/>
      <c r="BD444" s="34">
        <v>35.4</v>
      </c>
      <c r="BE444" s="31"/>
      <c r="BF444" s="34">
        <v>35.4</v>
      </c>
      <c r="BG444" s="31"/>
      <c r="BH444" s="34">
        <v>35.4</v>
      </c>
      <c r="BI444" s="52"/>
      <c r="BJ444" s="34">
        <v>35.4</v>
      </c>
      <c r="BK444" s="52"/>
      <c r="BL444" s="34">
        <v>35.4</v>
      </c>
      <c r="BM444" s="52"/>
      <c r="BN444" s="34">
        <v>35.4</v>
      </c>
      <c r="BO444" s="52"/>
      <c r="BP444" s="34">
        <v>35.4</v>
      </c>
      <c r="BQ444" s="52"/>
      <c r="BR444" s="34">
        <v>35.4</v>
      </c>
      <c r="BS444" s="76"/>
    </row>
    <row r="445" spans="5:71" s="58" customFormat="1" outlineLevel="1" x14ac:dyDescent="0.25">
      <c r="E445" s="4"/>
      <c r="F445" s="4"/>
      <c r="G445" s="4" t="s">
        <v>652</v>
      </c>
      <c r="H445" s="1"/>
      <c r="J445" s="96"/>
      <c r="S445" s="66"/>
      <c r="T445" s="75">
        <v>16.622499999999999</v>
      </c>
      <c r="U445" s="76"/>
      <c r="V445" s="75">
        <v>16.622499999999999</v>
      </c>
      <c r="W445" s="76"/>
      <c r="X445" s="75">
        <v>16.622499999999999</v>
      </c>
      <c r="Y445" s="76"/>
      <c r="Z445" s="75">
        <v>16.622499999999999</v>
      </c>
      <c r="AA445" s="52"/>
      <c r="AB445" s="34">
        <v>16.622499999999999</v>
      </c>
      <c r="AC445" s="52"/>
      <c r="AD445" s="34">
        <v>16.622499999999999</v>
      </c>
      <c r="AE445" s="52"/>
      <c r="AF445" s="34">
        <v>16.622499999999999</v>
      </c>
      <c r="AG445" s="52"/>
      <c r="AH445" s="34">
        <v>16.622499999999999</v>
      </c>
      <c r="AI445" s="52"/>
      <c r="AJ445" s="34">
        <v>16.622499999999999</v>
      </c>
      <c r="AK445" s="52"/>
      <c r="AL445" s="34">
        <v>16.622499999999999</v>
      </c>
      <c r="AM445" s="52"/>
      <c r="AN445" s="34">
        <v>16.622499999999999</v>
      </c>
      <c r="AO445" s="52"/>
      <c r="AP445" s="34">
        <v>16.622499999999999</v>
      </c>
      <c r="AQ445" s="52"/>
      <c r="AR445" s="34">
        <v>16.622499999999999</v>
      </c>
      <c r="AS445" s="31"/>
      <c r="AT445" s="126">
        <v>16.622499999999999</v>
      </c>
      <c r="AU445" s="31"/>
      <c r="AV445" s="34">
        <v>0</v>
      </c>
      <c r="AW445" s="31"/>
      <c r="AX445" s="34">
        <v>0</v>
      </c>
      <c r="AY445" s="31"/>
      <c r="AZ445" s="34">
        <v>0</v>
      </c>
      <c r="BA445" s="31"/>
      <c r="BB445" s="34">
        <v>0</v>
      </c>
      <c r="BC445" s="31"/>
      <c r="BD445" s="34">
        <v>0</v>
      </c>
      <c r="BE445" s="31"/>
      <c r="BF445" s="34">
        <v>0</v>
      </c>
      <c r="BG445" s="31"/>
      <c r="BH445" s="34">
        <v>16.622499999999999</v>
      </c>
      <c r="BI445" s="52"/>
      <c r="BJ445" s="34">
        <v>16.622499999999999</v>
      </c>
      <c r="BK445" s="52"/>
      <c r="BL445" s="34">
        <v>16.622499999999999</v>
      </c>
      <c r="BM445" s="52"/>
      <c r="BN445" s="34">
        <v>16.622499999999999</v>
      </c>
      <c r="BO445" s="52"/>
      <c r="BP445" s="34">
        <v>16.622499999999999</v>
      </c>
      <c r="BQ445" s="52"/>
      <c r="BR445" s="34">
        <v>16.622499999999999</v>
      </c>
      <c r="BS445" s="76"/>
    </row>
    <row r="446" spans="5:71" s="58" customFormat="1" outlineLevel="1" x14ac:dyDescent="0.25">
      <c r="E446" s="4"/>
      <c r="F446" s="4"/>
      <c r="G446" s="4" t="s">
        <v>655</v>
      </c>
      <c r="H446" s="1"/>
      <c r="S446" s="66"/>
      <c r="T446" s="75">
        <v>25</v>
      </c>
      <c r="U446" s="76"/>
      <c r="V446" s="75">
        <v>25</v>
      </c>
      <c r="W446" s="76"/>
      <c r="X446" s="75">
        <v>25</v>
      </c>
      <c r="Y446" s="76"/>
      <c r="Z446" s="75">
        <v>25</v>
      </c>
      <c r="AA446" s="52"/>
      <c r="AB446" s="34">
        <v>25</v>
      </c>
      <c r="AC446" s="52"/>
      <c r="AD446" s="34">
        <v>25</v>
      </c>
      <c r="AE446" s="52"/>
      <c r="AF446" s="34">
        <v>25</v>
      </c>
      <c r="AG446" s="52"/>
      <c r="AH446" s="34">
        <v>25</v>
      </c>
      <c r="AI446" s="52"/>
      <c r="AJ446" s="34">
        <v>25</v>
      </c>
      <c r="AK446" s="52"/>
      <c r="AL446" s="34">
        <v>25</v>
      </c>
      <c r="AM446" s="52"/>
      <c r="AN446" s="34">
        <v>25</v>
      </c>
      <c r="AO446" s="52"/>
      <c r="AP446" s="34">
        <v>25</v>
      </c>
      <c r="AQ446" s="52"/>
      <c r="AR446" s="34">
        <v>25</v>
      </c>
      <c r="AS446" s="31"/>
      <c r="AT446" s="126">
        <v>25</v>
      </c>
      <c r="AU446" s="31"/>
      <c r="AV446" s="34">
        <v>0</v>
      </c>
      <c r="AW446" s="31"/>
      <c r="AX446" s="34">
        <v>0</v>
      </c>
      <c r="AY446" s="31"/>
      <c r="AZ446" s="34">
        <v>0</v>
      </c>
      <c r="BA446" s="31"/>
      <c r="BB446" s="34">
        <v>0</v>
      </c>
      <c r="BC446" s="31"/>
      <c r="BD446" s="34">
        <v>0</v>
      </c>
      <c r="BE446" s="31"/>
      <c r="BF446" s="34">
        <v>0</v>
      </c>
      <c r="BG446" s="31"/>
      <c r="BH446" s="34">
        <v>25</v>
      </c>
      <c r="BI446" s="52"/>
      <c r="BJ446" s="34">
        <v>25</v>
      </c>
      <c r="BK446" s="52"/>
      <c r="BL446" s="34">
        <v>25</v>
      </c>
      <c r="BM446" s="52"/>
      <c r="BN446" s="34">
        <v>25</v>
      </c>
      <c r="BO446" s="52"/>
      <c r="BP446" s="34">
        <v>25</v>
      </c>
      <c r="BQ446" s="52"/>
      <c r="BR446" s="34">
        <v>25</v>
      </c>
      <c r="BS446" s="76"/>
    </row>
    <row r="447" spans="5:71" s="58" customFormat="1" outlineLevel="1" x14ac:dyDescent="0.25">
      <c r="E447" s="4"/>
      <c r="F447" s="4"/>
      <c r="G447" s="1" t="s">
        <v>670</v>
      </c>
      <c r="S447" s="66"/>
      <c r="T447" s="75"/>
      <c r="U447" s="76"/>
      <c r="V447" s="75"/>
      <c r="W447" s="76"/>
      <c r="X447" s="75"/>
      <c r="Y447" s="76"/>
      <c r="Z447" s="75"/>
      <c r="AA447" s="52"/>
      <c r="AB447" s="34">
        <v>0</v>
      </c>
      <c r="AC447" s="52"/>
      <c r="AD447" s="34">
        <v>0</v>
      </c>
      <c r="AE447" s="52"/>
      <c r="AF447" s="34">
        <v>0</v>
      </c>
      <c r="AG447" s="52"/>
      <c r="AH447" s="34">
        <v>0</v>
      </c>
      <c r="AI447" s="52"/>
      <c r="AJ447" s="34">
        <v>0</v>
      </c>
      <c r="AK447" s="52"/>
      <c r="AL447" s="34">
        <v>0</v>
      </c>
      <c r="AM447" s="52"/>
      <c r="AN447" s="34">
        <v>0</v>
      </c>
      <c r="AO447" s="52"/>
      <c r="AP447" s="34">
        <v>0</v>
      </c>
      <c r="AQ447" s="52"/>
      <c r="AR447" s="34">
        <v>0</v>
      </c>
      <c r="AS447" s="31"/>
      <c r="AT447" s="126">
        <v>0</v>
      </c>
      <c r="AU447" s="31"/>
      <c r="AV447" s="34">
        <v>0</v>
      </c>
      <c r="AW447" s="31"/>
      <c r="AX447" s="34">
        <v>0</v>
      </c>
      <c r="AY447" s="31"/>
      <c r="AZ447" s="34">
        <v>0</v>
      </c>
      <c r="BA447" s="31"/>
      <c r="BB447" s="34">
        <v>0</v>
      </c>
      <c r="BC447" s="31"/>
      <c r="BD447" s="34">
        <v>0</v>
      </c>
      <c r="BE447" s="31"/>
      <c r="BF447" s="34">
        <v>0</v>
      </c>
      <c r="BG447" s="31"/>
      <c r="BH447" s="34">
        <v>0</v>
      </c>
      <c r="BI447" s="52"/>
      <c r="BJ447" s="34">
        <v>0</v>
      </c>
      <c r="BK447" s="52"/>
      <c r="BL447" s="34">
        <v>0</v>
      </c>
      <c r="BM447" s="52"/>
      <c r="BN447" s="34">
        <v>0</v>
      </c>
      <c r="BO447" s="52"/>
      <c r="BP447" s="34">
        <v>0</v>
      </c>
      <c r="BQ447" s="52"/>
      <c r="BR447" s="34">
        <v>0</v>
      </c>
      <c r="BS447" s="76"/>
    </row>
    <row r="448" spans="5:71" s="58" customFormat="1" outlineLevel="1" x14ac:dyDescent="0.25">
      <c r="E448" s="4"/>
      <c r="F448" s="4"/>
      <c r="G448" s="1" t="s">
        <v>671</v>
      </c>
      <c r="S448" s="66"/>
      <c r="T448" s="75"/>
      <c r="U448" s="76"/>
      <c r="V448" s="75"/>
      <c r="W448" s="76"/>
      <c r="X448" s="75"/>
      <c r="Y448" s="76"/>
      <c r="Z448" s="75"/>
      <c r="AA448" s="52"/>
      <c r="AB448" s="34">
        <v>0</v>
      </c>
      <c r="AC448" s="52"/>
      <c r="AD448" s="34">
        <v>0</v>
      </c>
      <c r="AE448" s="52"/>
      <c r="AF448" s="34">
        <v>0</v>
      </c>
      <c r="AG448" s="52"/>
      <c r="AH448" s="34">
        <v>0</v>
      </c>
      <c r="AI448" s="52"/>
      <c r="AJ448" s="34">
        <v>0</v>
      </c>
      <c r="AK448" s="52"/>
      <c r="AL448" s="34">
        <v>0</v>
      </c>
      <c r="AM448" s="52"/>
      <c r="AN448" s="34">
        <v>0</v>
      </c>
      <c r="AO448" s="52"/>
      <c r="AP448" s="34">
        <v>0</v>
      </c>
      <c r="AQ448" s="52"/>
      <c r="AR448" s="34">
        <v>0</v>
      </c>
      <c r="AS448" s="31"/>
      <c r="AT448" s="149">
        <f>18.45+4.1</f>
        <v>22.549999999999997</v>
      </c>
      <c r="AU448" s="4"/>
      <c r="AV448" s="36">
        <f>18.43+4.74</f>
        <v>23.17</v>
      </c>
      <c r="AW448" s="4"/>
      <c r="AX448" s="36">
        <f>18.4+13.4</f>
        <v>31.799999999999997</v>
      </c>
      <c r="AY448" s="4"/>
      <c r="AZ448" s="34">
        <f>17.72+17.7</f>
        <v>35.42</v>
      </c>
      <c r="BA448" s="4"/>
      <c r="BB448" s="36">
        <f>16.95+4.26</f>
        <v>21.21</v>
      </c>
      <c r="BC448" s="4"/>
      <c r="BD448" s="36">
        <f>16.88+1.51</f>
        <v>18.39</v>
      </c>
      <c r="BE448" s="4"/>
      <c r="BF448" s="34">
        <v>23</v>
      </c>
      <c r="BG448" s="31"/>
      <c r="BH448" s="34">
        <v>23</v>
      </c>
      <c r="BI448" s="52"/>
      <c r="BJ448" s="34">
        <v>23</v>
      </c>
      <c r="BK448" s="52"/>
      <c r="BL448" s="34">
        <v>23</v>
      </c>
      <c r="BM448" s="52"/>
      <c r="BN448" s="34">
        <v>23</v>
      </c>
      <c r="BO448" s="52"/>
      <c r="BP448" s="34">
        <v>23</v>
      </c>
      <c r="BQ448" s="52"/>
      <c r="BR448" s="34">
        <v>23</v>
      </c>
      <c r="BS448" s="76"/>
    </row>
    <row r="449" spans="5:71" s="58" customFormat="1" outlineLevel="1" x14ac:dyDescent="0.25">
      <c r="E449" s="4"/>
      <c r="F449" s="4"/>
      <c r="G449" s="1" t="s">
        <v>672</v>
      </c>
      <c r="S449" s="66"/>
      <c r="T449" s="75"/>
      <c r="U449" s="76"/>
      <c r="V449" s="75"/>
      <c r="W449" s="76"/>
      <c r="X449" s="75"/>
      <c r="Y449" s="76"/>
      <c r="Z449" s="75"/>
      <c r="AA449" s="52"/>
      <c r="AB449" s="34">
        <v>0</v>
      </c>
      <c r="AC449" s="52"/>
      <c r="AD449" s="34">
        <v>0</v>
      </c>
      <c r="AE449" s="52"/>
      <c r="AF449" s="34">
        <v>0</v>
      </c>
      <c r="AG449" s="52"/>
      <c r="AH449" s="34">
        <v>0</v>
      </c>
      <c r="AI449" s="52"/>
      <c r="AJ449" s="34">
        <v>0</v>
      </c>
      <c r="AK449" s="52"/>
      <c r="AL449" s="34">
        <v>0</v>
      </c>
      <c r="AM449" s="52"/>
      <c r="AN449" s="34">
        <f>218.2/12</f>
        <v>18.183333333333334</v>
      </c>
      <c r="AO449" s="52"/>
      <c r="AP449" s="34">
        <v>18</v>
      </c>
      <c r="AQ449" s="52"/>
      <c r="AR449" s="34">
        <v>18</v>
      </c>
      <c r="AS449" s="31"/>
      <c r="AT449" s="126">
        <v>18</v>
      </c>
      <c r="AU449" s="31"/>
      <c r="AV449" s="34">
        <v>18</v>
      </c>
      <c r="AW449" s="4"/>
      <c r="AX449" s="34">
        <v>18</v>
      </c>
      <c r="AY449" s="31"/>
      <c r="AZ449" s="34">
        <v>18</v>
      </c>
      <c r="BA449" s="31"/>
      <c r="BB449" s="34">
        <v>18</v>
      </c>
      <c r="BC449" s="31"/>
      <c r="BD449" s="34">
        <v>18</v>
      </c>
      <c r="BE449" s="31"/>
      <c r="BF449" s="34">
        <v>18</v>
      </c>
      <c r="BG449" s="31"/>
      <c r="BH449" s="34">
        <v>18</v>
      </c>
      <c r="BI449" s="52"/>
      <c r="BJ449" s="34">
        <v>18</v>
      </c>
      <c r="BK449" s="52"/>
      <c r="BL449" s="34">
        <v>0</v>
      </c>
      <c r="BM449" s="52"/>
      <c r="BN449" s="34">
        <v>0</v>
      </c>
      <c r="BO449" s="52"/>
      <c r="BP449" s="34">
        <v>0</v>
      </c>
      <c r="BQ449" s="52"/>
      <c r="BR449" s="34">
        <v>0</v>
      </c>
      <c r="BS449" s="76"/>
    </row>
    <row r="450" spans="5:71" s="58" customFormat="1" outlineLevel="1" x14ac:dyDescent="0.25">
      <c r="E450" s="4"/>
      <c r="F450" s="4"/>
      <c r="G450" s="1" t="s">
        <v>673</v>
      </c>
      <c r="S450" s="66"/>
      <c r="T450" s="75"/>
      <c r="U450" s="76"/>
      <c r="V450" s="75"/>
      <c r="W450" s="76"/>
      <c r="X450" s="75"/>
      <c r="Y450" s="76"/>
      <c r="Z450" s="75"/>
      <c r="AA450" s="52"/>
      <c r="AB450" s="34">
        <v>0</v>
      </c>
      <c r="AC450" s="52"/>
      <c r="AD450" s="34">
        <v>0</v>
      </c>
      <c r="AE450" s="52"/>
      <c r="AF450" s="34">
        <v>0</v>
      </c>
      <c r="AG450" s="52"/>
      <c r="AH450" s="34">
        <v>0</v>
      </c>
      <c r="AI450" s="52"/>
      <c r="AJ450" s="34">
        <v>0</v>
      </c>
      <c r="AK450" s="52"/>
      <c r="AL450" s="34">
        <v>0</v>
      </c>
      <c r="AM450" s="52"/>
      <c r="AN450" s="34">
        <v>0</v>
      </c>
      <c r="AO450" s="52"/>
      <c r="AP450" s="34">
        <v>0</v>
      </c>
      <c r="AQ450" s="52"/>
      <c r="AR450" s="34">
        <v>0</v>
      </c>
      <c r="AS450" s="31"/>
      <c r="AT450" s="149">
        <v>10.95</v>
      </c>
      <c r="AU450" s="4"/>
      <c r="AV450" s="36">
        <f>50.33+50.33+50.33+97.83+49.83</f>
        <v>298.64999999999998</v>
      </c>
      <c r="AW450" s="4"/>
      <c r="AX450" s="34">
        <f>292.12</f>
        <v>292.12</v>
      </c>
      <c r="AY450" s="31"/>
      <c r="AZ450" s="34">
        <v>0</v>
      </c>
      <c r="BA450" s="31"/>
      <c r="BB450" s="34">
        <v>0</v>
      </c>
      <c r="BC450" s="31"/>
      <c r="BD450" s="36">
        <f>46.04+359.95</f>
        <v>405.99</v>
      </c>
      <c r="BE450" s="4"/>
      <c r="BF450" s="34">
        <v>0</v>
      </c>
      <c r="BG450" s="31"/>
      <c r="BH450" s="34">
        <v>359.95</v>
      </c>
      <c r="BI450" s="52"/>
      <c r="BJ450" s="34">
        <v>359.95</v>
      </c>
      <c r="BK450" s="52"/>
      <c r="BL450" s="34">
        <v>359.95</v>
      </c>
      <c r="BM450" s="52"/>
      <c r="BN450" s="34">
        <v>359.95</v>
      </c>
      <c r="BO450" s="52"/>
      <c r="BP450" s="34">
        <v>359.95</v>
      </c>
      <c r="BQ450" s="52"/>
      <c r="BR450" s="34">
        <v>359.95</v>
      </c>
      <c r="BS450" s="76"/>
    </row>
    <row r="451" spans="5:71" s="58" customFormat="1" outlineLevel="1" x14ac:dyDescent="0.25">
      <c r="E451" s="4"/>
      <c r="F451" s="4"/>
      <c r="G451" s="1" t="s">
        <v>674</v>
      </c>
      <c r="S451" s="66"/>
      <c r="T451" s="75"/>
      <c r="U451" s="76"/>
      <c r="V451" s="75"/>
      <c r="W451" s="76"/>
      <c r="X451" s="75"/>
      <c r="Y451" s="76"/>
      <c r="Z451" s="75"/>
      <c r="AA451" s="52"/>
      <c r="AB451" s="34">
        <v>0</v>
      </c>
      <c r="AC451" s="52"/>
      <c r="AD451" s="34">
        <v>0</v>
      </c>
      <c r="AE451" s="52"/>
      <c r="AF451" s="34">
        <v>0</v>
      </c>
      <c r="AG451" s="52"/>
      <c r="AH451" s="34">
        <v>0</v>
      </c>
      <c r="AI451" s="52"/>
      <c r="AJ451" s="34">
        <v>0</v>
      </c>
      <c r="AK451" s="52"/>
      <c r="AL451" s="34">
        <v>0</v>
      </c>
      <c r="AM451" s="52"/>
      <c r="AN451" s="34">
        <v>91.09</v>
      </c>
      <c r="AO451" s="52"/>
      <c r="AP451" s="34">
        <v>91.87</v>
      </c>
      <c r="AQ451" s="52"/>
      <c r="AR451" s="34">
        <v>93.85</v>
      </c>
      <c r="AS451" s="31"/>
      <c r="AT451" s="149">
        <v>95.43</v>
      </c>
      <c r="AU451" s="4"/>
      <c r="AV451" s="34">
        <v>97.74</v>
      </c>
      <c r="AW451" s="31"/>
      <c r="AX451" s="34">
        <v>97.38</v>
      </c>
      <c r="AY451" s="31"/>
      <c r="AZ451" s="34">
        <v>93.36</v>
      </c>
      <c r="BA451" s="31"/>
      <c r="BB451" s="34">
        <v>92.24</v>
      </c>
      <c r="BC451" s="31"/>
      <c r="BD451" s="34">
        <v>89.77</v>
      </c>
      <c r="BE451" s="31"/>
      <c r="BF451" s="36">
        <v>88.27</v>
      </c>
      <c r="BG451" s="4"/>
      <c r="BH451" s="34">
        <v>90</v>
      </c>
      <c r="BI451" s="52"/>
      <c r="BJ451" s="34">
        <v>90</v>
      </c>
      <c r="BK451" s="52"/>
      <c r="BL451" s="34">
        <v>90</v>
      </c>
      <c r="BM451" s="52"/>
      <c r="BN451" s="34">
        <v>90</v>
      </c>
      <c r="BO451" s="52"/>
      <c r="BP451" s="34">
        <v>90</v>
      </c>
      <c r="BQ451" s="52"/>
      <c r="BR451" s="34">
        <v>90</v>
      </c>
      <c r="BS451" s="76"/>
    </row>
    <row r="452" spans="5:71" s="58" customFormat="1" outlineLevel="1" x14ac:dyDescent="0.25">
      <c r="E452" s="4"/>
      <c r="F452" s="4"/>
      <c r="G452" s="1" t="s">
        <v>678</v>
      </c>
      <c r="S452" s="66"/>
      <c r="T452" s="75"/>
      <c r="U452" s="76"/>
      <c r="V452" s="75"/>
      <c r="W452" s="76"/>
      <c r="X452" s="75"/>
      <c r="Y452" s="76"/>
      <c r="Z452" s="75"/>
      <c r="AA452" s="52"/>
      <c r="AB452" s="34">
        <v>0</v>
      </c>
      <c r="AC452" s="52"/>
      <c r="AD452" s="34">
        <v>0</v>
      </c>
      <c r="AE452" s="52"/>
      <c r="AF452" s="34">
        <v>0</v>
      </c>
      <c r="AG452" s="52"/>
      <c r="AH452" s="34">
        <v>0</v>
      </c>
      <c r="AI452" s="52"/>
      <c r="AJ452" s="34">
        <v>0</v>
      </c>
      <c r="AK452" s="52"/>
      <c r="AL452" s="34">
        <v>0</v>
      </c>
      <c r="AM452" s="52"/>
      <c r="AN452" s="34">
        <v>0</v>
      </c>
      <c r="AO452" s="52"/>
      <c r="AP452" s="34">
        <v>0</v>
      </c>
      <c r="AQ452" s="52"/>
      <c r="AR452" s="34">
        <v>0</v>
      </c>
      <c r="AS452" s="31"/>
      <c r="AT452" s="126">
        <v>0</v>
      </c>
      <c r="AU452" s="31"/>
      <c r="AV452" s="34">
        <v>0</v>
      </c>
      <c r="AW452" s="31"/>
      <c r="AX452" s="34">
        <v>0</v>
      </c>
      <c r="AY452" s="31"/>
      <c r="AZ452" s="34">
        <v>0</v>
      </c>
      <c r="BA452" s="31"/>
      <c r="BB452" s="34">
        <v>0</v>
      </c>
      <c r="BC452" s="31"/>
      <c r="BD452" s="34">
        <v>0</v>
      </c>
      <c r="BE452" s="31"/>
      <c r="BF452" s="34">
        <v>19</v>
      </c>
      <c r="BG452" s="31"/>
      <c r="BH452" s="34">
        <v>19</v>
      </c>
      <c r="BI452" s="52"/>
      <c r="BJ452" s="34">
        <v>19</v>
      </c>
      <c r="BK452" s="52"/>
      <c r="BL452" s="34">
        <v>19</v>
      </c>
      <c r="BM452" s="52"/>
      <c r="BN452" s="34">
        <v>19</v>
      </c>
      <c r="BO452" s="52"/>
      <c r="BP452" s="34">
        <v>19</v>
      </c>
      <c r="BQ452" s="52"/>
      <c r="BR452" s="34">
        <v>19</v>
      </c>
      <c r="BS452" s="76"/>
    </row>
    <row r="453" spans="5:71" x14ac:dyDescent="0.25">
      <c r="F453" s="98" t="s">
        <v>682</v>
      </c>
      <c r="T453" s="4">
        <f>T454</f>
        <v>0</v>
      </c>
      <c r="V453" s="4">
        <f>V454</f>
        <v>0</v>
      </c>
      <c r="X453" s="4">
        <f>X454</f>
        <v>0</v>
      </c>
      <c r="Z453" s="4">
        <f>Z454</f>
        <v>0</v>
      </c>
      <c r="AB453" s="4">
        <f>AB454</f>
        <v>46.169999999999995</v>
      </c>
      <c r="AD453" s="4">
        <f>AD454</f>
        <v>51.486666666666665</v>
      </c>
      <c r="AF453" s="4">
        <f>AF454</f>
        <v>51.486666666666665</v>
      </c>
      <c r="AH453" s="4">
        <f>AH454</f>
        <v>51.486666666666665</v>
      </c>
      <c r="AJ453" s="4">
        <f>AJ454</f>
        <v>51.57</v>
      </c>
      <c r="AL453" s="4">
        <f>AL454</f>
        <v>51.57</v>
      </c>
      <c r="AN453" s="4">
        <f>AN454</f>
        <v>51.57</v>
      </c>
      <c r="AP453" s="4">
        <f>AP454</f>
        <v>96.516666666666666</v>
      </c>
      <c r="AR453" s="4">
        <f>AR454</f>
        <v>96.516666666666666</v>
      </c>
      <c r="AT453" s="121">
        <f>AT454</f>
        <v>96.516666666666666</v>
      </c>
      <c r="AV453" s="4">
        <f>AV454</f>
        <v>65.703333333333333</v>
      </c>
      <c r="AX453" s="4">
        <f>AX454</f>
        <v>65.703333333333333</v>
      </c>
      <c r="AZ453" s="4">
        <f>AZ454</f>
        <v>65.703333333333333</v>
      </c>
      <c r="BB453" s="4">
        <f>BB454</f>
        <v>72.399999999999991</v>
      </c>
      <c r="BD453" s="4">
        <f>BD454</f>
        <v>72</v>
      </c>
      <c r="BF453" s="4">
        <f>BF454</f>
        <v>72</v>
      </c>
      <c r="BH453" s="4">
        <f>BH454</f>
        <v>0</v>
      </c>
      <c r="BJ453" s="4">
        <f>BJ454</f>
        <v>0</v>
      </c>
      <c r="BL453" s="4">
        <f>BL454</f>
        <v>0</v>
      </c>
      <c r="BN453" s="4">
        <f>BN454</f>
        <v>0</v>
      </c>
      <c r="BP453" s="4">
        <f>BP454</f>
        <v>0</v>
      </c>
      <c r="BR453" s="4">
        <f>BR454</f>
        <v>0</v>
      </c>
    </row>
    <row r="454" spans="5:71" s="58" customFormat="1" outlineLevel="1" x14ac:dyDescent="0.25">
      <c r="G454" s="98" t="s">
        <v>685</v>
      </c>
      <c r="H454" s="99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100"/>
      <c r="T454" s="94"/>
      <c r="U454" s="100"/>
      <c r="V454" s="94"/>
      <c r="W454" s="100"/>
      <c r="X454" s="94"/>
      <c r="Y454" s="100"/>
      <c r="Z454" s="94"/>
      <c r="AA454" s="100"/>
      <c r="AB454" s="94">
        <f>138.51/3</f>
        <v>46.169999999999995</v>
      </c>
      <c r="AC454" s="100"/>
      <c r="AD454" s="94">
        <f>(15.95/3)+(138.51/3)</f>
        <v>51.486666666666665</v>
      </c>
      <c r="AE454" s="100"/>
      <c r="AF454" s="94">
        <f>(15.95/3)+(138.51/3)</f>
        <v>51.486666666666665</v>
      </c>
      <c r="AG454" s="100"/>
      <c r="AH454" s="94">
        <f>(15.95/3)+(138.51/3)</f>
        <v>51.486666666666665</v>
      </c>
      <c r="AI454" s="100"/>
      <c r="AJ454" s="94">
        <f>154.71/3</f>
        <v>51.57</v>
      </c>
      <c r="AK454" s="100"/>
      <c r="AL454" s="94">
        <f>154.71/3</f>
        <v>51.57</v>
      </c>
      <c r="AM454" s="100"/>
      <c r="AN454" s="94">
        <f>154.71/3</f>
        <v>51.57</v>
      </c>
      <c r="AO454" s="100"/>
      <c r="AP454" s="94">
        <f>(197.21/3)+(92.34/3)</f>
        <v>96.516666666666666</v>
      </c>
      <c r="AQ454" s="100"/>
      <c r="AR454" s="94">
        <f>(197.21/3)+(92.34/3)</f>
        <v>96.516666666666666</v>
      </c>
      <c r="AS454" s="100"/>
      <c r="AT454" s="152">
        <f>(197.21/3)+(92.34/3)</f>
        <v>96.516666666666666</v>
      </c>
      <c r="AU454" s="100"/>
      <c r="AV454" s="94">
        <f>197.11/3</f>
        <v>65.703333333333333</v>
      </c>
      <c r="AW454" s="100"/>
      <c r="AX454" s="94">
        <f>197.11/3</f>
        <v>65.703333333333333</v>
      </c>
      <c r="AY454" s="100"/>
      <c r="AZ454" s="94">
        <f>197.11/3</f>
        <v>65.703333333333333</v>
      </c>
      <c r="BA454" s="100"/>
      <c r="BB454" s="94">
        <f>217.2/3</f>
        <v>72.399999999999991</v>
      </c>
      <c r="BC454" s="100"/>
      <c r="BD454" s="94">
        <v>72</v>
      </c>
      <c r="BE454" s="100"/>
      <c r="BF454" s="94">
        <v>72</v>
      </c>
      <c r="BG454" s="100"/>
      <c r="BH454" s="94">
        <v>0</v>
      </c>
      <c r="BI454" s="100"/>
      <c r="BJ454" s="94">
        <v>0</v>
      </c>
      <c r="BK454" s="100"/>
      <c r="BL454" s="94">
        <v>0</v>
      </c>
      <c r="BM454" s="100"/>
      <c r="BN454" s="94">
        <v>0</v>
      </c>
      <c r="BO454" s="100"/>
      <c r="BP454" s="94">
        <v>0</v>
      </c>
      <c r="BQ454" s="100"/>
      <c r="BR454" s="94">
        <v>0</v>
      </c>
      <c r="BS454" s="66"/>
    </row>
    <row r="456" spans="5:71" s="14" customFormat="1" x14ac:dyDescent="0.25">
      <c r="E456" s="14" t="s">
        <v>746</v>
      </c>
      <c r="G456" s="21"/>
      <c r="I456" s="92"/>
      <c r="N456" s="19"/>
      <c r="R456" s="4"/>
      <c r="S456" s="20"/>
      <c r="T456" s="14">
        <f>T457+T461+T463+T465+T469+T472+T478+T486</f>
        <v>1592.8600000000001</v>
      </c>
      <c r="U456" s="22"/>
      <c r="V456" s="14">
        <f>V457+V461+V463+V465+V469+V472+V478+V486</f>
        <v>7664.91</v>
      </c>
      <c r="W456" s="22"/>
      <c r="X456" s="14">
        <f>X457+X461+X463+X465+X469+X472+X478+X486</f>
        <v>8020.91</v>
      </c>
      <c r="Y456" s="22"/>
      <c r="Z456" s="14">
        <f>Z457+Z461+Z463+Z465+Z469+Z472+Z478+Z486</f>
        <v>7793.41</v>
      </c>
      <c r="AA456" s="22"/>
      <c r="AB456" s="14">
        <f>AB457+AB461+AB463+AB465+AB469+AB472+AB478+AB486</f>
        <v>7666.91</v>
      </c>
      <c r="AC456" s="22"/>
      <c r="AD456" s="14">
        <f>AD457+AD461+AD463+AD465+AD469+AD472+AD478+AD486</f>
        <v>7933.4066666666668</v>
      </c>
      <c r="AE456" s="18"/>
      <c r="AF456" s="14">
        <f>AF457+AF461+AF463+AF465+AF469+AF472+AF478+AF486</f>
        <v>7933.4066666666668</v>
      </c>
      <c r="AG456" s="22"/>
      <c r="AH456" s="14">
        <f>AH457+AH461+AH463+AH465+AH469+AH472+AH478+AH486</f>
        <v>7933.4066666666668</v>
      </c>
      <c r="AI456" s="22"/>
      <c r="AJ456" s="14">
        <f>AJ457+AJ461+AJ463+AJ465+AJ469+AJ472+AJ478+AJ486</f>
        <v>7933.4066666666668</v>
      </c>
      <c r="AK456" s="22"/>
      <c r="AL456" s="14">
        <f>AL457+AL461+AL463+AL465+AL469+AL472+AL478+AL486</f>
        <v>7933.4066666666668</v>
      </c>
      <c r="AM456" s="22"/>
      <c r="AN456" s="14">
        <f>AN457+AN461+AN463+AN465+AN469+AN472+AN478+AN486</f>
        <v>9130.9533333333329</v>
      </c>
      <c r="AO456" s="22"/>
      <c r="AP456" s="14">
        <f>AP457+AP461+AP463+AP465+AP469+AP472+AP478+AP486</f>
        <v>9343.4466666666667</v>
      </c>
      <c r="AQ456" s="22"/>
      <c r="AR456" s="14">
        <f>AR457+AR461+AR463+AR465+AR469+AR472+AR478+AR486</f>
        <v>9380.246666666666</v>
      </c>
      <c r="AS456" s="22"/>
      <c r="AT456" s="125">
        <f>AT457+AT461+AT463+AT465+AT469+AT472+AT478+AT486</f>
        <v>9498.32</v>
      </c>
      <c r="AU456" s="22"/>
      <c r="AV456" s="14">
        <f>AV457+AV461+AV463+AV465+AV469+AV472+AV478+AV486</f>
        <v>9147.1899999999987</v>
      </c>
      <c r="AW456" s="22"/>
      <c r="AX456" s="14">
        <f>AX457+AX461+AX463+AX465+AX469+AX472+AX478+AX486</f>
        <v>9220.25</v>
      </c>
      <c r="AY456" s="22"/>
      <c r="AZ456" s="14">
        <f>AZ457+AZ461+AZ463+AZ465+AZ469+AZ472+AZ478+AZ486</f>
        <v>9975.8624999999993</v>
      </c>
      <c r="BA456" s="22"/>
      <c r="BB456" s="14">
        <f>BB457+BB461+BB463+BB465+BB469+BB472+BB478+BB486</f>
        <v>9686.3425000000007</v>
      </c>
      <c r="BC456" s="22"/>
      <c r="BD456" s="14">
        <f>BD457+BD461+BD463+BD465+BD469+BD472+BD478+BD486</f>
        <v>12849.432500000001</v>
      </c>
      <c r="BE456" s="22"/>
      <c r="BF456" s="14">
        <f>BF457+BF461+BF463+BF465+BF469+BF472+BF478+BF486</f>
        <v>10523.992499999998</v>
      </c>
      <c r="BG456" s="22"/>
      <c r="BH456" s="14">
        <f>BH457+BH461+BH463+BH465+BH469+BH472+BH478+BH486</f>
        <v>11104.042499999998</v>
      </c>
      <c r="BI456" s="22"/>
      <c r="BJ456" s="14">
        <f>BJ457+BJ461+BJ463+BJ465+BJ469+BJ472+BJ478+BJ486</f>
        <v>16104.042499999998</v>
      </c>
      <c r="BK456" s="22"/>
      <c r="BL456" s="14">
        <f>BL457+BL461+BL463+BL465+BL469+BL472+BL478+BL486</f>
        <v>11239.042499999998</v>
      </c>
      <c r="BM456" s="22"/>
      <c r="BN456" s="14">
        <f>BN457+BN461+BN463+BN465+BN469+BN472+BN478+BN486</f>
        <v>12239.042499999998</v>
      </c>
      <c r="BO456" s="22"/>
      <c r="BP456" s="14">
        <f>BP457+BP461+BP463+BP465+BP469+BP472+BP478+BP486</f>
        <v>12239.042499999998</v>
      </c>
      <c r="BQ456" s="22"/>
      <c r="BR456" s="14">
        <f>BR457+BR461+BR463+BR465+BR469+BR472+BR478+BR486</f>
        <v>12239.042499999998</v>
      </c>
      <c r="BS456" s="22"/>
    </row>
    <row r="457" spans="5:71" x14ac:dyDescent="0.25">
      <c r="F457" s="4" t="s">
        <v>582</v>
      </c>
      <c r="T457" s="4">
        <f>T458</f>
        <v>0</v>
      </c>
      <c r="V457" s="4">
        <f>V458</f>
        <v>0</v>
      </c>
      <c r="X457" s="4">
        <f>X458</f>
        <v>0</v>
      </c>
      <c r="Z457" s="4">
        <f>Z458</f>
        <v>0</v>
      </c>
      <c r="AB457" s="4">
        <f>AB458</f>
        <v>2600</v>
      </c>
      <c r="AD457" s="4">
        <f>AD458</f>
        <v>2723.5</v>
      </c>
      <c r="AF457" s="4">
        <f>AF458</f>
        <v>2723.5</v>
      </c>
      <c r="AH457" s="4">
        <f>AH458</f>
        <v>2723.5</v>
      </c>
      <c r="AJ457" s="4">
        <f>AJ458</f>
        <v>2723.5</v>
      </c>
      <c r="AL457" s="4">
        <f>AL458</f>
        <v>2723.5</v>
      </c>
      <c r="AN457" s="4">
        <f>AN458</f>
        <v>2723.5</v>
      </c>
      <c r="AP457" s="4">
        <f>AP458</f>
        <v>2723.5</v>
      </c>
      <c r="AR457" s="4">
        <f>AR458</f>
        <v>2723.5</v>
      </c>
      <c r="AT457" s="121">
        <f>AT458</f>
        <v>2723.5</v>
      </c>
      <c r="AV457" s="4">
        <f>AV458</f>
        <v>2723.5</v>
      </c>
      <c r="AX457" s="4">
        <f>AX458</f>
        <v>2723.5</v>
      </c>
      <c r="AZ457" s="4">
        <f>AZ458</f>
        <v>2723.5</v>
      </c>
      <c r="BB457" s="4">
        <f>BB458</f>
        <v>2723.5</v>
      </c>
      <c r="BD457" s="4">
        <f>BD458</f>
        <v>2723.5</v>
      </c>
      <c r="BF457" s="4">
        <f>BF458</f>
        <v>2723.5</v>
      </c>
      <c r="BH457" s="4">
        <f>BH458</f>
        <v>2723.5</v>
      </c>
      <c r="BJ457" s="4">
        <f>BJ458</f>
        <v>2723.5</v>
      </c>
      <c r="BL457" s="4">
        <f>BL458</f>
        <v>2723.5</v>
      </c>
      <c r="BN457" s="4">
        <f>BN458</f>
        <v>2723.5</v>
      </c>
      <c r="BP457" s="4">
        <f>BP458</f>
        <v>2723.5</v>
      </c>
      <c r="BR457" s="4">
        <f>BR458</f>
        <v>2723.5</v>
      </c>
    </row>
    <row r="458" spans="5:71" outlineLevel="1" x14ac:dyDescent="0.25">
      <c r="G458" s="4" t="s">
        <v>583</v>
      </c>
      <c r="H458" s="1"/>
      <c r="I458" s="14"/>
      <c r="J458" s="92"/>
      <c r="P458" s="31"/>
      <c r="T458" s="4">
        <f>T459+T460</f>
        <v>0</v>
      </c>
      <c r="U458" s="16"/>
      <c r="V458" s="4">
        <f>V459+V460</f>
        <v>0</v>
      </c>
      <c r="W458" s="16"/>
      <c r="X458" s="4">
        <f>X459+X460</f>
        <v>0</v>
      </c>
      <c r="Y458" s="16"/>
      <c r="Z458" s="4">
        <f>Z459+Z460</f>
        <v>0</v>
      </c>
      <c r="AA458" s="16"/>
      <c r="AB458" s="4">
        <f>AB459+AB460</f>
        <v>2600</v>
      </c>
      <c r="AC458" s="16"/>
      <c r="AD458" s="4">
        <f>AD459+AD460</f>
        <v>2723.5</v>
      </c>
      <c r="AE458" s="16"/>
      <c r="AF458" s="4">
        <f>AF459+AF460</f>
        <v>2723.5</v>
      </c>
      <c r="AG458" s="16"/>
      <c r="AH458" s="4">
        <f>AH459+AH460</f>
        <v>2723.5</v>
      </c>
      <c r="AI458" s="16"/>
      <c r="AJ458" s="4">
        <f>AJ459+AJ460</f>
        <v>2723.5</v>
      </c>
      <c r="AK458" s="16"/>
      <c r="AL458" s="4">
        <f>AL459+AL460</f>
        <v>2723.5</v>
      </c>
      <c r="AM458" s="16"/>
      <c r="AN458" s="4">
        <f>AN459+AN460</f>
        <v>2723.5</v>
      </c>
      <c r="AO458" s="16"/>
      <c r="AP458" s="4">
        <f>AP459+AP460</f>
        <v>2723.5</v>
      </c>
      <c r="AQ458" s="16"/>
      <c r="AR458" s="4">
        <f>AR459+AR460</f>
        <v>2723.5</v>
      </c>
      <c r="AS458" s="16"/>
      <c r="AT458" s="121">
        <f>AT459+AT460</f>
        <v>2723.5</v>
      </c>
      <c r="AU458" s="16"/>
      <c r="AV458" s="4">
        <f>AV459+AV460</f>
        <v>2723.5</v>
      </c>
      <c r="AW458" s="16"/>
      <c r="AX458" s="4">
        <f>AX459+AX460</f>
        <v>2723.5</v>
      </c>
      <c r="AY458" s="16"/>
      <c r="AZ458" s="4">
        <f>AZ459+AZ460</f>
        <v>2723.5</v>
      </c>
      <c r="BA458" s="16"/>
      <c r="BB458" s="4">
        <f>BB459+BB460</f>
        <v>2723.5</v>
      </c>
      <c r="BC458" s="16"/>
      <c r="BD458" s="4">
        <f>BD459+BD460</f>
        <v>2723.5</v>
      </c>
      <c r="BE458" s="16"/>
      <c r="BF458" s="4">
        <f>BF459+BF460</f>
        <v>2723.5</v>
      </c>
      <c r="BG458" s="16"/>
      <c r="BH458" s="4">
        <f>BH459+BH460</f>
        <v>2723.5</v>
      </c>
      <c r="BI458" s="16"/>
      <c r="BJ458" s="4">
        <f>BJ459+BJ460</f>
        <v>2723.5</v>
      </c>
      <c r="BK458" s="16"/>
      <c r="BL458" s="4">
        <f>BL459+BL460</f>
        <v>2723.5</v>
      </c>
      <c r="BM458" s="16"/>
      <c r="BN458" s="4">
        <f>BN459+BN460</f>
        <v>2723.5</v>
      </c>
      <c r="BO458" s="16"/>
      <c r="BP458" s="4">
        <f>BP459+BP460</f>
        <v>2723.5</v>
      </c>
      <c r="BQ458" s="16"/>
      <c r="BR458" s="4">
        <f>BR459+BR460</f>
        <v>2723.5</v>
      </c>
      <c r="BS458" s="16"/>
    </row>
    <row r="459" spans="5:71" s="1" customFormat="1" outlineLevel="2" x14ac:dyDescent="0.25">
      <c r="E459" s="4"/>
      <c r="F459" s="4"/>
      <c r="G459" s="4"/>
      <c r="H459" s="1" t="s">
        <v>584</v>
      </c>
      <c r="I459" s="4"/>
      <c r="J459" s="14"/>
      <c r="N459" s="23"/>
      <c r="P459" s="52"/>
      <c r="S459" s="18"/>
      <c r="T459" s="53">
        <v>0</v>
      </c>
      <c r="U459" s="18"/>
      <c r="V459" s="53">
        <v>0</v>
      </c>
      <c r="W459" s="18"/>
      <c r="X459" s="53">
        <v>0</v>
      </c>
      <c r="Y459" s="18"/>
      <c r="Z459" s="53">
        <v>0</v>
      </c>
      <c r="AA459" s="18"/>
      <c r="AB459" s="53">
        <v>1181</v>
      </c>
      <c r="AC459" s="18"/>
      <c r="AD459" s="53">
        <v>1304.5</v>
      </c>
      <c r="AE459" s="18"/>
      <c r="AF459" s="53">
        <v>1304.5</v>
      </c>
      <c r="AG459" s="18"/>
      <c r="AH459" s="53">
        <v>1304.5</v>
      </c>
      <c r="AI459" s="18"/>
      <c r="AJ459" s="53">
        <v>1304.5</v>
      </c>
      <c r="AK459" s="18"/>
      <c r="AL459" s="53">
        <v>1304.5</v>
      </c>
      <c r="AM459" s="18"/>
      <c r="AN459" s="53">
        <v>1304.5</v>
      </c>
      <c r="AO459" s="18"/>
      <c r="AP459" s="53">
        <v>1304.5</v>
      </c>
      <c r="AQ459" s="18"/>
      <c r="AR459" s="53">
        <v>1304.5</v>
      </c>
      <c r="AS459" s="18"/>
      <c r="AT459" s="148">
        <v>1304.5</v>
      </c>
      <c r="AU459" s="18"/>
      <c r="AV459" s="53">
        <v>1304.5</v>
      </c>
      <c r="AW459" s="18"/>
      <c r="AX459" s="53">
        <v>1304.5</v>
      </c>
      <c r="AY459" s="18"/>
      <c r="AZ459" s="53">
        <v>1304.5</v>
      </c>
      <c r="BA459" s="18"/>
      <c r="BB459" s="53">
        <v>1304.5</v>
      </c>
      <c r="BC459" s="18"/>
      <c r="BD459" s="53">
        <v>1304.5</v>
      </c>
      <c r="BE459" s="18"/>
      <c r="BF459" s="53">
        <v>1304.5</v>
      </c>
      <c r="BG459" s="18"/>
      <c r="BH459" s="53">
        <v>1304.5</v>
      </c>
      <c r="BI459" s="18"/>
      <c r="BJ459" s="53">
        <v>1304.5</v>
      </c>
      <c r="BK459" s="18"/>
      <c r="BL459" s="53">
        <v>1304.5</v>
      </c>
      <c r="BM459" s="18"/>
      <c r="BN459" s="53">
        <v>1304.5</v>
      </c>
      <c r="BO459" s="18"/>
      <c r="BP459" s="53">
        <v>1304.5</v>
      </c>
      <c r="BQ459" s="18"/>
      <c r="BR459" s="53">
        <v>1304.5</v>
      </c>
      <c r="BS459" s="18"/>
    </row>
    <row r="460" spans="5:71" s="1" customFormat="1" outlineLevel="2" x14ac:dyDescent="0.25">
      <c r="E460" s="4"/>
      <c r="F460" s="4"/>
      <c r="G460" s="4"/>
      <c r="H460" s="1" t="s">
        <v>585</v>
      </c>
      <c r="J460" s="4"/>
      <c r="N460" s="23"/>
      <c r="P460" s="52"/>
      <c r="S460" s="18"/>
      <c r="T460" s="53">
        <v>0</v>
      </c>
      <c r="U460" s="18"/>
      <c r="V460" s="53">
        <v>0</v>
      </c>
      <c r="W460" s="18"/>
      <c r="X460" s="53">
        <v>0</v>
      </c>
      <c r="Y460" s="18"/>
      <c r="Z460" s="53">
        <v>0</v>
      </c>
      <c r="AA460" s="18"/>
      <c r="AB460" s="53">
        <v>1419</v>
      </c>
      <c r="AC460" s="18"/>
      <c r="AD460" s="53">
        <v>1419</v>
      </c>
      <c r="AE460" s="18"/>
      <c r="AF460" s="53">
        <v>1419</v>
      </c>
      <c r="AG460" s="18"/>
      <c r="AH460" s="53">
        <v>1419</v>
      </c>
      <c r="AI460" s="18"/>
      <c r="AJ460" s="53">
        <v>1419</v>
      </c>
      <c r="AK460" s="18"/>
      <c r="AL460" s="53">
        <v>1419</v>
      </c>
      <c r="AM460" s="18"/>
      <c r="AN460" s="53">
        <v>1419</v>
      </c>
      <c r="AO460" s="18"/>
      <c r="AP460" s="53">
        <v>1419</v>
      </c>
      <c r="AQ460" s="18"/>
      <c r="AR460" s="53">
        <v>1419</v>
      </c>
      <c r="AS460" s="18"/>
      <c r="AT460" s="148">
        <v>1419</v>
      </c>
      <c r="AU460" s="18"/>
      <c r="AV460" s="53">
        <v>1419</v>
      </c>
      <c r="AW460" s="18"/>
      <c r="AX460" s="53">
        <v>1419</v>
      </c>
      <c r="AY460" s="18"/>
      <c r="AZ460" s="53">
        <v>1419</v>
      </c>
      <c r="BA460" s="18"/>
      <c r="BB460" s="53">
        <v>1419</v>
      </c>
      <c r="BC460" s="18"/>
      <c r="BD460" s="53">
        <v>1419</v>
      </c>
      <c r="BE460" s="18"/>
      <c r="BF460" s="53">
        <v>1419</v>
      </c>
      <c r="BG460" s="18"/>
      <c r="BH460" s="53">
        <v>1419</v>
      </c>
      <c r="BI460" s="18"/>
      <c r="BJ460" s="53">
        <v>1419</v>
      </c>
      <c r="BK460" s="18"/>
      <c r="BL460" s="53">
        <v>1419</v>
      </c>
      <c r="BM460" s="18"/>
      <c r="BN460" s="53">
        <v>1419</v>
      </c>
      <c r="BO460" s="18"/>
      <c r="BP460" s="53">
        <v>1419</v>
      </c>
      <c r="BQ460" s="18"/>
      <c r="BR460" s="53">
        <v>1419</v>
      </c>
      <c r="BS460" s="18"/>
    </row>
    <row r="461" spans="5:71" x14ac:dyDescent="0.25">
      <c r="F461" s="4" t="s">
        <v>599</v>
      </c>
      <c r="T461" s="4">
        <f>T462</f>
        <v>0</v>
      </c>
      <c r="V461" s="4">
        <f>V462</f>
        <v>6066</v>
      </c>
      <c r="X461" s="4">
        <f>X462</f>
        <v>6322</v>
      </c>
      <c r="Z461" s="4">
        <f>Z462</f>
        <v>6322</v>
      </c>
      <c r="AB461" s="4">
        <f>AB462</f>
        <v>3695.5</v>
      </c>
      <c r="AD461" s="4">
        <f>AD462</f>
        <v>3695.5</v>
      </c>
      <c r="AF461" s="4">
        <f>AF462</f>
        <v>3695.5</v>
      </c>
      <c r="AH461" s="4">
        <f>AH462</f>
        <v>3695.5</v>
      </c>
      <c r="AJ461" s="4">
        <f>AJ462</f>
        <v>3695.5</v>
      </c>
      <c r="AL461" s="4">
        <f>AL462</f>
        <v>3695.5</v>
      </c>
      <c r="AN461" s="4">
        <f>AN462</f>
        <v>3695.5</v>
      </c>
      <c r="AP461" s="4">
        <f>AP462</f>
        <v>3695.5</v>
      </c>
      <c r="AR461" s="4">
        <f>AR462</f>
        <v>3695.5</v>
      </c>
      <c r="AT461" s="121">
        <f>AT462</f>
        <v>3695.5</v>
      </c>
      <c r="AV461" s="4">
        <f>AV462</f>
        <v>3695.5</v>
      </c>
      <c r="AX461" s="4">
        <f>AX462</f>
        <v>3695.5</v>
      </c>
      <c r="AZ461" s="4">
        <f>AZ462</f>
        <v>3695.5</v>
      </c>
      <c r="BB461" s="4">
        <f>BB462</f>
        <v>3695.5</v>
      </c>
      <c r="BD461" s="4">
        <f>BD462</f>
        <v>3695.5</v>
      </c>
      <c r="BF461" s="4">
        <f>BF462</f>
        <v>3695.5</v>
      </c>
      <c r="BH461" s="4">
        <f>BH462</f>
        <v>3695.5</v>
      </c>
      <c r="BJ461" s="4">
        <f>BJ462</f>
        <v>3695.5</v>
      </c>
      <c r="BL461" s="4">
        <f>BL462</f>
        <v>3695.5</v>
      </c>
      <c r="BN461" s="4">
        <f>BN462</f>
        <v>3695.5</v>
      </c>
      <c r="BP461" s="4">
        <f>BP462</f>
        <v>3695.5</v>
      </c>
      <c r="BR461" s="4">
        <f>BR462</f>
        <v>3695.5</v>
      </c>
    </row>
    <row r="462" spans="5:71" outlineLevel="1" x14ac:dyDescent="0.25">
      <c r="G462" s="4" t="s">
        <v>583</v>
      </c>
      <c r="H462" s="1"/>
      <c r="I462" s="14"/>
      <c r="J462" s="63"/>
      <c r="P462" s="66">
        <v>6322</v>
      </c>
      <c r="Q462" s="58">
        <f t="shared" ref="Q462" si="0">P462*12</f>
        <v>75864</v>
      </c>
      <c r="T462" s="36">
        <v>0</v>
      </c>
      <c r="V462" s="36">
        <v>6066</v>
      </c>
      <c r="X462" s="36">
        <v>6322</v>
      </c>
      <c r="Z462" s="36">
        <v>6322</v>
      </c>
      <c r="AB462" s="36">
        <v>3695.5</v>
      </c>
      <c r="AD462" s="36">
        <v>3695.5</v>
      </c>
      <c r="AF462" s="36">
        <v>3695.5</v>
      </c>
      <c r="AH462" s="36">
        <v>3695.5</v>
      </c>
      <c r="AJ462" s="36">
        <v>3695.5</v>
      </c>
      <c r="AL462" s="36">
        <v>3695.5</v>
      </c>
      <c r="AN462" s="36">
        <v>3695.5</v>
      </c>
      <c r="AP462" s="36">
        <v>3695.5</v>
      </c>
      <c r="AR462" s="36">
        <v>3695.5</v>
      </c>
      <c r="AT462" s="149">
        <v>3695.5</v>
      </c>
      <c r="AV462" s="81">
        <v>3695.5</v>
      </c>
      <c r="AW462" s="64"/>
      <c r="AX462" s="81">
        <v>3695.5</v>
      </c>
      <c r="AY462" s="64"/>
      <c r="AZ462" s="81">
        <v>3695.5</v>
      </c>
      <c r="BA462" s="64"/>
      <c r="BB462" s="81">
        <v>3695.5</v>
      </c>
      <c r="BC462" s="64"/>
      <c r="BD462" s="81">
        <v>3695.5</v>
      </c>
      <c r="BE462" s="64"/>
      <c r="BF462" s="81">
        <v>3695.5</v>
      </c>
      <c r="BH462" s="36">
        <v>3695.5</v>
      </c>
      <c r="BJ462" s="36">
        <v>3695.5</v>
      </c>
      <c r="BL462" s="36">
        <v>3695.5</v>
      </c>
      <c r="BN462" s="36">
        <v>3695.5</v>
      </c>
      <c r="BP462" s="36">
        <v>3695.5</v>
      </c>
      <c r="BR462" s="36">
        <v>3695.5</v>
      </c>
    </row>
    <row r="463" spans="5:71" x14ac:dyDescent="0.25">
      <c r="F463" s="4" t="s">
        <v>608</v>
      </c>
      <c r="T463" s="4">
        <f>T464</f>
        <v>0</v>
      </c>
      <c r="V463" s="4">
        <f>V464</f>
        <v>0</v>
      </c>
      <c r="X463" s="4">
        <f>X464</f>
        <v>0</v>
      </c>
      <c r="Z463" s="4">
        <f>Z464</f>
        <v>0</v>
      </c>
      <c r="AB463" s="4">
        <f>AB464</f>
        <v>0</v>
      </c>
      <c r="AD463" s="4">
        <f>AD464</f>
        <v>0</v>
      </c>
      <c r="AF463" s="4">
        <f>AF464</f>
        <v>0</v>
      </c>
      <c r="AH463" s="4">
        <f>AH464</f>
        <v>0</v>
      </c>
      <c r="AJ463" s="4">
        <f>AJ464</f>
        <v>0</v>
      </c>
      <c r="AL463" s="4">
        <f>AL464</f>
        <v>0</v>
      </c>
      <c r="AN463" s="4">
        <f>AN464</f>
        <v>0</v>
      </c>
      <c r="AP463" s="4">
        <f>AP464</f>
        <v>0</v>
      </c>
      <c r="AR463" s="4">
        <f>AR464</f>
        <v>0</v>
      </c>
      <c r="AT463" s="121">
        <f>AT464</f>
        <v>0</v>
      </c>
      <c r="AV463" s="4">
        <f>AV464</f>
        <v>0</v>
      </c>
      <c r="AX463" s="4">
        <f>AX464</f>
        <v>0</v>
      </c>
      <c r="AZ463" s="4">
        <f>AZ464</f>
        <v>0</v>
      </c>
      <c r="BB463" s="4">
        <f>BB464</f>
        <v>0</v>
      </c>
      <c r="BD463" s="4">
        <f>BD464</f>
        <v>0</v>
      </c>
      <c r="BF463" s="4">
        <f>BF464</f>
        <v>0</v>
      </c>
      <c r="BH463" s="4">
        <f>BH464</f>
        <v>0</v>
      </c>
      <c r="BJ463" s="4">
        <f>BJ464</f>
        <v>0</v>
      </c>
      <c r="BL463" s="4">
        <f>BL464</f>
        <v>0</v>
      </c>
      <c r="BN463" s="4">
        <f>BN464</f>
        <v>0</v>
      </c>
      <c r="BP463" s="4">
        <f>BP464</f>
        <v>0</v>
      </c>
      <c r="BR463" s="4">
        <f>BR464</f>
        <v>0</v>
      </c>
    </row>
    <row r="464" spans="5:71" outlineLevel="1" x14ac:dyDescent="0.25">
      <c r="F464" s="14"/>
      <c r="T464" s="94">
        <v>0</v>
      </c>
      <c r="V464" s="94">
        <v>0</v>
      </c>
      <c r="X464" s="94">
        <v>0</v>
      </c>
      <c r="Z464" s="94">
        <v>0</v>
      </c>
      <c r="AB464" s="94">
        <v>0</v>
      </c>
      <c r="AD464" s="94">
        <v>0</v>
      </c>
      <c r="AF464" s="94">
        <v>0</v>
      </c>
      <c r="AH464" s="94">
        <v>0</v>
      </c>
      <c r="AJ464" s="94">
        <v>0</v>
      </c>
      <c r="AL464" s="94">
        <v>0</v>
      </c>
      <c r="AN464" s="94">
        <v>0</v>
      </c>
      <c r="AP464" s="94">
        <v>0</v>
      </c>
      <c r="AR464" s="94">
        <v>0</v>
      </c>
      <c r="AT464" s="152">
        <v>0</v>
      </c>
      <c r="AV464" s="94">
        <v>0</v>
      </c>
      <c r="AX464" s="94">
        <v>0</v>
      </c>
      <c r="AZ464" s="94">
        <v>0</v>
      </c>
      <c r="BB464" s="94">
        <v>0</v>
      </c>
      <c r="BD464" s="94">
        <v>0</v>
      </c>
      <c r="BF464" s="94">
        <v>0</v>
      </c>
      <c r="BH464" s="94">
        <v>0</v>
      </c>
      <c r="BJ464" s="94">
        <v>0</v>
      </c>
      <c r="BL464" s="94">
        <v>0</v>
      </c>
      <c r="BN464" s="94">
        <v>0</v>
      </c>
      <c r="BP464" s="94">
        <v>0</v>
      </c>
      <c r="BR464" s="94">
        <v>0</v>
      </c>
    </row>
    <row r="465" spans="5:71" x14ac:dyDescent="0.25">
      <c r="F465" s="4" t="s">
        <v>542</v>
      </c>
      <c r="T465" s="4">
        <f>SUM(T466:T468)</f>
        <v>417</v>
      </c>
      <c r="V465" s="4">
        <f>SUM(V466:V468)</f>
        <v>417</v>
      </c>
      <c r="X465" s="4">
        <f>SUM(X466:X468)</f>
        <v>417</v>
      </c>
      <c r="Z465" s="4">
        <f>SUM(Z466:Z468)</f>
        <v>417</v>
      </c>
      <c r="AB465" s="4">
        <f>SUM(AB466:AB468)</f>
        <v>417</v>
      </c>
      <c r="AD465" s="4">
        <f>SUM(AD466:AD468)</f>
        <v>417</v>
      </c>
      <c r="AF465" s="4">
        <f>SUM(AF466:AF468)</f>
        <v>417</v>
      </c>
      <c r="AH465" s="4">
        <f>SUM(AH466:AH468)</f>
        <v>417</v>
      </c>
      <c r="AJ465" s="4">
        <f>SUM(AJ466:AJ468)</f>
        <v>417</v>
      </c>
      <c r="AL465" s="4">
        <f>SUM(AL466:AL468)</f>
        <v>417</v>
      </c>
      <c r="AN465" s="4">
        <f>SUM(AN466:AN468)</f>
        <v>1600</v>
      </c>
      <c r="AP465" s="4">
        <f>SUM(AP466:AP468)</f>
        <v>1600</v>
      </c>
      <c r="AR465" s="4">
        <f>SUM(AR466:AR468)</f>
        <v>1600</v>
      </c>
      <c r="AT465" s="121">
        <f>SUM(AT466:AT468)</f>
        <v>1600</v>
      </c>
      <c r="AV465" s="4">
        <f>SUM(AV466:AV468)</f>
        <v>1100</v>
      </c>
      <c r="AX465" s="4">
        <f>SUM(AX466:AX468)</f>
        <v>1100</v>
      </c>
      <c r="AZ465" s="4">
        <f>SUM(AZ466:AZ468)</f>
        <v>2100</v>
      </c>
      <c r="BB465" s="4">
        <f>SUM(BB466:BB468)</f>
        <v>2100</v>
      </c>
      <c r="BD465" s="4">
        <f>SUM(BD466:BD468)</f>
        <v>2100</v>
      </c>
      <c r="BF465" s="4">
        <f>SUM(BF466:BF468)</f>
        <v>2100</v>
      </c>
      <c r="BH465" s="4">
        <f>SUM(BH466:BH468)</f>
        <v>2100</v>
      </c>
      <c r="BJ465" s="4">
        <f>SUM(BJ466:BJ468)</f>
        <v>2100</v>
      </c>
      <c r="BL465" s="4">
        <f>SUM(BL466:BL468)</f>
        <v>2250</v>
      </c>
      <c r="BN465" s="4">
        <f>SUM(BN466:BN468)</f>
        <v>3250</v>
      </c>
      <c r="BP465" s="4">
        <f>SUM(BP466:BP468)</f>
        <v>3250</v>
      </c>
      <c r="BR465" s="4">
        <f>SUM(BR466:BR468)</f>
        <v>3250</v>
      </c>
    </row>
    <row r="466" spans="5:71" outlineLevel="1" x14ac:dyDescent="0.25">
      <c r="G466" s="4" t="s">
        <v>615</v>
      </c>
      <c r="H466" s="1"/>
      <c r="I466" s="14"/>
      <c r="P466" s="4">
        <v>417</v>
      </c>
      <c r="T466" s="34">
        <v>417</v>
      </c>
      <c r="V466" s="34">
        <v>417</v>
      </c>
      <c r="X466" s="34">
        <v>417</v>
      </c>
      <c r="Z466" s="34">
        <v>417</v>
      </c>
      <c r="AB466" s="34">
        <v>417</v>
      </c>
      <c r="AD466" s="34">
        <v>417</v>
      </c>
      <c r="AF466" s="34">
        <v>417</v>
      </c>
      <c r="AH466" s="34">
        <v>417</v>
      </c>
      <c r="AJ466" s="34">
        <v>417</v>
      </c>
      <c r="AL466" s="34">
        <v>417</v>
      </c>
      <c r="AN466" s="34">
        <v>1500</v>
      </c>
      <c r="AP466" s="34">
        <v>1500</v>
      </c>
      <c r="AR466" s="34">
        <v>1500</v>
      </c>
      <c r="AT466" s="126">
        <v>1500</v>
      </c>
      <c r="AV466" s="34">
        <v>1000</v>
      </c>
      <c r="AX466" s="34">
        <v>1000</v>
      </c>
      <c r="AZ466" s="34">
        <v>2000</v>
      </c>
      <c r="BB466" s="34">
        <v>2000</v>
      </c>
      <c r="BC466" s="18"/>
      <c r="BD466" s="34">
        <v>2000</v>
      </c>
      <c r="BF466" s="34">
        <v>2000</v>
      </c>
      <c r="BH466" s="34">
        <v>2000</v>
      </c>
      <c r="BJ466" s="34">
        <v>2000</v>
      </c>
      <c r="BL466" s="34">
        <v>2000</v>
      </c>
      <c r="BN466" s="34">
        <v>3000</v>
      </c>
      <c r="BP466" s="34">
        <v>3000</v>
      </c>
      <c r="BR466" s="34">
        <v>3000</v>
      </c>
    </row>
    <row r="467" spans="5:71" outlineLevel="1" x14ac:dyDescent="0.25">
      <c r="G467" s="4" t="s">
        <v>616</v>
      </c>
      <c r="H467" s="1"/>
      <c r="J467" s="14"/>
      <c r="P467" s="4">
        <v>417</v>
      </c>
      <c r="T467" s="34"/>
      <c r="V467" s="34"/>
      <c r="X467" s="34"/>
      <c r="Z467" s="34"/>
      <c r="AB467" s="34"/>
      <c r="AD467" s="34"/>
      <c r="AF467" s="34"/>
      <c r="AH467" s="34"/>
      <c r="AJ467" s="34"/>
      <c r="AL467" s="34"/>
      <c r="AN467" s="34">
        <v>100</v>
      </c>
      <c r="AP467" s="34">
        <v>100</v>
      </c>
      <c r="AR467" s="34">
        <v>100</v>
      </c>
      <c r="AT467" s="126">
        <v>100</v>
      </c>
      <c r="AV467" s="34">
        <v>100</v>
      </c>
      <c r="AX467" s="34">
        <v>100</v>
      </c>
      <c r="AZ467" s="34">
        <v>100</v>
      </c>
      <c r="BB467" s="34">
        <v>100</v>
      </c>
      <c r="BC467" s="18"/>
      <c r="BD467" s="34">
        <v>100</v>
      </c>
      <c r="BF467" s="34">
        <v>100</v>
      </c>
      <c r="BH467" s="34">
        <v>100</v>
      </c>
      <c r="BJ467" s="34">
        <v>100</v>
      </c>
      <c r="BL467" s="34">
        <v>250</v>
      </c>
      <c r="BN467" s="34">
        <v>250</v>
      </c>
      <c r="BP467" s="34">
        <v>250</v>
      </c>
      <c r="BR467" s="34">
        <v>250</v>
      </c>
    </row>
    <row r="468" spans="5:71" outlineLevel="1" x14ac:dyDescent="0.25">
      <c r="G468" s="4" t="s">
        <v>617</v>
      </c>
      <c r="H468" s="1"/>
      <c r="J468" s="14"/>
      <c r="T468" s="34"/>
      <c r="V468" s="34"/>
      <c r="X468" s="34"/>
      <c r="Z468" s="34"/>
      <c r="AB468" s="34"/>
      <c r="AD468" s="34"/>
      <c r="AF468" s="34"/>
      <c r="AH468" s="34"/>
      <c r="AJ468" s="34"/>
      <c r="AL468" s="34"/>
      <c r="AN468" s="34"/>
      <c r="AP468" s="34"/>
      <c r="AR468" s="34"/>
      <c r="AT468" s="126"/>
      <c r="AV468" s="34">
        <v>0</v>
      </c>
      <c r="AX468" s="34">
        <v>0</v>
      </c>
      <c r="AZ468" s="34">
        <v>0</v>
      </c>
      <c r="BB468" s="34">
        <v>0</v>
      </c>
      <c r="BC468" s="18"/>
      <c r="BD468" s="34"/>
      <c r="BF468" s="34"/>
      <c r="BH468" s="34"/>
      <c r="BJ468" s="34"/>
      <c r="BL468" s="34"/>
      <c r="BN468" s="34"/>
      <c r="BP468" s="34"/>
      <c r="BR468" s="34"/>
    </row>
    <row r="469" spans="5:71" x14ac:dyDescent="0.25">
      <c r="F469" s="4" t="s">
        <v>559</v>
      </c>
      <c r="T469" s="4">
        <f>SUM(T470:T471)</f>
        <v>360</v>
      </c>
      <c r="V469" s="4">
        <f>SUM(V470:V471)</f>
        <v>360</v>
      </c>
      <c r="W469" s="4"/>
      <c r="X469" s="4">
        <f>SUM(X470:X471)</f>
        <v>460</v>
      </c>
      <c r="Z469" s="4">
        <f>SUM(Z470:Z471)</f>
        <v>220</v>
      </c>
      <c r="AB469" s="4">
        <f>SUM(AB470:AB471)</f>
        <v>120</v>
      </c>
      <c r="AD469" s="4">
        <f>SUM(AD470:AD471)</f>
        <v>120</v>
      </c>
      <c r="AF469" s="4">
        <f>SUM(AF470:AF471)</f>
        <v>120</v>
      </c>
      <c r="AH469" s="4">
        <f>SUM(AH470:AH471)</f>
        <v>120</v>
      </c>
      <c r="AJ469" s="4">
        <f>SUM(AJ470:AJ471)</f>
        <v>120</v>
      </c>
      <c r="AL469" s="4">
        <f>SUM(AL470:AL471)</f>
        <v>120</v>
      </c>
      <c r="AN469" s="4">
        <f>SUM(AN470:AN471)</f>
        <v>120</v>
      </c>
      <c r="AP469" s="4">
        <f>SUM(AP470:AP471)</f>
        <v>120</v>
      </c>
      <c r="AR469" s="4">
        <f>SUM(AR470:AR471)</f>
        <v>120</v>
      </c>
      <c r="AT469" s="121">
        <f>SUM(AT470:AT471)</f>
        <v>120</v>
      </c>
      <c r="AV469" s="4">
        <f>SUM(AV470:AV471)</f>
        <v>0</v>
      </c>
      <c r="AX469" s="4">
        <f>SUM(AX470:AX471)</f>
        <v>0</v>
      </c>
      <c r="AZ469" s="4">
        <f>SUM(AZ470:AZ471)</f>
        <v>0</v>
      </c>
      <c r="BB469" s="4">
        <f>SUM(BB470:BB471)</f>
        <v>0</v>
      </c>
      <c r="BD469" s="4">
        <f>SUM(BD470:BD471)</f>
        <v>2120</v>
      </c>
      <c r="BF469" s="4">
        <f>SUM(BF470:BF471)</f>
        <v>120</v>
      </c>
      <c r="BH469" s="4">
        <f>SUM(BH470:BH471)</f>
        <v>120</v>
      </c>
      <c r="BJ469" s="4">
        <f>SUM(BJ470:BJ471)</f>
        <v>5120</v>
      </c>
      <c r="BL469" s="4">
        <f>SUM(BL470:BL471)</f>
        <v>120</v>
      </c>
      <c r="BN469" s="4">
        <f>SUM(BN470:BN471)</f>
        <v>120</v>
      </c>
      <c r="BP469" s="4">
        <f>SUM(BP470:BP471)</f>
        <v>120</v>
      </c>
      <c r="BR469" s="4">
        <f>SUM(BR470:BR471)</f>
        <v>120</v>
      </c>
    </row>
    <row r="470" spans="5:71" outlineLevel="1" x14ac:dyDescent="0.25">
      <c r="G470" s="4" t="s">
        <v>619</v>
      </c>
      <c r="H470" s="1"/>
      <c r="J470" s="14"/>
      <c r="P470" s="4">
        <v>360</v>
      </c>
      <c r="T470" s="34">
        <v>360</v>
      </c>
      <c r="V470" s="34">
        <v>360</v>
      </c>
      <c r="X470" s="34">
        <v>360</v>
      </c>
      <c r="Z470" s="34">
        <v>120</v>
      </c>
      <c r="AB470" s="34">
        <v>120</v>
      </c>
      <c r="AD470" s="34">
        <v>120</v>
      </c>
      <c r="AF470" s="34">
        <v>120</v>
      </c>
      <c r="AH470" s="34">
        <v>120</v>
      </c>
      <c r="AJ470" s="34">
        <v>120</v>
      </c>
      <c r="AL470" s="34">
        <v>120</v>
      </c>
      <c r="AN470" s="34">
        <v>120</v>
      </c>
      <c r="AP470" s="34">
        <v>120</v>
      </c>
      <c r="AR470" s="34">
        <v>120</v>
      </c>
      <c r="AT470" s="126">
        <v>120</v>
      </c>
      <c r="AV470" s="34">
        <v>0</v>
      </c>
      <c r="AX470" s="34">
        <v>0</v>
      </c>
      <c r="AZ470" s="34">
        <v>0</v>
      </c>
      <c r="BB470" s="34">
        <v>0</v>
      </c>
      <c r="BC470" s="18"/>
      <c r="BD470" s="34">
        <v>120</v>
      </c>
      <c r="BF470" s="34">
        <v>120</v>
      </c>
      <c r="BH470" s="34">
        <v>120</v>
      </c>
      <c r="BJ470" s="34">
        <v>120</v>
      </c>
      <c r="BL470" s="34">
        <v>120</v>
      </c>
      <c r="BN470" s="34">
        <v>120</v>
      </c>
      <c r="BP470" s="34">
        <v>120</v>
      </c>
      <c r="BR470" s="34">
        <v>120</v>
      </c>
    </row>
    <row r="471" spans="5:71" outlineLevel="1" x14ac:dyDescent="0.25">
      <c r="G471" s="4" t="s">
        <v>747</v>
      </c>
      <c r="H471" s="1"/>
      <c r="P471" s="4">
        <v>360</v>
      </c>
      <c r="T471" s="34">
        <v>0</v>
      </c>
      <c r="V471" s="34">
        <v>0</v>
      </c>
      <c r="X471" s="34">
        <v>100</v>
      </c>
      <c r="Z471" s="34">
        <v>100</v>
      </c>
      <c r="AB471" s="34">
        <v>0</v>
      </c>
      <c r="AD471" s="34">
        <v>0</v>
      </c>
      <c r="AF471" s="34">
        <v>0</v>
      </c>
      <c r="AH471" s="34">
        <v>0</v>
      </c>
      <c r="AJ471" s="34">
        <v>0</v>
      </c>
      <c r="AL471" s="34">
        <v>0</v>
      </c>
      <c r="AN471" s="34">
        <v>0</v>
      </c>
      <c r="AP471" s="34">
        <v>0</v>
      </c>
      <c r="AR471" s="34">
        <v>0</v>
      </c>
      <c r="AT471" s="126">
        <v>0</v>
      </c>
      <c r="AV471" s="34">
        <v>0</v>
      </c>
      <c r="AX471" s="34">
        <v>0</v>
      </c>
      <c r="AZ471" s="34">
        <v>0</v>
      </c>
      <c r="BB471" s="34">
        <v>0</v>
      </c>
      <c r="BC471" s="52" t="s">
        <v>501</v>
      </c>
      <c r="BD471" s="34">
        <v>2000</v>
      </c>
      <c r="BF471" s="34">
        <v>0</v>
      </c>
      <c r="BH471" s="34">
        <v>0</v>
      </c>
      <c r="BI471" s="18" t="s">
        <v>598</v>
      </c>
      <c r="BJ471" s="34">
        <v>5000</v>
      </c>
      <c r="BL471" s="34">
        <v>0</v>
      </c>
      <c r="BN471" s="34">
        <v>0</v>
      </c>
      <c r="BP471" s="34">
        <v>0</v>
      </c>
      <c r="BR471" s="34">
        <v>0</v>
      </c>
    </row>
    <row r="472" spans="5:71" x14ac:dyDescent="0.25">
      <c r="F472" s="4" t="s">
        <v>622</v>
      </c>
      <c r="T472" s="4">
        <f>SUM(T473:T477)</f>
        <v>187.86</v>
      </c>
      <c r="V472" s="4">
        <f>SUM(V473:V477)</f>
        <v>187.86</v>
      </c>
      <c r="X472" s="4">
        <f>SUM(X473:X477)</f>
        <v>187.86</v>
      </c>
      <c r="Z472" s="4">
        <f>SUM(Z473:Z477)</f>
        <v>200.36</v>
      </c>
      <c r="AB472" s="4">
        <f>SUM(AB473:AB477)</f>
        <v>200.36</v>
      </c>
      <c r="AD472" s="4">
        <f>SUM(AD473:AD477)</f>
        <v>343.35666666666668</v>
      </c>
      <c r="AF472" s="4">
        <f>SUM(AF473:AF477)</f>
        <v>343.35666666666668</v>
      </c>
      <c r="AH472" s="4">
        <f>SUM(AH473:AH477)</f>
        <v>343.35666666666668</v>
      </c>
      <c r="AJ472" s="4">
        <f>SUM(AJ473:AJ477)</f>
        <v>343.35666666666668</v>
      </c>
      <c r="AL472" s="4">
        <f>SUM(AL473:AL477)</f>
        <v>343.35666666666668</v>
      </c>
      <c r="AN472" s="4">
        <f>SUM(AN473:AN477)</f>
        <v>343.35666666666668</v>
      </c>
      <c r="AP472" s="4">
        <f>SUM(AP473:AP477)</f>
        <v>523.35666666666668</v>
      </c>
      <c r="AR472" s="4">
        <f>SUM(AR473:AR477)</f>
        <v>523.35666666666668</v>
      </c>
      <c r="AT472" s="121">
        <f>SUM(AT473:AT477)</f>
        <v>456.69</v>
      </c>
      <c r="AV472" s="4">
        <f>SUM(AV473:AV477)</f>
        <v>362.11</v>
      </c>
      <c r="AX472" s="4">
        <f>SUM(AX473:AX477)</f>
        <v>520.04</v>
      </c>
      <c r="AZ472" s="4">
        <f>SUM(AZ473:AZ477)</f>
        <v>708.33249999999998</v>
      </c>
      <c r="BB472" s="4">
        <f>SUM(BB473:BB477)</f>
        <v>485.42250000000001</v>
      </c>
      <c r="BD472" s="4">
        <f>SUM(BD473:BD477)</f>
        <v>985.34249999999997</v>
      </c>
      <c r="BF472" s="4">
        <f>SUM(BF473:BF477)</f>
        <v>856.14250000000004</v>
      </c>
      <c r="BH472" s="4">
        <f>SUM(BH473:BH477)</f>
        <v>1019.1925</v>
      </c>
      <c r="BJ472" s="4">
        <f>SUM(BJ473:BJ477)</f>
        <v>1019.1925</v>
      </c>
      <c r="BL472" s="4">
        <f>SUM(BL473:BL477)</f>
        <v>1019.1925</v>
      </c>
      <c r="BN472" s="4">
        <f>SUM(BN473:BN477)</f>
        <v>1019.1925</v>
      </c>
      <c r="BP472" s="4">
        <f>SUM(BP473:BP477)</f>
        <v>1019.1925</v>
      </c>
      <c r="BR472" s="4">
        <f>SUM(BR473:BR477)</f>
        <v>1019.1925</v>
      </c>
    </row>
    <row r="473" spans="5:71" s="58" customFormat="1" outlineLevel="1" x14ac:dyDescent="0.25">
      <c r="E473" s="4"/>
      <c r="F473" s="4"/>
      <c r="G473" s="4" t="s">
        <v>625</v>
      </c>
      <c r="H473" s="1"/>
      <c r="M473" s="95"/>
      <c r="P473" s="58">
        <v>20</v>
      </c>
      <c r="Q473" s="58">
        <v>240</v>
      </c>
      <c r="S473" s="66"/>
      <c r="T473" s="75">
        <v>20</v>
      </c>
      <c r="U473" s="76"/>
      <c r="V473" s="75">
        <v>20</v>
      </c>
      <c r="W473" s="76"/>
      <c r="X473" s="75">
        <v>20</v>
      </c>
      <c r="Y473" s="76"/>
      <c r="Z473" s="75">
        <v>20</v>
      </c>
      <c r="AA473" s="52"/>
      <c r="AB473" s="34">
        <v>20</v>
      </c>
      <c r="AC473" s="52"/>
      <c r="AD473" s="34">
        <v>20</v>
      </c>
      <c r="AE473" s="52"/>
      <c r="AF473" s="34">
        <v>20</v>
      </c>
      <c r="AG473" s="52"/>
      <c r="AH473" s="34">
        <v>20</v>
      </c>
      <c r="AI473" s="52"/>
      <c r="AJ473" s="34">
        <v>20</v>
      </c>
      <c r="AK473" s="52"/>
      <c r="AL473" s="34">
        <v>20</v>
      </c>
      <c r="AM473" s="52"/>
      <c r="AN473" s="34">
        <v>20</v>
      </c>
      <c r="AO473" s="52"/>
      <c r="AP473" s="34">
        <f>25*8</f>
        <v>200</v>
      </c>
      <c r="AQ473" s="52"/>
      <c r="AR473" s="34">
        <f>25*8</f>
        <v>200</v>
      </c>
      <c r="AS473" s="31"/>
      <c r="AT473" s="126">
        <f>25*8</f>
        <v>200</v>
      </c>
      <c r="AU473" s="31"/>
      <c r="AV473" s="34">
        <v>195.26</v>
      </c>
      <c r="AW473" s="31"/>
      <c r="AX473" s="36">
        <v>312</v>
      </c>
      <c r="AY473" s="4"/>
      <c r="AZ473" s="36">
        <f>292.38+186.79</f>
        <v>479.16999999999996</v>
      </c>
      <c r="BA473" s="4"/>
      <c r="BB473" s="34">
        <v>205</v>
      </c>
      <c r="BC473" s="31"/>
      <c r="BD473" s="36">
        <f>430.9+178.23+43.07+14.15+13.03</f>
        <v>679.38</v>
      </c>
      <c r="BE473" s="4"/>
      <c r="BF473" s="36">
        <f>482.68+17.68</f>
        <v>500.36</v>
      </c>
      <c r="BG473" s="4"/>
      <c r="BH473" s="34">
        <f>430.9+178.23+43.07+13.03</f>
        <v>665.23</v>
      </c>
      <c r="BI473" s="52"/>
      <c r="BJ473" s="34">
        <f>430.9+178.23+43.07+13.03</f>
        <v>665.23</v>
      </c>
      <c r="BK473" s="52"/>
      <c r="BL473" s="34">
        <f>430.9+178.23+43.07+13.03</f>
        <v>665.23</v>
      </c>
      <c r="BM473" s="52"/>
      <c r="BN473" s="34">
        <f>430.9+178.23+43.07+13.03</f>
        <v>665.23</v>
      </c>
      <c r="BO473" s="52"/>
      <c r="BP473" s="34">
        <f>430.9+178.23+43.07+13.03</f>
        <v>665.23</v>
      </c>
      <c r="BQ473" s="52"/>
      <c r="BR473" s="34">
        <f>430.9+178.23+43.07+13.03</f>
        <v>665.23</v>
      </c>
      <c r="BS473" s="76"/>
    </row>
    <row r="474" spans="5:71" s="58" customFormat="1" outlineLevel="1" x14ac:dyDescent="0.25">
      <c r="E474" s="4"/>
      <c r="F474" s="4"/>
      <c r="G474" s="4" t="s">
        <v>631</v>
      </c>
      <c r="H474" s="1"/>
      <c r="P474" s="58">
        <v>12.5</v>
      </c>
      <c r="Q474" s="58">
        <f>P474*12</f>
        <v>150</v>
      </c>
      <c r="S474" s="66"/>
      <c r="T474" s="75">
        <v>0</v>
      </c>
      <c r="U474" s="76"/>
      <c r="V474" s="75">
        <v>0</v>
      </c>
      <c r="W474" s="76"/>
      <c r="X474" s="75">
        <v>0</v>
      </c>
      <c r="Y474" s="76"/>
      <c r="Z474" s="75">
        <v>12.5</v>
      </c>
      <c r="AA474" s="52"/>
      <c r="AB474" s="34">
        <v>12.5</v>
      </c>
      <c r="AC474" s="52"/>
      <c r="AD474" s="34">
        <v>12.5</v>
      </c>
      <c r="AE474" s="52"/>
      <c r="AF474" s="34">
        <v>12.5</v>
      </c>
      <c r="AG474" s="52"/>
      <c r="AH474" s="34">
        <v>12.5</v>
      </c>
      <c r="AI474" s="52"/>
      <c r="AJ474" s="34">
        <v>12.5</v>
      </c>
      <c r="AK474" s="52"/>
      <c r="AL474" s="34">
        <v>12.5</v>
      </c>
      <c r="AM474" s="52"/>
      <c r="AN474" s="34">
        <v>12.5</v>
      </c>
      <c r="AO474" s="52"/>
      <c r="AP474" s="34">
        <v>12.5</v>
      </c>
      <c r="AQ474" s="52"/>
      <c r="AR474" s="34">
        <v>12.5</v>
      </c>
      <c r="AS474" s="31"/>
      <c r="AT474" s="126">
        <v>12.5</v>
      </c>
      <c r="AU474" s="31"/>
      <c r="AV474" s="34">
        <v>12.5</v>
      </c>
      <c r="AW474" s="31"/>
      <c r="AX474" s="34">
        <v>12.5</v>
      </c>
      <c r="AY474" s="31"/>
      <c r="AZ474" s="34">
        <f>183.75/12</f>
        <v>15.3125</v>
      </c>
      <c r="BA474" s="31"/>
      <c r="BB474" s="34">
        <f>183.75/12</f>
        <v>15.3125</v>
      </c>
      <c r="BC474" s="31"/>
      <c r="BD474" s="34">
        <f>183.75/12</f>
        <v>15.3125</v>
      </c>
      <c r="BE474" s="31"/>
      <c r="BF474" s="34">
        <f>183.75/12</f>
        <v>15.3125</v>
      </c>
      <c r="BG474" s="31"/>
      <c r="BH474" s="34">
        <f>183.75/12</f>
        <v>15.3125</v>
      </c>
      <c r="BI474" s="52"/>
      <c r="BJ474" s="34">
        <f>183.75/12</f>
        <v>15.3125</v>
      </c>
      <c r="BK474" s="52"/>
      <c r="BL474" s="34">
        <f>183.75/12</f>
        <v>15.3125</v>
      </c>
      <c r="BM474" s="52"/>
      <c r="BN474" s="34">
        <f>183.75/12</f>
        <v>15.3125</v>
      </c>
      <c r="BO474" s="52"/>
      <c r="BP474" s="34">
        <f>183.75/12</f>
        <v>15.3125</v>
      </c>
      <c r="BQ474" s="52"/>
      <c r="BR474" s="34">
        <f>183.75/12</f>
        <v>15.3125</v>
      </c>
      <c r="BS474" s="76"/>
    </row>
    <row r="475" spans="5:71" s="58" customFormat="1" outlineLevel="1" x14ac:dyDescent="0.25">
      <c r="E475" s="4"/>
      <c r="F475" s="4"/>
      <c r="G475" s="4" t="s">
        <v>632</v>
      </c>
      <c r="H475" s="1"/>
      <c r="P475" s="58">
        <f>Q475/12</f>
        <v>88</v>
      </c>
      <c r="Q475" s="58">
        <v>1056</v>
      </c>
      <c r="S475" s="66"/>
      <c r="T475" s="75">
        <v>88</v>
      </c>
      <c r="U475" s="76"/>
      <c r="V475" s="75">
        <v>88</v>
      </c>
      <c r="W475" s="76"/>
      <c r="X475" s="75">
        <v>88</v>
      </c>
      <c r="Y475" s="76"/>
      <c r="Z475" s="75">
        <v>88</v>
      </c>
      <c r="AA475" s="52"/>
      <c r="AB475" s="34">
        <v>88</v>
      </c>
      <c r="AC475" s="52"/>
      <c r="AD475" s="34">
        <v>88</v>
      </c>
      <c r="AE475" s="52"/>
      <c r="AF475" s="34">
        <v>88</v>
      </c>
      <c r="AG475" s="52"/>
      <c r="AH475" s="34">
        <v>88</v>
      </c>
      <c r="AI475" s="52"/>
      <c r="AJ475" s="34">
        <v>88</v>
      </c>
      <c r="AK475" s="52"/>
      <c r="AL475" s="34">
        <v>88</v>
      </c>
      <c r="AM475" s="52"/>
      <c r="AN475" s="34">
        <v>88</v>
      </c>
      <c r="AO475" s="52"/>
      <c r="AP475" s="34">
        <v>88</v>
      </c>
      <c r="AQ475" s="52"/>
      <c r="AR475" s="34">
        <v>88</v>
      </c>
      <c r="AS475" s="31"/>
      <c r="AT475" s="126">
        <v>88</v>
      </c>
      <c r="AU475" s="31"/>
      <c r="AV475" s="34">
        <v>88</v>
      </c>
      <c r="AW475" s="31"/>
      <c r="AX475" s="34">
        <v>88</v>
      </c>
      <c r="AY475" s="31"/>
      <c r="AZ475" s="34">
        <v>88</v>
      </c>
      <c r="BA475" s="31"/>
      <c r="BB475" s="34">
        <v>88</v>
      </c>
      <c r="BC475" s="31"/>
      <c r="BD475" s="34">
        <v>88</v>
      </c>
      <c r="BE475" s="31"/>
      <c r="BF475" s="34">
        <v>88</v>
      </c>
      <c r="BG475" s="31"/>
      <c r="BH475" s="34">
        <v>88</v>
      </c>
      <c r="BI475" s="52"/>
      <c r="BJ475" s="34">
        <v>88</v>
      </c>
      <c r="BK475" s="52"/>
      <c r="BL475" s="34">
        <v>88</v>
      </c>
      <c r="BM475" s="52"/>
      <c r="BN475" s="34">
        <v>88</v>
      </c>
      <c r="BO475" s="52"/>
      <c r="BP475" s="34">
        <v>88</v>
      </c>
      <c r="BQ475" s="52"/>
      <c r="BR475" s="34">
        <v>88</v>
      </c>
      <c r="BS475" s="76"/>
    </row>
    <row r="476" spans="5:71" s="58" customFormat="1" outlineLevel="1" x14ac:dyDescent="0.25">
      <c r="E476" s="4"/>
      <c r="F476" s="4"/>
      <c r="G476" s="4" t="s">
        <v>633</v>
      </c>
      <c r="H476" s="1"/>
      <c r="P476" s="58">
        <v>79.86</v>
      </c>
      <c r="Q476" s="58">
        <f>P476*12</f>
        <v>958.31999999999994</v>
      </c>
      <c r="S476" s="66"/>
      <c r="T476" s="75">
        <v>79.86</v>
      </c>
      <c r="U476" s="76"/>
      <c r="V476" s="75">
        <v>79.86</v>
      </c>
      <c r="W476" s="76"/>
      <c r="X476" s="75">
        <v>79.86</v>
      </c>
      <c r="Y476" s="76"/>
      <c r="Z476" s="75">
        <v>79.86</v>
      </c>
      <c r="AA476" s="52"/>
      <c r="AB476" s="34">
        <v>79.86</v>
      </c>
      <c r="AC476" s="52"/>
      <c r="AD476" s="34">
        <v>156.19</v>
      </c>
      <c r="AE476" s="52"/>
      <c r="AF476" s="34">
        <v>156.19</v>
      </c>
      <c r="AG476" s="52"/>
      <c r="AH476" s="34">
        <v>156.19</v>
      </c>
      <c r="AI476" s="52"/>
      <c r="AJ476" s="34">
        <v>156.19</v>
      </c>
      <c r="AK476" s="52"/>
      <c r="AL476" s="34">
        <v>156.19</v>
      </c>
      <c r="AM476" s="52"/>
      <c r="AN476" s="34">
        <v>156.19</v>
      </c>
      <c r="AO476" s="52"/>
      <c r="AP476" s="34">
        <v>156.19</v>
      </c>
      <c r="AQ476" s="52"/>
      <c r="AR476" s="34">
        <v>156.19</v>
      </c>
      <c r="AS476" s="31"/>
      <c r="AT476" s="126">
        <v>156.19</v>
      </c>
      <c r="AU476" s="31"/>
      <c r="AV476" s="34">
        <v>66.349999999999994</v>
      </c>
      <c r="AW476" s="31"/>
      <c r="AX476" s="34">
        <v>107.54</v>
      </c>
      <c r="AY476" s="31"/>
      <c r="AZ476" s="34">
        <v>125.85</v>
      </c>
      <c r="BA476" s="31"/>
      <c r="BB476" s="34">
        <v>177.11</v>
      </c>
      <c r="BC476" s="31"/>
      <c r="BD476" s="34">
        <v>202.65</v>
      </c>
      <c r="BE476" s="31"/>
      <c r="BF476" s="36">
        <f>252.47</f>
        <v>252.47</v>
      </c>
      <c r="BG476" s="4"/>
      <c r="BH476" s="34">
        <v>202.65</v>
      </c>
      <c r="BI476" s="52"/>
      <c r="BJ476" s="34">
        <v>202.65</v>
      </c>
      <c r="BK476" s="52"/>
      <c r="BL476" s="34">
        <v>202.65</v>
      </c>
      <c r="BM476" s="52"/>
      <c r="BN476" s="34">
        <v>202.65</v>
      </c>
      <c r="BO476" s="52"/>
      <c r="BP476" s="34">
        <v>202.65</v>
      </c>
      <c r="BQ476" s="52"/>
      <c r="BR476" s="34">
        <v>202.65</v>
      </c>
      <c r="BS476" s="76"/>
    </row>
    <row r="477" spans="5:71" s="58" customFormat="1" outlineLevel="1" x14ac:dyDescent="0.25">
      <c r="E477" s="4"/>
      <c r="F477" s="4"/>
      <c r="G477" s="4" t="s">
        <v>644</v>
      </c>
      <c r="H477" s="1"/>
      <c r="P477" s="58">
        <f>Q477/12</f>
        <v>66.666666666666671</v>
      </c>
      <c r="Q477" s="58">
        <v>800</v>
      </c>
      <c r="S477" s="66"/>
      <c r="T477" s="75"/>
      <c r="U477" s="76"/>
      <c r="V477" s="75"/>
      <c r="W477" s="76"/>
      <c r="X477" s="75"/>
      <c r="Y477" s="76"/>
      <c r="Z477" s="75"/>
      <c r="AA477" s="52"/>
      <c r="AB477" s="34">
        <v>0</v>
      </c>
      <c r="AC477" s="52"/>
      <c r="AD477" s="34">
        <v>66.666666666666671</v>
      </c>
      <c r="AE477" s="52"/>
      <c r="AF477" s="34">
        <v>66.666666666666671</v>
      </c>
      <c r="AG477" s="52"/>
      <c r="AH477" s="34">
        <v>66.666666666666671</v>
      </c>
      <c r="AI477" s="52"/>
      <c r="AJ477" s="34">
        <v>66.666666666666671</v>
      </c>
      <c r="AK477" s="52"/>
      <c r="AL477" s="34">
        <v>66.666666666666671</v>
      </c>
      <c r="AM477" s="52"/>
      <c r="AN477" s="34">
        <v>66.666666666666671</v>
      </c>
      <c r="AO477" s="52"/>
      <c r="AP477" s="34">
        <v>66.666666666666671</v>
      </c>
      <c r="AQ477" s="52"/>
      <c r="AR477" s="34">
        <v>66.666666666666671</v>
      </c>
      <c r="AS477" s="31"/>
      <c r="AT477" s="126">
        <v>0</v>
      </c>
      <c r="AU477" s="31"/>
      <c r="AV477" s="34">
        <v>0</v>
      </c>
      <c r="AW477" s="31"/>
      <c r="AX477" s="34">
        <v>0</v>
      </c>
      <c r="AY477" s="31"/>
      <c r="AZ477" s="34">
        <v>0</v>
      </c>
      <c r="BA477" s="31"/>
      <c r="BB477" s="34">
        <v>0</v>
      </c>
      <c r="BC477" s="31"/>
      <c r="BD477" s="34">
        <v>0</v>
      </c>
      <c r="BE477" s="31"/>
      <c r="BF477" s="34">
        <v>0</v>
      </c>
      <c r="BG477" s="31"/>
      <c r="BH477" s="34">
        <v>48</v>
      </c>
      <c r="BI477" s="52"/>
      <c r="BJ477" s="34">
        <v>48</v>
      </c>
      <c r="BK477" s="52"/>
      <c r="BL477" s="34">
        <v>48</v>
      </c>
      <c r="BM477" s="52"/>
      <c r="BN477" s="34">
        <v>48</v>
      </c>
      <c r="BO477" s="52"/>
      <c r="BP477" s="34">
        <v>48</v>
      </c>
      <c r="BQ477" s="52"/>
      <c r="BR477" s="34">
        <v>48</v>
      </c>
      <c r="BS477" s="76"/>
    </row>
    <row r="478" spans="5:71" x14ac:dyDescent="0.25">
      <c r="F478" s="4" t="s">
        <v>650</v>
      </c>
      <c r="T478" s="4">
        <f>SUM(T479:T485)</f>
        <v>0</v>
      </c>
      <c r="V478" s="4">
        <f>SUM(V479:V485)</f>
        <v>0</v>
      </c>
      <c r="X478" s="4">
        <f>SUM(X479:X485)</f>
        <v>0</v>
      </c>
      <c r="Z478" s="4">
        <f>SUM(Z479:Z485)</f>
        <v>0</v>
      </c>
      <c r="AB478" s="4">
        <f>SUM(AB479:AB485)</f>
        <v>0</v>
      </c>
      <c r="AD478" s="4">
        <f>SUM(AD479:AD485)</f>
        <v>0</v>
      </c>
      <c r="AF478" s="4">
        <f>SUM(AF479:AF485)</f>
        <v>0</v>
      </c>
      <c r="AH478" s="4">
        <f>SUM(AH479:AH485)</f>
        <v>0</v>
      </c>
      <c r="AJ478" s="4">
        <f>SUM(AJ479:AJ485)</f>
        <v>0</v>
      </c>
      <c r="AL478" s="4">
        <f>SUM(AL479:AL485)</f>
        <v>0</v>
      </c>
      <c r="AN478" s="4">
        <f>SUM(AN479:AN485)</f>
        <v>14.546666666666667</v>
      </c>
      <c r="AP478" s="4">
        <f>SUM(AP479:AP485)</f>
        <v>47.04</v>
      </c>
      <c r="AR478" s="4">
        <f>SUM(AR479:AR485)</f>
        <v>83.84</v>
      </c>
      <c r="AT478" s="121">
        <f>SUM(AT479:AT485)</f>
        <v>268.58000000000004</v>
      </c>
      <c r="AV478" s="4">
        <f>SUM(AV479:AV485)</f>
        <v>535.09999999999991</v>
      </c>
      <c r="AX478" s="4">
        <f>SUM(AX479:AX485)</f>
        <v>813.88000000000011</v>
      </c>
      <c r="AZ478" s="4">
        <f>SUM(AZ479:AZ485)</f>
        <v>367.21</v>
      </c>
      <c r="BB478" s="4">
        <f>SUM(BB479:BB485)</f>
        <v>300.60000000000002</v>
      </c>
      <c r="BD478" s="4">
        <f>SUM(BD479:BD485)</f>
        <v>591.04000000000008</v>
      </c>
      <c r="BF478" s="4">
        <f>SUM(BF479:BF485)</f>
        <v>394.80000000000007</v>
      </c>
      <c r="BH478" s="4">
        <f>SUM(BH479:BH485)</f>
        <v>259.8</v>
      </c>
      <c r="BJ478" s="4">
        <f>SUM(BJ479:BJ485)</f>
        <v>259.8</v>
      </c>
      <c r="BL478" s="4">
        <f>SUM(BL479:BL485)</f>
        <v>244.8</v>
      </c>
      <c r="BN478" s="4">
        <f>SUM(BN479:BN485)</f>
        <v>244.8</v>
      </c>
      <c r="BP478" s="4">
        <f>SUM(BP479:BP485)</f>
        <v>244.8</v>
      </c>
      <c r="BR478" s="4">
        <f>SUM(BR479:BR485)</f>
        <v>244.8</v>
      </c>
    </row>
    <row r="479" spans="5:71" s="58" customFormat="1" outlineLevel="1" x14ac:dyDescent="0.25">
      <c r="E479" s="4"/>
      <c r="F479" s="4"/>
      <c r="G479" s="4" t="s">
        <v>660</v>
      </c>
      <c r="H479" s="1"/>
      <c r="S479" s="66"/>
      <c r="T479" s="34">
        <v>0</v>
      </c>
      <c r="U479" s="76"/>
      <c r="V479" s="34">
        <v>0</v>
      </c>
      <c r="W479" s="76"/>
      <c r="X479" s="34">
        <v>0</v>
      </c>
      <c r="Y479" s="76"/>
      <c r="Z479" s="34">
        <v>0</v>
      </c>
      <c r="AA479" s="52"/>
      <c r="AB479" s="34">
        <v>0</v>
      </c>
      <c r="AC479" s="52"/>
      <c r="AD479" s="34">
        <v>0</v>
      </c>
      <c r="AE479" s="52"/>
      <c r="AF479" s="34">
        <v>0</v>
      </c>
      <c r="AG479" s="52"/>
      <c r="AH479" s="34">
        <v>0</v>
      </c>
      <c r="AI479" s="52"/>
      <c r="AJ479" s="34">
        <v>0</v>
      </c>
      <c r="AK479" s="52"/>
      <c r="AL479" s="34">
        <v>0</v>
      </c>
      <c r="AM479" s="52"/>
      <c r="AN479" s="34">
        <v>0</v>
      </c>
      <c r="AO479" s="52"/>
      <c r="AP479" s="34">
        <v>0</v>
      </c>
      <c r="AQ479" s="52"/>
      <c r="AR479" s="34">
        <v>0</v>
      </c>
      <c r="AS479" s="31"/>
      <c r="AT479" s="149">
        <v>0</v>
      </c>
      <c r="AU479" s="4"/>
      <c r="AV479" s="36">
        <v>0</v>
      </c>
      <c r="AW479" s="4"/>
      <c r="AX479" s="36">
        <v>0</v>
      </c>
      <c r="AY479" s="4"/>
      <c r="AZ479" s="34">
        <v>0</v>
      </c>
      <c r="BA479" s="31"/>
      <c r="BB479" s="36">
        <v>0</v>
      </c>
      <c r="BC479" s="4"/>
      <c r="BD479" s="36">
        <v>0</v>
      </c>
      <c r="BE479" s="4"/>
      <c r="BF479" s="36">
        <v>0</v>
      </c>
      <c r="BG479" s="4"/>
      <c r="BH479" s="34">
        <f>8.99*8</f>
        <v>71.92</v>
      </c>
      <c r="BI479" s="52"/>
      <c r="BJ479" s="34">
        <f>8.99*8</f>
        <v>71.92</v>
      </c>
      <c r="BK479" s="52"/>
      <c r="BL479" s="34">
        <f>8.99*8</f>
        <v>71.92</v>
      </c>
      <c r="BM479" s="52"/>
      <c r="BN479" s="34">
        <f>8.99*8</f>
        <v>71.92</v>
      </c>
      <c r="BO479" s="52"/>
      <c r="BP479" s="34">
        <f>8.99*8</f>
        <v>71.92</v>
      </c>
      <c r="BQ479" s="52"/>
      <c r="BR479" s="34">
        <f>8.99*8</f>
        <v>71.92</v>
      </c>
      <c r="BS479" s="76"/>
    </row>
    <row r="480" spans="5:71" s="58" customFormat="1" outlineLevel="1" x14ac:dyDescent="0.25">
      <c r="E480" s="4"/>
      <c r="F480" s="4"/>
      <c r="G480" s="4" t="s">
        <v>659</v>
      </c>
      <c r="H480" s="1"/>
      <c r="S480" s="66"/>
      <c r="T480" s="34">
        <v>0</v>
      </c>
      <c r="U480" s="76"/>
      <c r="V480" s="34">
        <v>0</v>
      </c>
      <c r="W480" s="76"/>
      <c r="X480" s="34">
        <v>0</v>
      </c>
      <c r="Y480" s="76"/>
      <c r="Z480" s="34">
        <v>0</v>
      </c>
      <c r="AA480" s="52"/>
      <c r="AB480" s="34">
        <v>0</v>
      </c>
      <c r="AC480" s="52"/>
      <c r="AD480" s="34">
        <v>0</v>
      </c>
      <c r="AE480" s="52"/>
      <c r="AF480" s="34">
        <v>0</v>
      </c>
      <c r="AG480" s="52"/>
      <c r="AH480" s="34">
        <v>0</v>
      </c>
      <c r="AI480" s="52"/>
      <c r="AJ480" s="34">
        <v>0</v>
      </c>
      <c r="AK480" s="52"/>
      <c r="AL480" s="34">
        <v>0</v>
      </c>
      <c r="AM480" s="52"/>
      <c r="AN480" s="34">
        <v>0</v>
      </c>
      <c r="AO480" s="52"/>
      <c r="AP480" s="34">
        <v>0</v>
      </c>
      <c r="AQ480" s="52"/>
      <c r="AR480" s="34">
        <v>0</v>
      </c>
      <c r="AS480" s="31"/>
      <c r="AT480" s="149">
        <f>20.49+42.37+40.99+39.76+38.84</f>
        <v>182.45</v>
      </c>
      <c r="AU480" s="4"/>
      <c r="AV480" s="36">
        <f>21.78+21.78+42.26+41.07+40.98+40.84+39.58+39.5+39.18+39.08+21.78+18+18+21.78</f>
        <v>445.6099999999999</v>
      </c>
      <c r="AW480" s="4"/>
      <c r="AX480" s="36">
        <f>18+194.05+21.78+162.25+39.56+39.11+58.33+42.98+42.03+18+18</f>
        <v>654.09</v>
      </c>
      <c r="AY480" s="4"/>
      <c r="AZ480" s="34">
        <f>21.78+235.95</f>
        <v>257.73</v>
      </c>
      <c r="BA480" s="31"/>
      <c r="BB480" s="36">
        <f>140+27.45+26.8</f>
        <v>194.25</v>
      </c>
      <c r="BC480" s="4"/>
      <c r="BD480" s="36">
        <f>38.45+38.1+36.28+36+36.7+36.07+35.69+22.33+48.9+160.31</f>
        <v>488.83</v>
      </c>
      <c r="BE480" s="4"/>
      <c r="BF480" s="36">
        <f>35.61+21.78+196+27.72+27.72+26.99+26.99+4.42</f>
        <v>367.23000000000008</v>
      </c>
      <c r="BG480" s="4"/>
      <c r="BH480" s="34">
        <v>160.31</v>
      </c>
      <c r="BI480" s="52"/>
      <c r="BJ480" s="34">
        <v>160.31</v>
      </c>
      <c r="BK480" s="52"/>
      <c r="BL480" s="34">
        <v>160.31</v>
      </c>
      <c r="BM480" s="52"/>
      <c r="BN480" s="34">
        <v>160.31</v>
      </c>
      <c r="BO480" s="52"/>
      <c r="BP480" s="34">
        <v>160.31</v>
      </c>
      <c r="BQ480" s="52"/>
      <c r="BR480" s="34">
        <v>160.31</v>
      </c>
      <c r="BS480" s="76"/>
    </row>
    <row r="481" spans="5:71" s="58" customFormat="1" outlineLevel="1" x14ac:dyDescent="0.25">
      <c r="E481" s="4"/>
      <c r="F481" s="4"/>
      <c r="G481" s="1" t="s">
        <v>661</v>
      </c>
      <c r="S481" s="66"/>
      <c r="T481" s="34">
        <v>0</v>
      </c>
      <c r="U481" s="76"/>
      <c r="V481" s="34">
        <v>0</v>
      </c>
      <c r="W481" s="76"/>
      <c r="X481" s="34">
        <v>0</v>
      </c>
      <c r="Y481" s="76"/>
      <c r="Z481" s="34">
        <v>0</v>
      </c>
      <c r="AA481" s="52"/>
      <c r="AB481" s="34">
        <v>0</v>
      </c>
      <c r="AC481" s="52"/>
      <c r="AD481" s="34">
        <v>0</v>
      </c>
      <c r="AE481" s="52"/>
      <c r="AF481" s="34">
        <v>0</v>
      </c>
      <c r="AG481" s="52"/>
      <c r="AH481" s="34">
        <v>0</v>
      </c>
      <c r="AI481" s="52"/>
      <c r="AJ481" s="34">
        <v>0</v>
      </c>
      <c r="AK481" s="52"/>
      <c r="AL481" s="34">
        <v>0</v>
      </c>
      <c r="AM481" s="52"/>
      <c r="AN481" s="34">
        <v>0</v>
      </c>
      <c r="AO481" s="52"/>
      <c r="AP481" s="34">
        <v>12.91</v>
      </c>
      <c r="AQ481" s="52"/>
      <c r="AR481" s="34">
        <v>3.76</v>
      </c>
      <c r="AS481" s="31"/>
      <c r="AT481" s="126">
        <v>3.83</v>
      </c>
      <c r="AU481" s="31"/>
      <c r="AV481" s="36">
        <f>7.58+3.94</f>
        <v>11.52</v>
      </c>
      <c r="AW481" s="4"/>
      <c r="AX481" s="34">
        <v>13.69</v>
      </c>
      <c r="AY481" s="31"/>
      <c r="AZ481" s="34">
        <v>13.02</v>
      </c>
      <c r="BA481" s="31"/>
      <c r="BB481" s="34">
        <v>12.85</v>
      </c>
      <c r="BC481" s="31"/>
      <c r="BD481" s="34">
        <v>12.57</v>
      </c>
      <c r="BE481" s="31"/>
      <c r="BF481" s="34">
        <v>12.57</v>
      </c>
      <c r="BG481" s="31"/>
      <c r="BH481" s="34">
        <v>12.57</v>
      </c>
      <c r="BI481" s="52"/>
      <c r="BJ481" s="34">
        <v>12.57</v>
      </c>
      <c r="BK481" s="52"/>
      <c r="BL481" s="34">
        <v>12.57</v>
      </c>
      <c r="BM481" s="52"/>
      <c r="BN481" s="34">
        <v>12.57</v>
      </c>
      <c r="BO481" s="52"/>
      <c r="BP481" s="34">
        <v>12.57</v>
      </c>
      <c r="BQ481" s="52"/>
      <c r="BR481" s="34">
        <v>12.57</v>
      </c>
      <c r="BS481" s="76"/>
    </row>
    <row r="482" spans="5:71" s="58" customFormat="1" outlineLevel="1" x14ac:dyDescent="0.25">
      <c r="E482" s="4"/>
      <c r="F482" s="4"/>
      <c r="G482" s="1" t="s">
        <v>666</v>
      </c>
      <c r="S482" s="66"/>
      <c r="T482" s="34">
        <v>0</v>
      </c>
      <c r="U482" s="76"/>
      <c r="V482" s="34">
        <v>0</v>
      </c>
      <c r="W482" s="76"/>
      <c r="X482" s="34">
        <v>0</v>
      </c>
      <c r="Y482" s="76"/>
      <c r="Z482" s="34">
        <v>0</v>
      </c>
      <c r="AA482" s="52"/>
      <c r="AB482" s="34">
        <v>0</v>
      </c>
      <c r="AC482" s="52"/>
      <c r="AD482" s="34">
        <v>0</v>
      </c>
      <c r="AE482" s="52"/>
      <c r="AF482" s="34">
        <v>0</v>
      </c>
      <c r="AG482" s="52"/>
      <c r="AH482" s="34">
        <v>0</v>
      </c>
      <c r="AI482" s="52"/>
      <c r="AJ482" s="34">
        <v>0</v>
      </c>
      <c r="AK482" s="52"/>
      <c r="AL482" s="34">
        <v>0</v>
      </c>
      <c r="AM482" s="52"/>
      <c r="AN482" s="34">
        <v>0</v>
      </c>
      <c r="AO482" s="52"/>
      <c r="AP482" s="34">
        <v>19.13</v>
      </c>
      <c r="AQ482" s="52"/>
      <c r="AR482" s="34">
        <v>19.440000000000001</v>
      </c>
      <c r="AS482" s="31"/>
      <c r="AT482" s="152">
        <v>20.58</v>
      </c>
      <c r="AU482" s="4"/>
      <c r="AV482" s="36">
        <v>29.73</v>
      </c>
      <c r="AW482" s="4"/>
      <c r="AX482" s="36">
        <v>97.91</v>
      </c>
      <c r="AY482" s="31"/>
      <c r="AZ482" s="34">
        <v>48.32</v>
      </c>
      <c r="BA482" s="4"/>
      <c r="BB482" s="36">
        <v>46.47</v>
      </c>
      <c r="BC482" s="4"/>
      <c r="BD482" s="34">
        <v>44.32</v>
      </c>
      <c r="BE482" s="31"/>
      <c r="BF482" s="34">
        <v>0</v>
      </c>
      <c r="BG482" s="31"/>
      <c r="BH482" s="34">
        <v>0</v>
      </c>
      <c r="BI482" s="52"/>
      <c r="BJ482" s="34">
        <v>0</v>
      </c>
      <c r="BK482" s="52"/>
      <c r="BL482" s="34">
        <v>0</v>
      </c>
      <c r="BM482" s="52"/>
      <c r="BN482" s="34">
        <v>0</v>
      </c>
      <c r="BO482" s="52"/>
      <c r="BP482" s="34">
        <v>0</v>
      </c>
      <c r="BQ482" s="52"/>
      <c r="BR482" s="34">
        <v>0</v>
      </c>
      <c r="BS482" s="76"/>
    </row>
    <row r="483" spans="5:71" s="58" customFormat="1" outlineLevel="1" x14ac:dyDescent="0.25">
      <c r="E483" s="4"/>
      <c r="F483" s="4"/>
      <c r="G483" s="1" t="s">
        <v>667</v>
      </c>
      <c r="S483" s="66"/>
      <c r="T483" s="34">
        <v>0</v>
      </c>
      <c r="U483" s="76"/>
      <c r="V483" s="34">
        <v>0</v>
      </c>
      <c r="W483" s="76"/>
      <c r="X483" s="34">
        <v>0</v>
      </c>
      <c r="Y483" s="76"/>
      <c r="Z483" s="34">
        <v>0</v>
      </c>
      <c r="AA483" s="52"/>
      <c r="AB483" s="34">
        <v>0</v>
      </c>
      <c r="AC483" s="52"/>
      <c r="AD483" s="34">
        <v>0</v>
      </c>
      <c r="AE483" s="52"/>
      <c r="AF483" s="34">
        <v>0</v>
      </c>
      <c r="AG483" s="52"/>
      <c r="AH483" s="34">
        <v>0</v>
      </c>
      <c r="AI483" s="52"/>
      <c r="AJ483" s="34">
        <v>0</v>
      </c>
      <c r="AK483" s="52"/>
      <c r="AL483" s="34">
        <v>0</v>
      </c>
      <c r="AM483" s="52"/>
      <c r="AN483" s="34">
        <v>0</v>
      </c>
      <c r="AO483" s="52"/>
      <c r="AP483" s="34">
        <v>0</v>
      </c>
      <c r="AQ483" s="52"/>
      <c r="AR483" s="34">
        <v>0</v>
      </c>
      <c r="AS483" s="31"/>
      <c r="AT483" s="126">
        <v>0</v>
      </c>
      <c r="AU483" s="31"/>
      <c r="AV483" s="34">
        <v>0</v>
      </c>
      <c r="AW483" s="31"/>
      <c r="AX483" s="34">
        <v>0</v>
      </c>
      <c r="AY483" s="31"/>
      <c r="AZ483" s="34">
        <v>0</v>
      </c>
      <c r="BA483" s="31"/>
      <c r="BB483" s="34">
        <v>0</v>
      </c>
      <c r="BC483" s="31"/>
      <c r="BD483" s="34">
        <v>0</v>
      </c>
      <c r="BE483" s="31"/>
      <c r="BF483" s="34">
        <v>0</v>
      </c>
      <c r="BG483" s="31"/>
      <c r="BH483" s="34">
        <v>0</v>
      </c>
      <c r="BI483" s="52"/>
      <c r="BJ483" s="34">
        <v>0</v>
      </c>
      <c r="BK483" s="52"/>
      <c r="BL483" s="34">
        <v>0</v>
      </c>
      <c r="BM483" s="52"/>
      <c r="BN483" s="34">
        <v>0</v>
      </c>
      <c r="BO483" s="52"/>
      <c r="BP483" s="34">
        <v>0</v>
      </c>
      <c r="BQ483" s="52"/>
      <c r="BR483" s="34">
        <v>0</v>
      </c>
      <c r="BS483" s="76"/>
    </row>
    <row r="484" spans="5:71" s="58" customFormat="1" outlineLevel="1" x14ac:dyDescent="0.25">
      <c r="E484" s="4"/>
      <c r="F484" s="4"/>
      <c r="G484" s="1" t="s">
        <v>668</v>
      </c>
      <c r="S484" s="66"/>
      <c r="T484" s="34">
        <v>0</v>
      </c>
      <c r="U484" s="76"/>
      <c r="V484" s="34">
        <v>0</v>
      </c>
      <c r="W484" s="76"/>
      <c r="X484" s="34">
        <v>0</v>
      </c>
      <c r="Y484" s="76"/>
      <c r="Z484" s="34">
        <v>0</v>
      </c>
      <c r="AA484" s="52"/>
      <c r="AB484" s="34">
        <v>0</v>
      </c>
      <c r="AC484" s="52"/>
      <c r="AD484" s="34">
        <v>0</v>
      </c>
      <c r="AE484" s="52"/>
      <c r="AF484" s="34">
        <v>0</v>
      </c>
      <c r="AG484" s="52"/>
      <c r="AH484" s="34">
        <v>0</v>
      </c>
      <c r="AI484" s="52"/>
      <c r="AJ484" s="34">
        <v>0</v>
      </c>
      <c r="AK484" s="52"/>
      <c r="AL484" s="34">
        <v>0</v>
      </c>
      <c r="AM484" s="52"/>
      <c r="AN484" s="34">
        <v>0</v>
      </c>
      <c r="AO484" s="52"/>
      <c r="AP484" s="34">
        <v>0</v>
      </c>
      <c r="AQ484" s="52"/>
      <c r="AR484" s="34">
        <v>45.64</v>
      </c>
      <c r="AS484" s="31"/>
      <c r="AT484" s="149">
        <v>46.72</v>
      </c>
      <c r="AU484" s="4"/>
      <c r="AV484" s="34">
        <v>33.24</v>
      </c>
      <c r="AW484" s="31"/>
      <c r="AX484" s="34">
        <v>33.19</v>
      </c>
      <c r="AY484" s="31"/>
      <c r="AZ484" s="34">
        <v>33.14</v>
      </c>
      <c r="BA484" s="31"/>
      <c r="BB484" s="34">
        <v>32.03</v>
      </c>
      <c r="BC484" s="31"/>
      <c r="BD484" s="34">
        <v>30.32</v>
      </c>
      <c r="BE484" s="31"/>
      <c r="BF484" s="34">
        <v>0</v>
      </c>
      <c r="BG484" s="31"/>
      <c r="BH484" s="34">
        <v>0</v>
      </c>
      <c r="BI484" s="52"/>
      <c r="BJ484" s="34">
        <v>0</v>
      </c>
      <c r="BK484" s="52"/>
      <c r="BL484" s="34">
        <v>0</v>
      </c>
      <c r="BM484" s="52"/>
      <c r="BN484" s="34">
        <v>0</v>
      </c>
      <c r="BO484" s="52"/>
      <c r="BP484" s="34">
        <v>0</v>
      </c>
      <c r="BQ484" s="52"/>
      <c r="BR484" s="34">
        <v>0</v>
      </c>
      <c r="BS484" s="76"/>
    </row>
    <row r="485" spans="5:71" s="58" customFormat="1" outlineLevel="1" x14ac:dyDescent="0.25">
      <c r="E485" s="4"/>
      <c r="F485" s="4"/>
      <c r="G485" s="1" t="s">
        <v>669</v>
      </c>
      <c r="S485" s="66"/>
      <c r="T485" s="34">
        <v>0</v>
      </c>
      <c r="U485" s="76"/>
      <c r="V485" s="34">
        <v>0</v>
      </c>
      <c r="W485" s="76"/>
      <c r="X485" s="34">
        <v>0</v>
      </c>
      <c r="Y485" s="76"/>
      <c r="Z485" s="34">
        <v>0</v>
      </c>
      <c r="AA485" s="52"/>
      <c r="AB485" s="34">
        <v>0</v>
      </c>
      <c r="AC485" s="52"/>
      <c r="AD485" s="34">
        <v>0</v>
      </c>
      <c r="AE485" s="52"/>
      <c r="AF485" s="34">
        <v>0</v>
      </c>
      <c r="AG485" s="52"/>
      <c r="AH485" s="34">
        <v>0</v>
      </c>
      <c r="AI485" s="52"/>
      <c r="AJ485" s="34">
        <v>0</v>
      </c>
      <c r="AK485" s="52"/>
      <c r="AL485" s="34">
        <v>0</v>
      </c>
      <c r="AM485" s="52"/>
      <c r="AN485" s="34">
        <f>174.56/12</f>
        <v>14.546666666666667</v>
      </c>
      <c r="AO485" s="52"/>
      <c r="AP485" s="34">
        <v>15</v>
      </c>
      <c r="AQ485" s="52"/>
      <c r="AR485" s="34">
        <v>15</v>
      </c>
      <c r="AS485" s="31"/>
      <c r="AT485" s="126">
        <v>15</v>
      </c>
      <c r="AU485" s="4"/>
      <c r="AV485" s="36">
        <v>15</v>
      </c>
      <c r="AW485" s="4"/>
      <c r="AX485" s="36">
        <v>15</v>
      </c>
      <c r="AY485" s="4"/>
      <c r="AZ485" s="36">
        <v>15</v>
      </c>
      <c r="BA485" s="4"/>
      <c r="BB485" s="36">
        <v>15</v>
      </c>
      <c r="BC485" s="4"/>
      <c r="BD485" s="36">
        <v>15</v>
      </c>
      <c r="BE485" s="4"/>
      <c r="BF485" s="36">
        <v>15</v>
      </c>
      <c r="BG485" s="4"/>
      <c r="BH485" s="34">
        <v>15</v>
      </c>
      <c r="BI485" s="52"/>
      <c r="BJ485" s="34">
        <v>15</v>
      </c>
      <c r="BK485" s="52"/>
      <c r="BL485" s="34">
        <v>0</v>
      </c>
      <c r="BM485" s="52"/>
      <c r="BN485" s="34">
        <v>0</v>
      </c>
      <c r="BO485" s="52"/>
      <c r="BP485" s="34">
        <v>0</v>
      </c>
      <c r="BQ485" s="52"/>
      <c r="BR485" s="34">
        <v>0</v>
      </c>
      <c r="BS485" s="76"/>
    </row>
    <row r="486" spans="5:71" x14ac:dyDescent="0.25">
      <c r="F486" s="98" t="s">
        <v>682</v>
      </c>
      <c r="T486" s="4">
        <f>SUM(T487:T489)</f>
        <v>628</v>
      </c>
      <c r="V486" s="4">
        <f>SUM(V487:V489)</f>
        <v>634.04999999999995</v>
      </c>
      <c r="X486" s="4">
        <f>SUM(X487:X489)</f>
        <v>634.04999999999995</v>
      </c>
      <c r="Z486" s="4">
        <f>SUM(Z487:Z489)</f>
        <v>634.04999999999995</v>
      </c>
      <c r="AB486" s="4">
        <f>SUM(AB487:AB489)</f>
        <v>634.04999999999995</v>
      </c>
      <c r="AD486" s="4">
        <f>SUM(AD487:AD489)</f>
        <v>634.04999999999995</v>
      </c>
      <c r="AF486" s="4">
        <f>SUM(AF487:AF489)</f>
        <v>634.04999999999995</v>
      </c>
      <c r="AH486" s="4">
        <f>SUM(AH487:AH489)</f>
        <v>634.04999999999995</v>
      </c>
      <c r="AJ486" s="4">
        <f>SUM(AJ487:AJ489)</f>
        <v>634.04999999999995</v>
      </c>
      <c r="AL486" s="4">
        <f>SUM(AL487:AL489)</f>
        <v>634.04999999999995</v>
      </c>
      <c r="AN486" s="4">
        <f>SUM(AN487:AN489)</f>
        <v>634.04999999999995</v>
      </c>
      <c r="AP486" s="4">
        <f>SUM(AP487:AP489)</f>
        <v>634.04999999999995</v>
      </c>
      <c r="AR486" s="4">
        <f>SUM(AR487:AR489)</f>
        <v>634.04999999999995</v>
      </c>
      <c r="AT486" s="121">
        <f>SUM(AT487:AT489)</f>
        <v>634.04999999999995</v>
      </c>
      <c r="AV486" s="4">
        <f>SUM(AV487:AV489)</f>
        <v>730.98</v>
      </c>
      <c r="AX486" s="4">
        <f>SUM(AX487:AX489)</f>
        <v>367.33</v>
      </c>
      <c r="AZ486" s="4">
        <f>SUM(AZ487:AZ489)</f>
        <v>381.32</v>
      </c>
      <c r="BB486" s="4">
        <f>SUM(BB487:BB489)</f>
        <v>381.32</v>
      </c>
      <c r="BD486" s="4">
        <f>SUM(BD487:BD489)</f>
        <v>634.04999999999995</v>
      </c>
      <c r="BF486" s="4">
        <f>SUM(BF487:BF489)</f>
        <v>634.04999999999995</v>
      </c>
      <c r="BH486" s="4">
        <f>SUM(BH487:BH489)</f>
        <v>1186.05</v>
      </c>
      <c r="BJ486" s="4">
        <f>SUM(BJ487:BJ489)</f>
        <v>1186.05</v>
      </c>
      <c r="BL486" s="4">
        <f>SUM(BL487:BL489)</f>
        <v>1186.05</v>
      </c>
      <c r="BN486" s="4">
        <f>SUM(BN487:BN489)</f>
        <v>1186.05</v>
      </c>
      <c r="BP486" s="4">
        <f>SUM(BP487:BP489)</f>
        <v>1186.05</v>
      </c>
      <c r="BR486" s="4">
        <f>SUM(BR487:BR489)</f>
        <v>1186.05</v>
      </c>
    </row>
    <row r="487" spans="5:71" s="58" customFormat="1" outlineLevel="1" x14ac:dyDescent="0.25">
      <c r="G487" s="98" t="s">
        <v>748</v>
      </c>
      <c r="H487" s="99"/>
      <c r="I487" s="98"/>
      <c r="J487" s="98"/>
      <c r="K487" s="98"/>
      <c r="L487" s="98"/>
      <c r="M487" s="98"/>
      <c r="N487" s="98"/>
      <c r="O487" s="98"/>
      <c r="P487" s="98">
        <v>548</v>
      </c>
      <c r="Q487" s="98">
        <f>P487*12</f>
        <v>6576</v>
      </c>
      <c r="R487" s="98"/>
      <c r="S487" s="100"/>
      <c r="T487" s="94">
        <v>548</v>
      </c>
      <c r="U487" s="102"/>
      <c r="V487" s="94">
        <v>548</v>
      </c>
      <c r="W487" s="102"/>
      <c r="X487" s="94">
        <v>548</v>
      </c>
      <c r="Y487" s="102"/>
      <c r="Z487" s="94">
        <v>548</v>
      </c>
      <c r="AA487" s="102"/>
      <c r="AB487" s="94">
        <v>548</v>
      </c>
      <c r="AC487" s="102"/>
      <c r="AD487" s="94">
        <v>548</v>
      </c>
      <c r="AE487" s="102"/>
      <c r="AF487" s="94">
        <v>548</v>
      </c>
      <c r="AG487" s="102"/>
      <c r="AH487" s="94">
        <v>548</v>
      </c>
      <c r="AI487" s="102"/>
      <c r="AJ487" s="94">
        <v>548</v>
      </c>
      <c r="AK487" s="102"/>
      <c r="AL487" s="94">
        <v>548</v>
      </c>
      <c r="AM487" s="102"/>
      <c r="AN487" s="94">
        <v>548</v>
      </c>
      <c r="AO487" s="102"/>
      <c r="AP487" s="94">
        <v>548</v>
      </c>
      <c r="AQ487" s="102"/>
      <c r="AR487" s="94">
        <v>548</v>
      </c>
      <c r="AS487" s="102"/>
      <c r="AT487" s="152">
        <v>548</v>
      </c>
      <c r="AU487" s="102"/>
      <c r="AV487" s="94">
        <v>653.71</v>
      </c>
      <c r="AW487" s="102"/>
      <c r="AX487" s="94">
        <v>353.34</v>
      </c>
      <c r="AY487" s="102"/>
      <c r="AZ487" s="94">
        <v>353.34</v>
      </c>
      <c r="BA487" s="102"/>
      <c r="BB487" s="94">
        <v>353.34</v>
      </c>
      <c r="BC487" s="102"/>
      <c r="BD487" s="94">
        <v>548</v>
      </c>
      <c r="BE487" s="102"/>
      <c r="BF487" s="94">
        <v>548</v>
      </c>
      <c r="BG487" s="102"/>
      <c r="BH487" s="94">
        <v>1100</v>
      </c>
      <c r="BI487" s="102"/>
      <c r="BJ487" s="94">
        <v>1100</v>
      </c>
      <c r="BK487" s="102"/>
      <c r="BL487" s="94">
        <v>1100</v>
      </c>
      <c r="BM487" s="102"/>
      <c r="BN487" s="94">
        <v>1100</v>
      </c>
      <c r="BO487" s="102"/>
      <c r="BP487" s="94">
        <v>1100</v>
      </c>
      <c r="BQ487" s="102"/>
      <c r="BR487" s="94">
        <v>1100</v>
      </c>
      <c r="BS487" s="76"/>
    </row>
    <row r="488" spans="5:71" s="58" customFormat="1" outlineLevel="1" x14ac:dyDescent="0.25">
      <c r="G488" s="98" t="s">
        <v>683</v>
      </c>
      <c r="H488" s="99"/>
      <c r="I488" s="103"/>
      <c r="J488" s="103"/>
      <c r="K488" s="98"/>
      <c r="L488" s="98"/>
      <c r="M488" s="98"/>
      <c r="N488" s="98"/>
      <c r="O488" s="98"/>
      <c r="P488" s="98"/>
      <c r="Q488" s="98"/>
      <c r="R488" s="98"/>
      <c r="S488" s="100"/>
      <c r="T488" s="94">
        <v>0</v>
      </c>
      <c r="U488" s="102"/>
      <c r="V488" s="94">
        <v>6.05</v>
      </c>
      <c r="W488" s="102"/>
      <c r="X488" s="94">
        <v>6.05</v>
      </c>
      <c r="Y488" s="102"/>
      <c r="Z488" s="94">
        <v>6.05</v>
      </c>
      <c r="AA488" s="102"/>
      <c r="AB488" s="94">
        <v>6.05</v>
      </c>
      <c r="AC488" s="102"/>
      <c r="AD488" s="94">
        <v>6.05</v>
      </c>
      <c r="AE488" s="102"/>
      <c r="AF488" s="94">
        <v>6.05</v>
      </c>
      <c r="AG488" s="102"/>
      <c r="AH488" s="94">
        <v>6.05</v>
      </c>
      <c r="AI488" s="102"/>
      <c r="AJ488" s="94">
        <v>6.05</v>
      </c>
      <c r="AK488" s="102"/>
      <c r="AL488" s="94">
        <v>6.05</v>
      </c>
      <c r="AM488" s="102"/>
      <c r="AN488" s="94">
        <v>6.05</v>
      </c>
      <c r="AO488" s="102"/>
      <c r="AP488" s="94">
        <v>6.05</v>
      </c>
      <c r="AQ488" s="102"/>
      <c r="AR488" s="94">
        <v>6.05</v>
      </c>
      <c r="AS488" s="102"/>
      <c r="AT488" s="152">
        <v>6.05</v>
      </c>
      <c r="AU488" s="102"/>
      <c r="AV488" s="94">
        <v>0</v>
      </c>
      <c r="AW488" s="102"/>
      <c r="AX488" s="94">
        <v>0</v>
      </c>
      <c r="AY488" s="102"/>
      <c r="AZ488" s="94">
        <v>0</v>
      </c>
      <c r="BA488" s="102"/>
      <c r="BB488" s="94">
        <v>0</v>
      </c>
      <c r="BC488" s="102"/>
      <c r="BD488" s="94">
        <v>6.05</v>
      </c>
      <c r="BE488" s="102"/>
      <c r="BF488" s="94">
        <v>6.05</v>
      </c>
      <c r="BG488" s="102"/>
      <c r="BH488" s="94">
        <v>6.05</v>
      </c>
      <c r="BI488" s="102"/>
      <c r="BJ488" s="94">
        <v>6.05</v>
      </c>
      <c r="BK488" s="102"/>
      <c r="BL488" s="94">
        <v>6.05</v>
      </c>
      <c r="BM488" s="102"/>
      <c r="BN488" s="94">
        <v>6.05</v>
      </c>
      <c r="BO488" s="102"/>
      <c r="BP488" s="94">
        <v>6.05</v>
      </c>
      <c r="BQ488" s="102"/>
      <c r="BR488" s="94">
        <v>6.05</v>
      </c>
      <c r="BS488" s="76"/>
    </row>
    <row r="489" spans="5:71" s="58" customFormat="1" outlineLevel="1" x14ac:dyDescent="0.25">
      <c r="G489" s="58" t="s">
        <v>686</v>
      </c>
      <c r="H489" s="95"/>
      <c r="P489" s="58">
        <v>80</v>
      </c>
      <c r="Q489" s="58">
        <f>P489*12</f>
        <v>960</v>
      </c>
      <c r="S489" s="66"/>
      <c r="T489" s="75">
        <v>80</v>
      </c>
      <c r="U489" s="66"/>
      <c r="V489" s="75">
        <v>80</v>
      </c>
      <c r="W489" s="66"/>
      <c r="X489" s="75">
        <v>80</v>
      </c>
      <c r="Y489" s="66"/>
      <c r="Z489" s="75">
        <v>80</v>
      </c>
      <c r="AA489" s="66"/>
      <c r="AB489" s="75">
        <v>80</v>
      </c>
      <c r="AC489" s="66"/>
      <c r="AD489" s="75">
        <v>80</v>
      </c>
      <c r="AE489" s="66"/>
      <c r="AF489" s="75">
        <v>80</v>
      </c>
      <c r="AG489" s="66"/>
      <c r="AH489" s="75">
        <v>80</v>
      </c>
      <c r="AI489" s="66"/>
      <c r="AJ489" s="75">
        <v>80</v>
      </c>
      <c r="AK489" s="66"/>
      <c r="AL489" s="75">
        <v>80</v>
      </c>
      <c r="AM489" s="66"/>
      <c r="AN489" s="75">
        <v>80</v>
      </c>
      <c r="AO489" s="66"/>
      <c r="AP489" s="75">
        <v>80</v>
      </c>
      <c r="AQ489" s="66"/>
      <c r="AR489" s="75">
        <v>80</v>
      </c>
      <c r="AS489" s="66"/>
      <c r="AT489" s="130">
        <v>80</v>
      </c>
      <c r="AU489" s="66"/>
      <c r="AV489" s="75">
        <v>77.27</v>
      </c>
      <c r="AW489" s="66"/>
      <c r="AX489" s="75">
        <v>13.99</v>
      </c>
      <c r="AY489" s="66"/>
      <c r="AZ489" s="75">
        <v>27.98</v>
      </c>
      <c r="BA489" s="66"/>
      <c r="BB489" s="75">
        <v>27.98</v>
      </c>
      <c r="BC489" s="31"/>
      <c r="BD489" s="75">
        <v>80</v>
      </c>
      <c r="BE489" s="66"/>
      <c r="BF489" s="75">
        <v>80</v>
      </c>
      <c r="BG489" s="66"/>
      <c r="BH489" s="75">
        <v>80</v>
      </c>
      <c r="BI489" s="66"/>
      <c r="BJ489" s="75">
        <v>80</v>
      </c>
      <c r="BK489" s="66"/>
      <c r="BL489" s="75">
        <v>80</v>
      </c>
      <c r="BM489" s="66"/>
      <c r="BN489" s="75">
        <v>80</v>
      </c>
      <c r="BO489" s="66"/>
      <c r="BP489" s="75">
        <v>80</v>
      </c>
      <c r="BQ489" s="66"/>
      <c r="BR489" s="75">
        <v>80</v>
      </c>
      <c r="BS489" s="66"/>
    </row>
  </sheetData>
  <phoneticPr fontId="14" type="noConversion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b59439-0124-4948-9824-ed33ecb66205">
      <Terms xmlns="http://schemas.microsoft.com/office/infopath/2007/PartnerControls"/>
    </lcf76f155ced4ddcb4097134ff3c332f>
    <TaxCatchAll xmlns="2b510c4f-d5b0-49b4-bc8c-03419659024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7EA30DA54E948BFB87DEEED7ED016" ma:contentTypeVersion="13" ma:contentTypeDescription="Een nieuw document maken." ma:contentTypeScope="" ma:versionID="88d8c697eaf7f477e2786fc11be71f35">
  <xsd:schema xmlns:xsd="http://www.w3.org/2001/XMLSchema" xmlns:xs="http://www.w3.org/2001/XMLSchema" xmlns:p="http://schemas.microsoft.com/office/2006/metadata/properties" xmlns:ns2="bdb59439-0124-4948-9824-ed33ecb66205" xmlns:ns3="2b510c4f-d5b0-49b4-bc8c-034196590242" targetNamespace="http://schemas.microsoft.com/office/2006/metadata/properties" ma:root="true" ma:fieldsID="e24129b7216d8f369d3ce59ed903d404" ns2:_="" ns3:_="">
    <xsd:import namespace="bdb59439-0124-4948-9824-ed33ecb66205"/>
    <xsd:import namespace="2b510c4f-d5b0-49b4-bc8c-0341965902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59439-0124-4948-9824-ed33ecb662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6ecb55b5-7eda-4025-ae09-566634b165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10c4f-d5b0-49b4-bc8c-03419659024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ede8ff5-3de4-4364-b159-10fb50cd4e6d}" ma:internalName="TaxCatchAll" ma:showField="CatchAllData" ma:web="2b510c4f-d5b0-49b4-bc8c-0341965902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7A159-E2B0-4970-9664-75F5133FDC0B}">
  <ds:schemaRefs>
    <ds:schemaRef ds:uri="http://schemas.openxmlformats.org/package/2006/metadata/core-properties"/>
    <ds:schemaRef ds:uri="http://purl.org/dc/elements/1.1/"/>
    <ds:schemaRef ds:uri="2b510c4f-d5b0-49b4-bc8c-034196590242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bdb59439-0124-4948-9824-ed33ecb6620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F3288-C4BE-4E7E-8527-6AEF9CFAFC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3B4D7-1436-4E86-BA5F-BC1C63AD9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59439-0124-4948-9824-ed33ecb66205"/>
    <ds:schemaRef ds:uri="2b510c4f-d5b0-49b4-bc8c-034196590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Wouter van Haaften</dc:creator>
  <cp:keywords/>
  <dc:description/>
  <cp:lastModifiedBy>Wouter van Haaften</cp:lastModifiedBy>
  <cp:revision/>
  <cp:lastPrinted>2025-08-05T06:48:37Z</cp:lastPrinted>
  <dcterms:created xsi:type="dcterms:W3CDTF">2023-11-02T05:46:01Z</dcterms:created>
  <dcterms:modified xsi:type="dcterms:W3CDTF">2025-08-07T17:35:45Z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0x0101008667EA30DA54E948BFB87DEEED7ED016</vt:lpwstr>
  </property>
</Properties>
</file>