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330"/>
  <workbookPr/>
  <mc:AlternateContent xmlns:mc="http://schemas.openxmlformats.org/markup-compatibility/2006">
    <mc:Choice Requires="x15">
      <x15ac:absPath xmlns:x15ac="http://schemas.microsoft.com/office/spreadsheetml/2010/11/ac" url="https://d.docs.live.net/6867a07f13ca9f18/Equities/Consumer Discretionary/Hotels Restaurants ^0 Leisure/Restaurants/"/>
    </mc:Choice>
  </mc:AlternateContent>
  <xr:revisionPtr revIDLastSave="532" documentId="11_F25DC773A252ABDACC10488AB91B62F65BDE58EC" xr6:coauthVersionLast="47" xr6:coauthVersionMax="47" xr10:uidLastSave="{0D212C0E-3193-4413-9F12-0D8D04355124}"/>
  <bookViews>
    <workbookView xWindow="28680" yWindow="-120" windowWidth="29040" windowHeight="15840" xr2:uid="{00000000-000D-0000-FFFF-FFFF00000000}"/>
  </bookViews>
  <sheets>
    <sheet name="Valuations" sheetId="1" r:id="rId1"/>
    <sheet name="LOOKUP"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2" i="1" l="1" a="1"/>
  <c r="C22" i="1" s="1"/>
  <c r="L22" i="1" s="1"/>
  <c r="C2" i="1"/>
  <c r="B11" i="2"/>
  <c r="B6" i="2"/>
  <c r="P23" i="1" a="1"/>
  <c r="P23" i="1" s="1"/>
  <c r="P22" i="1" a="1"/>
  <c r="P22" i="1" s="1"/>
  <c r="P21" i="1" a="1"/>
  <c r="P21" i="1" s="1"/>
  <c r="P20" i="1" a="1"/>
  <c r="P20" i="1" s="1"/>
  <c r="P19" i="1" a="1"/>
  <c r="P19" i="1" s="1"/>
  <c r="P17" i="1" a="1"/>
  <c r="P17" i="1" s="1"/>
  <c r="P16" i="1" a="1"/>
  <c r="P16" i="1" s="1"/>
  <c r="P15" i="1" a="1"/>
  <c r="P15" i="1" s="1"/>
  <c r="P14" i="1" a="1"/>
  <c r="P14" i="1" s="1"/>
  <c r="P13" i="1" a="1"/>
  <c r="P13" i="1" s="1"/>
  <c r="P12" i="1" a="1"/>
  <c r="P12" i="1" s="1"/>
  <c r="P11" i="1" a="1"/>
  <c r="P11" i="1" s="1"/>
  <c r="P10" i="1" a="1"/>
  <c r="P10" i="1" s="1"/>
  <c r="P9" i="1" a="1"/>
  <c r="P9" i="1" s="1"/>
  <c r="P8" i="1" a="1"/>
  <c r="P8" i="1" s="1"/>
  <c r="P7" i="1" a="1"/>
  <c r="P7" i="1" s="1"/>
  <c r="F23" i="1" a="1"/>
  <c r="F23" i="1" s="1"/>
  <c r="F22" i="1" a="1"/>
  <c r="F22" i="1" s="1"/>
  <c r="F21" i="1" a="1"/>
  <c r="F21" i="1" s="1"/>
  <c r="F20" i="1" a="1"/>
  <c r="F20" i="1" s="1"/>
  <c r="F19" i="1" a="1"/>
  <c r="F19" i="1" s="1"/>
  <c r="F18" i="1" a="1"/>
  <c r="F18" i="1" s="1"/>
  <c r="F17" i="1" a="1"/>
  <c r="F17" i="1" s="1"/>
  <c r="F16" i="1" a="1"/>
  <c r="F16" i="1" s="1"/>
  <c r="F15" i="1" a="1"/>
  <c r="F15" i="1" s="1"/>
  <c r="F14" i="1" a="1"/>
  <c r="F14" i="1" s="1"/>
  <c r="F13" i="1" a="1"/>
  <c r="F13" i="1" s="1"/>
  <c r="F12" i="1" a="1"/>
  <c r="F12" i="1" s="1"/>
  <c r="F11" i="1" a="1"/>
  <c r="F11" i="1" s="1"/>
  <c r="F10" i="1" a="1"/>
  <c r="F10" i="1" s="1"/>
  <c r="F9" i="1" a="1"/>
  <c r="F9" i="1" s="1"/>
  <c r="F8" i="1" a="1"/>
  <c r="F8" i="1" s="1"/>
  <c r="F7" i="1" a="1"/>
  <c r="F7" i="1" s="1"/>
  <c r="E23" i="1" a="1"/>
  <c r="E23" i="1" s="1"/>
  <c r="E22" i="1" a="1"/>
  <c r="E22" i="1" s="1"/>
  <c r="E21" i="1" a="1"/>
  <c r="E21" i="1" s="1"/>
  <c r="E20" i="1" a="1"/>
  <c r="E20" i="1" s="1"/>
  <c r="E19" i="1" a="1"/>
  <c r="E19" i="1" s="1"/>
  <c r="E18" i="1" a="1"/>
  <c r="E18" i="1" s="1"/>
  <c r="E17" i="1" a="1"/>
  <c r="E17" i="1" s="1"/>
  <c r="E16" i="1" a="1"/>
  <c r="E16" i="1" s="1"/>
  <c r="E15" i="1" a="1"/>
  <c r="E15" i="1" s="1"/>
  <c r="E14" i="1" a="1"/>
  <c r="E14" i="1" s="1"/>
  <c r="E13" i="1" a="1"/>
  <c r="E13" i="1" s="1"/>
  <c r="E12" i="1" a="1"/>
  <c r="E12" i="1" s="1"/>
  <c r="E11" i="1" a="1"/>
  <c r="E11" i="1" s="1"/>
  <c r="E10" i="1" a="1"/>
  <c r="E10" i="1" s="1"/>
  <c r="E9" i="1" a="1"/>
  <c r="E9" i="1" s="1"/>
  <c r="E8" i="1" a="1"/>
  <c r="E8" i="1" s="1"/>
  <c r="E7" i="1" a="1"/>
  <c r="E7" i="1" s="1"/>
  <c r="P36" i="1" s="1"/>
  <c r="D23" i="1" a="1"/>
  <c r="D23" i="1" s="1"/>
  <c r="D22" i="1" a="1"/>
  <c r="D22" i="1" s="1"/>
  <c r="D21" i="1" a="1"/>
  <c r="D21" i="1" s="1"/>
  <c r="D20" i="1" a="1"/>
  <c r="D20" i="1" s="1"/>
  <c r="D19" i="1" a="1"/>
  <c r="D19" i="1" s="1"/>
  <c r="D18" i="1" a="1"/>
  <c r="D18" i="1" s="1"/>
  <c r="D17" i="1" a="1"/>
  <c r="D17" i="1" s="1"/>
  <c r="D16" i="1" a="1"/>
  <c r="D16" i="1" s="1"/>
  <c r="D15" i="1" a="1"/>
  <c r="D15" i="1" s="1"/>
  <c r="D14" i="1" a="1"/>
  <c r="D14" i="1" s="1"/>
  <c r="D13" i="1" a="1"/>
  <c r="D13" i="1" s="1"/>
  <c r="D12" i="1" a="1"/>
  <c r="D12" i="1" s="1"/>
  <c r="D11" i="1" a="1"/>
  <c r="D11" i="1" s="1"/>
  <c r="D10" i="1" a="1"/>
  <c r="D10" i="1" s="1"/>
  <c r="D9" i="1" a="1"/>
  <c r="D9" i="1" s="1"/>
  <c r="D8" i="1" a="1"/>
  <c r="D8" i="1" s="1"/>
  <c r="D7" i="1" a="1"/>
  <c r="D7" i="1" s="1"/>
  <c r="C23" i="1" a="1"/>
  <c r="C23" i="1" s="1"/>
  <c r="L23" i="1" s="1"/>
  <c r="C21" i="1" a="1"/>
  <c r="C21" i="1" s="1"/>
  <c r="L21" i="1" s="1"/>
  <c r="C20" i="1" a="1"/>
  <c r="C20" i="1" s="1"/>
  <c r="L20" i="1" s="1"/>
  <c r="C19" i="1" a="1"/>
  <c r="C19" i="1" s="1"/>
  <c r="L19" i="1" s="1"/>
  <c r="C18" i="1" a="1"/>
  <c r="C18" i="1" s="1"/>
  <c r="L18" i="1" s="1"/>
  <c r="C17" i="1" a="1"/>
  <c r="C17" i="1" s="1"/>
  <c r="L17" i="1" s="1"/>
  <c r="C16" i="1" a="1"/>
  <c r="C16" i="1" s="1"/>
  <c r="L16" i="1" s="1"/>
  <c r="C15" i="1" a="1"/>
  <c r="C15" i="1" s="1"/>
  <c r="L15" i="1" s="1"/>
  <c r="C14" i="1" a="1"/>
  <c r="C14" i="1" s="1"/>
  <c r="L14" i="1" s="1"/>
  <c r="C13" i="1" a="1"/>
  <c r="C13" i="1" s="1"/>
  <c r="L13" i="1" s="1"/>
  <c r="C12" i="1" a="1"/>
  <c r="C12" i="1" s="1"/>
  <c r="L12" i="1" s="1"/>
  <c r="C11" i="1" a="1"/>
  <c r="C11" i="1" s="1"/>
  <c r="L11" i="1" s="1"/>
  <c r="C10" i="1" a="1"/>
  <c r="C10" i="1" s="1"/>
  <c r="G10" i="1" s="1"/>
  <c r="C9" i="1" a="1"/>
  <c r="C9" i="1" s="1"/>
  <c r="J9" i="1" s="1"/>
  <c r="C8" i="1" a="1"/>
  <c r="C8" i="1" s="1"/>
  <c r="K8" i="1" s="1"/>
  <c r="C7" i="1" a="1"/>
  <c r="C7" i="1" s="1"/>
  <c r="L7" i="1" s="1"/>
  <c r="K9" i="1" l="1"/>
  <c r="G11" i="1"/>
  <c r="J10" i="1"/>
  <c r="L8" i="1"/>
  <c r="L9" i="1"/>
  <c r="L10" i="1"/>
  <c r="N36" i="1"/>
  <c r="G12" i="1"/>
  <c r="H12" i="1" s="1"/>
  <c r="J11" i="1"/>
  <c r="K10" i="1"/>
  <c r="G13" i="1"/>
  <c r="H13" i="1" s="1"/>
  <c r="J12" i="1"/>
  <c r="K11" i="1"/>
  <c r="G14" i="1"/>
  <c r="H14" i="1" s="1"/>
  <c r="J13" i="1"/>
  <c r="K12" i="1"/>
  <c r="G15" i="1"/>
  <c r="H15" i="1" s="1"/>
  <c r="J14" i="1"/>
  <c r="K13" i="1"/>
  <c r="G16" i="1"/>
  <c r="H16" i="1" s="1"/>
  <c r="J15" i="1"/>
  <c r="K14" i="1"/>
  <c r="G17" i="1"/>
  <c r="H17" i="1" s="1"/>
  <c r="J16" i="1"/>
  <c r="K15" i="1"/>
  <c r="G18" i="1"/>
  <c r="H18" i="1" s="1"/>
  <c r="J17" i="1"/>
  <c r="K16" i="1"/>
  <c r="G19" i="1"/>
  <c r="H19" i="1" s="1"/>
  <c r="J18" i="1"/>
  <c r="K17" i="1"/>
  <c r="G20" i="1"/>
  <c r="H20" i="1" s="1"/>
  <c r="J19" i="1"/>
  <c r="K18" i="1"/>
  <c r="G21" i="1"/>
  <c r="H21" i="1" s="1"/>
  <c r="J20" i="1"/>
  <c r="K19" i="1"/>
  <c r="G22" i="1"/>
  <c r="H22" i="1" s="1"/>
  <c r="J21" i="1"/>
  <c r="K20" i="1"/>
  <c r="G7" i="1"/>
  <c r="N34" i="1" s="1"/>
  <c r="G23" i="1"/>
  <c r="H23" i="1" s="1"/>
  <c r="J22" i="1"/>
  <c r="K21" i="1"/>
  <c r="G8" i="1"/>
  <c r="H8" i="1" s="1"/>
  <c r="O8" i="1" s="1"/>
  <c r="J7" i="1"/>
  <c r="J23" i="1"/>
  <c r="K22" i="1"/>
  <c r="G9" i="1"/>
  <c r="J8" i="1"/>
  <c r="K7" i="1"/>
  <c r="K23" i="1"/>
  <c r="H10" i="1"/>
  <c r="N10" i="1" s="1"/>
  <c r="H11" i="1"/>
  <c r="H9" i="1"/>
  <c r="O9" i="1" s="1"/>
  <c r="P26" i="1"/>
  <c r="P29" i="1"/>
  <c r="P30" i="1"/>
  <c r="P25" i="1"/>
  <c r="P27" i="1"/>
  <c r="O36" i="1"/>
  <c r="P28" i="1"/>
  <c r="P35" i="1" l="1"/>
  <c r="N22" i="1"/>
  <c r="N11" i="1"/>
  <c r="H7" i="1"/>
  <c r="O7" i="1" s="1"/>
  <c r="O17" i="1"/>
  <c r="N12" i="1"/>
  <c r="N20" i="1"/>
  <c r="N23" i="1"/>
  <c r="O21" i="1"/>
  <c r="O16" i="1"/>
  <c r="N15" i="1"/>
  <c r="N19" i="1"/>
  <c r="O11" i="1"/>
  <c r="O12" i="1"/>
  <c r="N8" i="1"/>
  <c r="O10" i="1"/>
  <c r="O14" i="1"/>
  <c r="N14" i="1"/>
  <c r="O22" i="1"/>
  <c r="O18" i="1"/>
  <c r="N18" i="1"/>
  <c r="O13" i="1"/>
  <c r="N13" i="1"/>
  <c r="N21" i="1"/>
  <c r="O23" i="1"/>
  <c r="O19" i="1"/>
  <c r="O15" i="1"/>
  <c r="N9" i="1"/>
  <c r="N17" i="1"/>
  <c r="O20" i="1"/>
  <c r="N16" i="1"/>
  <c r="O34" i="1"/>
  <c r="P34" i="1"/>
  <c r="N7" i="1" l="1"/>
  <c r="O26" i="1"/>
  <c r="O27" i="1"/>
  <c r="O28" i="1"/>
  <c r="O25" i="1"/>
  <c r="O30" i="1"/>
  <c r="O29" i="1"/>
  <c r="N29" i="1"/>
  <c r="N27" i="1"/>
  <c r="N28" i="1"/>
  <c r="N30" i="1"/>
  <c r="N26" i="1"/>
  <c r="N25" i="1"/>
  <c r="P33" i="1"/>
  <c r="P37" i="1"/>
  <c r="N33" i="1" l="1"/>
  <c r="N35" i="1" s="1"/>
  <c r="N37" i="1" s="1"/>
  <c r="O33" i="1"/>
  <c r="O35" i="1" s="1"/>
  <c r="O37" i="1" s="1"/>
  <c r="I2" i="1" l="1"/>
  <c r="J2"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7">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6"/>
        </ext>
      </extLst>
    </bk>
    <bk>
      <extLst>
        <ext uri="{3e2802c4-a4d2-4d8b-9148-e3be6c30e623}">
          <xlrd:rvb i="39"/>
        </ext>
      </extLst>
    </bk>
    <bk>
      <extLst>
        <ext uri="{3e2802c4-a4d2-4d8b-9148-e3be6c30e623}">
          <xlrd:rvb i="42"/>
        </ext>
      </extLst>
    </bk>
    <bk>
      <extLst>
        <ext uri="{3e2802c4-a4d2-4d8b-9148-e3be6c30e623}">
          <xlrd:rvb i="45"/>
        </ext>
      </extLst>
    </bk>
    <bk>
      <extLst>
        <ext uri="{3e2802c4-a4d2-4d8b-9148-e3be6c30e623}">
          <xlrd:rvb i="48"/>
        </ext>
      </extLst>
    </bk>
    <bk>
      <extLst>
        <ext uri="{3e2802c4-a4d2-4d8b-9148-e3be6c30e623}">
          <xlrd:rvb i="51"/>
        </ext>
      </extLst>
    </bk>
    <bk>
      <extLst>
        <ext uri="{3e2802c4-a4d2-4d8b-9148-e3be6c30e623}">
          <xlrd:rvb i="54"/>
        </ext>
      </extLst>
    </bk>
  </futureMetadata>
  <cellMetadata count="1">
    <bk>
      <rc t="1" v="0"/>
    </bk>
  </cellMetadata>
  <valueMetadata count="17">
    <bk>
      <rc t="2" v="0"/>
    </bk>
    <bk>
      <rc t="2" v="1"/>
    </bk>
    <bk>
      <rc t="2" v="2"/>
    </bk>
    <bk>
      <rc t="2" v="3"/>
    </bk>
    <bk>
      <rc t="2" v="4"/>
    </bk>
    <bk>
      <rc t="2" v="5"/>
    </bk>
    <bk>
      <rc t="2" v="6"/>
    </bk>
    <bk>
      <rc t="2" v="7"/>
    </bk>
    <bk>
      <rc t="2" v="8"/>
    </bk>
    <bk>
      <rc t="2" v="9"/>
    </bk>
    <bk>
      <rc t="2" v="10"/>
    </bk>
    <bk>
      <rc t="2" v="11"/>
    </bk>
    <bk>
      <rc t="2" v="12"/>
    </bk>
    <bk>
      <rc t="2" v="13"/>
    </bk>
    <bk>
      <rc t="2" v="14"/>
    </bk>
    <bk>
      <rc t="2" v="15"/>
    </bk>
    <bk>
      <rc t="2" v="16"/>
    </bk>
  </valueMetadata>
</metadata>
</file>

<file path=xl/sharedStrings.xml><?xml version="1.0" encoding="utf-8"?>
<sst xmlns="http://schemas.openxmlformats.org/spreadsheetml/2006/main" count="55" uniqueCount="45">
  <si>
    <t>Comparable Companies Analysis</t>
  </si>
  <si>
    <t>Market Data</t>
  </si>
  <si>
    <t>Financials</t>
  </si>
  <si>
    <t>Valuation</t>
  </si>
  <si>
    <t>Company</t>
  </si>
  <si>
    <t>Ticker</t>
  </si>
  <si>
    <t>Share 
Price</t>
  </si>
  <si>
    <t>Shares Outstanding</t>
  </si>
  <si>
    <t>Equity Value</t>
  </si>
  <si>
    <t>Net Debt</t>
  </si>
  <si>
    <t>Enterprise 
Value</t>
  </si>
  <si>
    <t>Revenue</t>
  </si>
  <si>
    <t>EBITDA</t>
  </si>
  <si>
    <t>Net Income</t>
  </si>
  <si>
    <t>EV/Revenue</t>
  </si>
  <si>
    <t>EV/EBITDA</t>
  </si>
  <si>
    <t>P/E</t>
  </si>
  <si>
    <t>High</t>
  </si>
  <si>
    <t>75th Percentile</t>
  </si>
  <si>
    <t>Average</t>
  </si>
  <si>
    <t>Median</t>
  </si>
  <si>
    <t>25th Percentile</t>
  </si>
  <si>
    <t>Low</t>
  </si>
  <si>
    <t>Enjoy Lemon Valuation</t>
  </si>
  <si>
    <t>Implied Enterprise Value</t>
  </si>
  <si>
    <t>Implied Market Value</t>
  </si>
  <si>
    <t>Implied Value Per Share</t>
  </si>
  <si>
    <t>BFI</t>
  </si>
  <si>
    <t>CAKE</t>
  </si>
  <si>
    <t>CBRL</t>
  </si>
  <si>
    <t>DENN</t>
  </si>
  <si>
    <t>DIN</t>
  </si>
  <si>
    <t>FAT</t>
  </si>
  <si>
    <t>JACK</t>
  </si>
  <si>
    <t>LKNCY</t>
  </si>
  <si>
    <t>NATH</t>
  </si>
  <si>
    <t>PZZA</t>
  </si>
  <si>
    <t>QSR</t>
  </si>
  <si>
    <t>SHAK</t>
  </si>
  <si>
    <t>WEN</t>
  </si>
  <si>
    <t>WING</t>
  </si>
  <si>
    <t>YUM</t>
  </si>
  <si>
    <t>BH</t>
  </si>
  <si>
    <t>C9F</t>
  </si>
  <si>
    <t>As of:</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</si>
</sst>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_-* #,##0.00_-;\-* #,##0.00_-;_-* &quot;-&quot;??_-;_-@"/>
    <numFmt numFmtId="165" formatCode="_-* #,##0_-;\-* #,##0_-;_-* &quot;-&quot;??_-;_-@"/>
    <numFmt numFmtId="166" formatCode="#,##0.0\x"/>
    <numFmt numFmtId="167" formatCode="_-* #,##0.00\ _€_-;\-* #,##0.00\ _€_-;_-* &quot;-&quot;??\ _€_-;_-@"/>
  </numFmts>
  <fonts count="14" x14ac:knownFonts="1">
    <font>
      <sz val="11"/>
      <color theme="1"/>
      <name val="Calibri"/>
      <family val="2"/>
      <scheme val="minor"/>
    </font>
    <font>
      <sz val="11"/>
      <color theme="1"/>
      <name val="Calibri"/>
      <family val="2"/>
      <scheme val="minor"/>
    </font>
    <font>
      <sz val="12"/>
      <color theme="1"/>
      <name val="Calibri"/>
      <scheme val="minor"/>
    </font>
    <font>
      <sz val="12"/>
      <color theme="1"/>
      <name val="Calibri"/>
    </font>
    <font>
      <b/>
      <sz val="18"/>
      <color rgb="FF293D68"/>
      <name val="Calibri"/>
    </font>
    <font>
      <b/>
      <sz val="12"/>
      <color theme="0"/>
      <name val="Calibri"/>
    </font>
    <font>
      <sz val="12"/>
      <name val="Calibri"/>
    </font>
    <font>
      <sz val="12"/>
      <color rgb="FF0432FF"/>
      <name val="Calibri"/>
    </font>
    <font>
      <b/>
      <sz val="12"/>
      <color theme="1"/>
      <name val="Calibri"/>
    </font>
    <font>
      <b/>
      <sz val="12"/>
      <color rgb="FF0432FF"/>
      <name val="Calibri"/>
    </font>
    <font>
      <sz val="12"/>
      <color rgb="FF7030A0"/>
      <name val="Calibri"/>
      <family val="2"/>
    </font>
    <font>
      <sz val="12"/>
      <name val="Calibri"/>
      <family val="2"/>
    </font>
    <font>
      <b/>
      <sz val="18"/>
      <color theme="1"/>
      <name val="Calibri"/>
      <family val="2"/>
    </font>
    <font>
      <b/>
      <sz val="18"/>
      <color theme="8" tint="-0.499984740745262"/>
      <name val="Calibri"/>
      <family val="2"/>
    </font>
  </fonts>
  <fills count="5">
    <fill>
      <patternFill patternType="none"/>
    </fill>
    <fill>
      <patternFill patternType="gray125"/>
    </fill>
    <fill>
      <patternFill patternType="solid">
        <fgColor rgb="FFD9E2F3"/>
        <bgColor rgb="FFD9E2F3"/>
      </patternFill>
    </fill>
    <fill>
      <patternFill patternType="solid">
        <fgColor rgb="FF293D68"/>
        <bgColor rgb="FF293D68"/>
      </patternFill>
    </fill>
    <fill>
      <patternFill patternType="solid">
        <fgColor theme="8" tint="0.79998168889431442"/>
        <bgColor indexed="64"/>
      </patternFill>
    </fill>
  </fills>
  <borders count="6">
    <border>
      <left/>
      <right/>
      <top/>
      <bottom/>
      <diagonal/>
    </border>
    <border>
      <left/>
      <right/>
      <top/>
      <bottom style="thin">
        <color rgb="FF293D68"/>
      </bottom>
      <diagonal/>
    </border>
    <border>
      <left/>
      <right/>
      <top/>
      <bottom style="thin">
        <color theme="0"/>
      </bottom>
      <diagonal/>
    </border>
    <border>
      <left/>
      <right/>
      <top style="thin">
        <color theme="1"/>
      </top>
      <bottom style="thin">
        <color theme="1"/>
      </bottom>
      <diagonal/>
    </border>
    <border>
      <left/>
      <right/>
      <top style="thin">
        <color indexed="64"/>
      </top>
      <bottom style="thin">
        <color indexed="64"/>
      </bottom>
      <diagonal/>
    </border>
    <border>
      <left/>
      <right style="thin">
        <color theme="6"/>
      </right>
      <top style="thin">
        <color indexed="64"/>
      </top>
      <bottom style="thin">
        <color indexed="64"/>
      </bottom>
      <diagonal/>
    </border>
  </borders>
  <cellStyleXfs count="3">
    <xf numFmtId="0" fontId="0" fillId="0" borderId="0"/>
    <xf numFmtId="9" fontId="1" fillId="0" borderId="0" applyFont="0" applyFill="0" applyBorder="0" applyAlignment="0" applyProtection="0"/>
    <xf numFmtId="0" fontId="2" fillId="0" borderId="0"/>
  </cellStyleXfs>
  <cellXfs count="50">
    <xf numFmtId="0" fontId="0" fillId="0" borderId="0" xfId="0"/>
    <xf numFmtId="0" fontId="2" fillId="0" borderId="0" xfId="2" applyFont="1" applyAlignment="1"/>
    <xf numFmtId="0" fontId="3" fillId="2" borderId="0" xfId="2" applyFont="1" applyFill="1" applyBorder="1"/>
    <xf numFmtId="0" fontId="4" fillId="0" borderId="1" xfId="2" applyFont="1" applyBorder="1"/>
    <xf numFmtId="0" fontId="3" fillId="0" borderId="1" xfId="2" applyFont="1" applyBorder="1"/>
    <xf numFmtId="0" fontId="5" fillId="3" borderId="0" xfId="2" applyFont="1" applyFill="1" applyBorder="1"/>
    <xf numFmtId="0" fontId="5" fillId="3" borderId="0" xfId="2" applyFont="1" applyFill="1" applyBorder="1" applyAlignment="1">
      <alignment horizontal="center"/>
    </xf>
    <xf numFmtId="0" fontId="5" fillId="3" borderId="0" xfId="2" applyFont="1" applyFill="1" applyBorder="1" applyAlignment="1">
      <alignment horizontal="center" vertical="center" wrapText="1"/>
    </xf>
    <xf numFmtId="0" fontId="5" fillId="3" borderId="0" xfId="2" applyFont="1" applyFill="1" applyBorder="1" applyAlignment="1">
      <alignment horizontal="center" vertical="center"/>
    </xf>
    <xf numFmtId="0" fontId="5" fillId="0" borderId="0" xfId="2" applyFont="1" applyAlignment="1">
      <alignment horizontal="center"/>
    </xf>
    <xf numFmtId="0" fontId="5" fillId="0" borderId="0" xfId="2" applyFont="1" applyAlignment="1">
      <alignment horizontal="center" vertical="center" wrapText="1"/>
    </xf>
    <xf numFmtId="0" fontId="5" fillId="0" borderId="0" xfId="2" applyFont="1" applyAlignment="1">
      <alignment horizontal="center" vertical="center"/>
    </xf>
    <xf numFmtId="0" fontId="2" fillId="0" borderId="0" xfId="2" applyFont="1"/>
    <xf numFmtId="0" fontId="3" fillId="0" borderId="0" xfId="2" applyFont="1" applyAlignment="1">
      <alignment horizontal="center"/>
    </xf>
    <xf numFmtId="164" fontId="7" fillId="0" borderId="0" xfId="2" applyNumberFormat="1" applyFont="1"/>
    <xf numFmtId="165" fontId="7" fillId="0" borderId="0" xfId="2" applyNumberFormat="1" applyFont="1"/>
    <xf numFmtId="165" fontId="3" fillId="0" borderId="0" xfId="2" applyNumberFormat="1" applyFont="1"/>
    <xf numFmtId="166" fontId="3" fillId="0" borderId="0" xfId="2" applyNumberFormat="1" applyFont="1"/>
    <xf numFmtId="166" fontId="3" fillId="2" borderId="0" xfId="2" applyNumberFormat="1" applyFont="1" applyFill="1" applyBorder="1"/>
    <xf numFmtId="0" fontId="8" fillId="2" borderId="0" xfId="2" applyFont="1" applyFill="1" applyBorder="1"/>
    <xf numFmtId="166" fontId="8" fillId="2" borderId="0" xfId="2" applyNumberFormat="1" applyFont="1" applyFill="1" applyBorder="1"/>
    <xf numFmtId="0" fontId="3" fillId="3" borderId="0" xfId="2" applyFont="1" applyFill="1" applyBorder="1"/>
    <xf numFmtId="167" fontId="3" fillId="0" borderId="0" xfId="2" applyNumberFormat="1" applyFont="1"/>
    <xf numFmtId="0" fontId="8" fillId="2" borderId="3" xfId="2" applyFont="1" applyFill="1" applyBorder="1"/>
    <xf numFmtId="167" fontId="8" fillId="2" borderId="3" xfId="2" applyNumberFormat="1" applyFont="1" applyFill="1" applyBorder="1"/>
    <xf numFmtId="165" fontId="9" fillId="2" borderId="3" xfId="2" applyNumberFormat="1" applyFont="1" applyFill="1" applyBorder="1"/>
    <xf numFmtId="164" fontId="8" fillId="2" borderId="3" xfId="2" applyNumberFormat="1" applyFont="1" applyFill="1" applyBorder="1"/>
    <xf numFmtId="166" fontId="10" fillId="0" borderId="0" xfId="2" applyNumberFormat="1" applyFont="1"/>
    <xf numFmtId="164" fontId="11" fillId="0" borderId="0" xfId="2" applyNumberFormat="1" applyFont="1"/>
    <xf numFmtId="165" fontId="11" fillId="0" borderId="0" xfId="2" applyNumberFormat="1" applyFont="1"/>
    <xf numFmtId="164" fontId="3" fillId="0" borderId="0" xfId="2" applyNumberFormat="1" applyFont="1"/>
    <xf numFmtId="43" fontId="0" fillId="0" borderId="0" xfId="0" applyNumberFormat="1"/>
    <xf numFmtId="164" fontId="0" fillId="0" borderId="0" xfId="0" applyNumberFormat="1"/>
    <xf numFmtId="14" fontId="0" fillId="0" borderId="0" xfId="0" applyNumberFormat="1"/>
    <xf numFmtId="164" fontId="3" fillId="0" borderId="1" xfId="2" applyNumberFormat="1" applyFont="1" applyBorder="1"/>
    <xf numFmtId="0" fontId="13" fillId="0" borderId="1" xfId="2" applyFont="1" applyBorder="1"/>
    <xf numFmtId="164" fontId="12" fillId="0" borderId="1" xfId="2" applyNumberFormat="1" applyFont="1" applyBorder="1"/>
    <xf numFmtId="10" fontId="12" fillId="0" borderId="1" xfId="1" applyNumberFormat="1" applyFont="1" applyBorder="1"/>
    <xf numFmtId="0" fontId="0" fillId="4" borderId="4" xfId="0" applyFill="1" applyBorder="1"/>
    <xf numFmtId="0" fontId="3" fillId="2" borderId="4" xfId="2" applyFont="1" applyFill="1" applyBorder="1" applyAlignment="1">
      <alignment horizontal="center"/>
    </xf>
    <xf numFmtId="164" fontId="11" fillId="2" borderId="4" xfId="2" applyNumberFormat="1" applyFont="1" applyFill="1" applyBorder="1"/>
    <xf numFmtId="165" fontId="11" fillId="2" borderId="4" xfId="2" applyNumberFormat="1" applyFont="1" applyFill="1" applyBorder="1"/>
    <xf numFmtId="165" fontId="3" fillId="2" borderId="4" xfId="2" applyNumberFormat="1" applyFont="1" applyFill="1" applyBorder="1"/>
    <xf numFmtId="165" fontId="7" fillId="2" borderId="4" xfId="2" applyNumberFormat="1" applyFont="1" applyFill="1" applyBorder="1"/>
    <xf numFmtId="164" fontId="7" fillId="2" borderId="4" xfId="2" applyNumberFormat="1" applyFont="1" applyFill="1" applyBorder="1"/>
    <xf numFmtId="164" fontId="3" fillId="2" borderId="4" xfId="2" applyNumberFormat="1" applyFont="1" applyFill="1" applyBorder="1"/>
    <xf numFmtId="166" fontId="3" fillId="2" borderId="4" xfId="2" applyNumberFormat="1" applyFont="1" applyFill="1" applyBorder="1"/>
    <xf numFmtId="166" fontId="3" fillId="2" borderId="5" xfId="2" applyNumberFormat="1" applyFont="1" applyFill="1" applyBorder="1"/>
    <xf numFmtId="0" fontId="5" fillId="3" borderId="2" xfId="2" applyFont="1" applyFill="1" applyBorder="1" applyAlignment="1">
      <alignment horizontal="center"/>
    </xf>
    <xf numFmtId="0" fontId="6" fillId="0" borderId="2" xfId="2" applyFont="1" applyBorder="1"/>
  </cellXfs>
  <cellStyles count="3">
    <cellStyle name="Normal" xfId="0" builtinId="0"/>
    <cellStyle name="Normal 2" xfId="2" xr:uid="{FEAD74F7-DCF3-4B4D-8DDF-123678D7FBA1}"/>
    <cellStyle name="Percent" xfId="1" builtinId="5"/>
  </cellStyles>
  <dxfs count="0"/>
  <tableStyles count="0" defaultTableStyle="TableStyleMedium2" defaultPivotStyle="PivotStyleLight16"/>
  <colors>
    <mruColors>
      <color rgb="FF2832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imageurl">
      <keyFlags>
        <key name="Blip Identifier">
          <flag name="ShowInCardView" value="0"/>
        </key>
      </keyFlags>
    </type>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55">
  <rv s="0">
    <v>https://www.bing.com/financeapi/forcetrigger?t=a21n6h&amp;q=XNYS%3aQSR&amp;form=skydnc</v>
    <v>Learn more on Bing</v>
  </rv>
  <rv s="1">
    <v>en-US</v>
    <v>a21n6h</v>
    <v>268435456</v>
    <v>1</v>
    <v>Powered by Refinitiv</v>
    <v>0</v>
    <v>Restaurant Brands International Inc. (XNYS:QSR)</v>
    <v>2</v>
    <v>3</v>
    <v>Finance</v>
    <v>4</v>
    <v>66.540000000000006</v>
    <v>46.68</v>
    <v>0.99370000000000003</v>
    <v>4.08</v>
    <v>-1.5229999999999998E-3</v>
    <v>7.4167999999999998E-2</v>
    <v>-0.09</v>
    <v>USD</v>
    <v>Restaurant Brands International Inc. is a quick service restaurant (QSR) company. The Company is engaged in serving coffee and other beverage and food products. It owns four quick service restaurant brands: Burger King, Tim Hortons, Popeyes and Firehouse Subs. Tim Hortons restaurants are QSR with a menu that includes blend coffee, tea, espresso-based hot and cold specialty drinks, baked goods, including donuts, Timbits, bagels, muffins, cookies and pastries, grilled paninis, classic sandwiches, wraps and soups. Burger King restaurants are QSR featuring flame-grilled hamburgers, chicken, and other specialty sandwiches, French fries, soft drinks, and other food items. Popeyes restaurants are QSR featuring a Louisiana style menu that includes fried chicken, chicken tenders, fried shrimp, seafood, red beans and rice, and other regional items. It operates approximately 28,000 restaurants in more than 100 countries.</v>
    <v>5700</v>
    <v>New York Stock Exchange</v>
    <v>XNYS</v>
    <v>XNYS</v>
    <v>130 King St W Suite 300, TORONTO, ON, M5X 2A2 CA</v>
    <v>59.11</v>
    <v>Hotels &amp; Entertainment Services</v>
    <v>Stock</v>
    <v>44777.906211017966</v>
    <v>0</v>
    <v>57.29</v>
    <v>26722737511</v>
    <v>Restaurant Brands International Inc.</v>
    <v>Restaurant Brands International Inc.</v>
    <v>57.35</v>
    <v>21.0016</v>
    <v>55.01</v>
    <v>59.09</v>
    <v>59</v>
    <v>452237900</v>
    <v>QSR</v>
    <v>Restaurant Brands International Inc. (XNYS:QSR)</v>
    <v>3507211</v>
    <v>1230748</v>
    <v>2014</v>
  </rv>
  <rv s="2">
    <v>1</v>
  </rv>
  <rv s="0">
    <v>https://www.bing.com/financeapi/forcetrigger?t=a1og8m&amp;q=XNYS%3aBH&amp;form=skydnc</v>
    <v>Learn more on Bing</v>
  </rv>
  <rv s="1">
    <v>en-US</v>
    <v>a1og8m</v>
    <v>268435456</v>
    <v>1</v>
    <v>Powered by Refinitiv</v>
    <v>0</v>
    <v>BIGLARI HOLDINGS INC. (XNYS:BH)</v>
    <v>2</v>
    <v>3</v>
    <v>Finance</v>
    <v>4</v>
    <v>184</v>
    <v>110.56</v>
    <v>1.8583000000000001</v>
    <v>0.15</v>
    <v>0</v>
    <v>1.237E-3</v>
    <v>0</v>
    <v>USD</v>
    <v>Biglari Holdings Inc. is a holding company, which operates through its subsidiaries. The Company’s subsidiaries engaged in a number of diverse business activities, including property and casualty insurance, licensing and media, restaurants, and oil and gas. The Company’s two operating subsidiaries, Steak n Shake Inc. (Steak n Shake) and Western Sizzlin Corporation (Western Sizzlin) are involved in the franchising and operating of restaurants. Steak n Shake had approximately 199 company-operated restaurants, 159 franchise partner units, and 178 traditional franchise units. Of the 199 company-operated units, 42 are closed. Western Sizzlin had approximately three company-operated restaurants and 38 franchise units. Its insurance activities are conducted through two insurance entities, First Guard Insurance Company and its affiliated agency, 1st Guard Corporation, and Southern Pioneer Property &amp; Casualty Insurance Company and its affiliated agency, Southern Pioneer Insurance Agency, Inc.</v>
    <v>2633</v>
    <v>New York Stock Exchange</v>
    <v>XNYS</v>
    <v>XNYS</v>
    <v>17802 W Interstate 10 Ste 400, SAN ANTONIO, TX, 78257-2509 US</v>
    <v>122.495</v>
    <v>Hotels &amp; Entertainment Services</v>
    <v>Stock</v>
    <v>44777.851704976565</v>
    <v>3</v>
    <v>119</v>
    <v>374713400</v>
    <v>BIGLARI HOLDINGS INC.</v>
    <v>BIGLARI HOLDINGS INC.</v>
    <v>121.94</v>
    <v>6.3273000000000001</v>
    <v>121.27</v>
    <v>121.42</v>
    <v>121.42</v>
    <v>2275500</v>
    <v>BH</v>
    <v>BIGLARI HOLDINGS INC. (XNYS:BH)</v>
    <v>2116</v>
    <v>2392</v>
    <v>2017</v>
  </rv>
  <rv s="2">
    <v>4</v>
  </rv>
  <rv s="0">
    <v>https://www.bing.com/financeapi/forcetrigger?t=a25w8m&amp;q=XNAS%3aWING&amp;form=skydnc</v>
    <v>Learn more on Bing</v>
  </rv>
  <rv s="1">
    <v>en-US</v>
    <v>a25w8m</v>
    <v>268435456</v>
    <v>1</v>
    <v>Powered by Refinitiv</v>
    <v>0</v>
    <v>WINGSTOP INC. (XNAS:WING)</v>
    <v>2</v>
    <v>3</v>
    <v>Finance</v>
    <v>4</v>
    <v>181.0018</v>
    <v>67.67</v>
    <v>1.696</v>
    <v>-0.15</v>
    <v>1.8500000000000001E-3</v>
    <v>-1.155E-3</v>
    <v>0.24</v>
    <v>USD</v>
    <v>Wingstop Inc. is a fast casual chicken wings-focused restaurant chain, with over 1,600 locations across the world. The Company is in the business of franchising and operating Wingstop restaurants. The Company is primarily a franchisor, with approximately 98% of its restaurants owned and operated by independent franchisees. It offers classic wings, boneless wings and tenders, always cooked to order, and hand-sauced-and-tossed in about 11 distinctive flavors. It offers various order options, including eat-in, to go, individual, combo meals and family packs. It also developed a custom Website and mobile ordering application. It has approximately 1,461 domestic franchised restaurants and 180 international franchised restaurants. It owns and operates approximately 32 restaurants.</v>
    <v>890</v>
    <v>Nasdaq Stock Market</v>
    <v>XNAS</v>
    <v>XNAS</v>
    <v>15505 WRIGHT BROTHERS DRIVE, ADDISON, TX, 75001 US</v>
    <v>130.88999999999999</v>
    <v>Hotels &amp; Entertainment Services</v>
    <v>Stock</v>
    <v>44777.89962384219</v>
    <v>6</v>
    <v>128</v>
    <v>3881688651</v>
    <v>WINGSTOP INC.</v>
    <v>WINGSTOP INC.</v>
    <v>129.13999999999999</v>
    <v>96.861000000000004</v>
    <v>129.91</v>
    <v>129.76</v>
    <v>130</v>
    <v>29914370</v>
    <v>WING</v>
    <v>WINGSTOP INC. (XNAS:WING)</v>
    <v>449230</v>
    <v>973280</v>
    <v>2015</v>
  </rv>
  <rv s="2">
    <v>7</v>
  </rv>
  <rv s="0">
    <v>https://www.bing.com/financeapi/forcetrigger?t=a21j9c&amp;q=XNAS%3aPZZA&amp;form=skydnc</v>
    <v>Learn more on Bing</v>
  </rv>
  <rv s="1">
    <v>en-US</v>
    <v>a21j9c</v>
    <v>268435456</v>
    <v>1</v>
    <v>Powered by Refinitiv</v>
    <v>0</v>
    <v>PAPA JOHN'S INTERNATIONAL, INC. (XNAS:PZZA)</v>
    <v>2</v>
    <v>3</v>
    <v>Finance</v>
    <v>5</v>
    <v>140.68</v>
    <v>74.459999999999994</v>
    <v>1.0607</v>
    <v>-2.88</v>
    <v>-1.9065000000000002E-2</v>
    <v>-2.9761000000000003E-2</v>
    <v>-1.79</v>
    <v>USD</v>
    <v>Papa John's International, Inc. operates and franchises pizza delivery and carryout restaurants and, in certain international markets, dine-in and delivery restaurants under the trademark Papa John’s. The Company operates through four segments: Domestic Company-owned restaurant segment consists of the operations of all domestic Company-owned restaurants; North America commissaries segment comprises approximately 11 full-service regional dough production and distribution quality control centers in the United States; North America franchising segment consists of franchise sales and support activities; and International operations segment principally consists of distribution sales to franchised Papa John’s restaurants located in the United Kingdom. The Company operates approximately 5,650 Papa John’s restaurants in operation, consisting of 600 Company-owned and 5,050 franchised restaurants operating in 50 countries and territories.</v>
    <v>14000</v>
    <v>Nasdaq Stock Market</v>
    <v>XNAS</v>
    <v>XNAS</v>
    <v>2002 Papa Johns Blvd, LOUISVILLE, KY, 40299-3393 US</v>
    <v>95.89</v>
    <v>Hotels &amp; Entertainment Services</v>
    <v>Stock</v>
    <v>44777.914472626566</v>
    <v>9</v>
    <v>91.55</v>
    <v>3360784099</v>
    <v>PAPA JOHN'S INTERNATIONAL, INC.</v>
    <v>PAPA JOHN'S INTERNATIONAL, INC.</v>
    <v>95.89</v>
    <v>3191.7759999999998</v>
    <v>96.77</v>
    <v>93.89</v>
    <v>92.1</v>
    <v>35794910</v>
    <v>PZZA</v>
    <v>PAPA JOHN'S INTERNATIONAL, INC. (XNAS:PZZA)</v>
    <v>980767</v>
    <v>442786</v>
    <v>1991</v>
  </rv>
  <rv s="2">
    <v>10</v>
  </rv>
  <rv s="0">
    <v>https://www.bing.com/financeapi/forcetrigger?t=a1p5h7&amp;q=XNAS%3aCAKE&amp;form=skydnc</v>
    <v>Learn more on Bing</v>
  </rv>
  <rv s="1">
    <v>en-US</v>
    <v>a1p5h7</v>
    <v>268435456</v>
    <v>1</v>
    <v>Powered by Refinitiv</v>
    <v>0</v>
    <v>THE CHEESECAKE FACTORY INCORPORATED (XNAS:CAKE)</v>
    <v>2</v>
    <v>3</v>
    <v>Finance</v>
    <v>4</v>
    <v>51.19</v>
    <v>26.05</v>
    <v>1.4582999999999999</v>
    <v>-1.03</v>
    <v>2.6702E-2</v>
    <v>-3.3237000000000003E-2</v>
    <v>0.8</v>
    <v>USD</v>
    <v>The Cheesecake Factory Incorporated is an experiential dining company focused on hospitality. The Company owns and operates approximately 306 restaurants throughout the United States and Canada, including 208 The Cheesecake Factory restaurants, 29 North Italia restaurants and a collection within our Fox Restaurant Concepts (FRC) business. Internationally, 29 The Cheesecake Factory restaurants operate under licensing agreements. Its bakery division operates two facilities that produce cheesecakes and other baked products for restaurants, international licensees and third-party bakery customers. FRC operates as an independent subsidiary in Phoenix, Arizona. FRC's concept, Flower Child, operates in the fast casual dining segment, offering a customizable menu, made fresh from scratch, featuring locally-sourced, all-natural and organic ingredients. The Company operates approximately 28 and 31 Flower Child and other FRC locations.</v>
    <v>45800</v>
    <v>Nasdaq Stock Market</v>
    <v>XNAS</v>
    <v>XNAS</v>
    <v>26901 MALIBU HILLS RD, CALABASAS HILLS, CA, 91301 US</v>
    <v>30.84</v>
    <v>Hotels &amp; Entertainment Services</v>
    <v>Stock</v>
    <v>44777.889248460153</v>
    <v>12</v>
    <v>29.87</v>
    <v>1564765860</v>
    <v>THE CHEESECAKE FACTORY INCORPORATED</v>
    <v>THE CHEESECAKE FACTORY INCORPORATED</v>
    <v>30.74</v>
    <v>18.686</v>
    <v>30.99</v>
    <v>29.96</v>
    <v>30.76</v>
    <v>52228500</v>
    <v>CAKE</v>
    <v>THE CHEESECAKE FACTORY INCORPORATED (XNAS:CAKE)</v>
    <v>1047718</v>
    <v>1053251</v>
    <v>1992</v>
  </rv>
  <rv s="2">
    <v>13</v>
  </rv>
  <rv s="0">
    <v>https://www.bing.com/financeapi/forcetrigger?t=bt6rh7&amp;q=XETR%3aC9F&amp;form=skydnc</v>
    <v>Learn more on Bing</v>
  </rv>
  <rv s="3">
    <v>en-US</v>
    <v>bt6rh7</v>
    <v>268435456</v>
    <v>1</v>
    <v>Powered by Refinitiv</v>
    <v>6</v>
    <v>CHIPOTLE MEXICAN GRILL, INC. (XETR:C9F)</v>
    <v>2</v>
    <v>7</v>
    <v>Finance</v>
    <v>8</v>
    <v>1655</v>
    <v>1156</v>
    <v>1.3154999999999999</v>
    <v>2.8</v>
    <v>1.8129999999999999E-3</v>
    <v>EUR</v>
    <v>Chipotle Mexican Grill, Inc. together with its subsidiaries owns and operates Chipotle Mexican Grill restaurants. The Company’s Chipotle Mexican Grill restaurants serves a relevant menu of burritos, burrito bowls (a burrito without the tortilla), quesadillas, tacos, and salads. The Company owns and operates approximately 2,918 Chipotle restaurants throughout the United States, 44 international Chipotle restaurants, and four non-Chipotle restaurants. In its Chipotle restaurants, the Company serves only meats and brand these meats as Responsibly Raised. The Company manages its operations based on eight regions. It sells gift cards, which do not have expiration dates. The Company’s subsidiaries include Chipotle Mexican Grill, Corp.; Nova Scotia, Chipotle Mexican Grill, SAS; France Chipotle, Grill Germany GMBH; Chipotle Mexican Grill of Berwyn Heights, LLC; Chipotle Services, LLC; Chipotle Texas, LLC; CMG Concessions, LLC; CMG of Prince Georges, LLC and other.</v>
    <v>97660</v>
    <v>Xetra</v>
    <v>XETR</v>
    <v>XETR</v>
    <v>610 Newport Center Dr, Suite 1100, NEWPORT BEACH, CA, 92660 US</v>
    <v>1550.2</v>
    <v>Hotels &amp; Entertainment Services</v>
    <v>Stock</v>
    <v>44777.771874999999</v>
    <v>15</v>
    <v>1547.2</v>
    <v>44007800000</v>
    <v>CHIPOTLE MEXICAN GRILL, INC.</v>
    <v>CHIPOTLE MEXICAN GRILL, INC.</v>
    <v>1550.2</v>
    <v>60.6</v>
    <v>1544.4</v>
    <v>1547.2</v>
    <v>27764650</v>
    <v>C9F</v>
    <v>CHIPOTLE MEXICAN GRILL, INC. (XETR:C9F)</v>
    <v>6</v>
    <v>406650</v>
    <v>1998</v>
  </rv>
  <rv s="2">
    <v>16</v>
  </rv>
  <rv s="0">
    <v>https://www.bing.com/financeapi/forcetrigger?t=a1r2qh&amp;q=XNYS%3aDIN&amp;form=skydnc</v>
    <v>Learn more on Bing</v>
  </rv>
  <rv s="1">
    <v>en-US</v>
    <v>a1r2qh</v>
    <v>268435456</v>
    <v>1</v>
    <v>Powered by Refinitiv</v>
    <v>0</v>
    <v>Dine Brands Global, Inc. (XNYS:DIN)</v>
    <v>2</v>
    <v>3</v>
    <v>Finance</v>
    <v>4</v>
    <v>95</v>
    <v>61.295000000000002</v>
    <v>1.8317000000000001</v>
    <v>-2.98</v>
    <v>7.6339999999999993E-3</v>
    <v>-3.9716999999999995E-2</v>
    <v>0.55000000000000004</v>
    <v>USD</v>
    <v>Dine Brands Global, Inc. together with its subsidiaries owns, franchises and operates the Applebee's Neighborhood Grill + Bar (Applebee's) concept in the bar and grill segment within the casual dining category of the restaurant industry. The Company also owns and franchises the International House of Pancakes (IHOP) concept in the family dining category of the restaurant industry. Its segments include franchise operations, company-operated restaurant operations, rental operations, and financing operations. The franchise operations segment consisted of approximately 1,611 restaurants operated by Applebee’s franchisees in the United States, and 1,751 restaurants operated by IHOP franchisees and area licensees in the United States. Its company-operated restaurant operations segment consists of approximately 69 Applebee's restaurants. Its Rental operations segments consists of lease or sublease agreements covering 598 IHOP franchised restaurants and two Applebee’s franchised restaurants.</v>
    <v>3521</v>
    <v>New York Stock Exchange</v>
    <v>XNYS</v>
    <v>XNYS</v>
    <v>450 N Brand Blvd Fl 3, GLENDALE, CA, 91203-2347 US</v>
    <v>74.94</v>
    <v>Hotels &amp; Entertainment Services</v>
    <v>Stock</v>
    <v>44777.865877164062</v>
    <v>18</v>
    <v>71.900000000000006</v>
    <v>1206910270</v>
    <v>Dine Brands Global, Inc.</v>
    <v>Dine Brands Global, Inc.</v>
    <v>74.92</v>
    <v>13.366899999999999</v>
    <v>75.03</v>
    <v>72.05</v>
    <v>72.599999999999994</v>
    <v>16751010</v>
    <v>DIN</v>
    <v>Dine Brands Global, Inc. (XNYS:DIN)</v>
    <v>232269</v>
    <v>164831</v>
    <v>1976</v>
  </rv>
  <rv s="2">
    <v>19</v>
  </rv>
  <rv s="0">
    <v>https://www.bing.com/financeapi/forcetrigger?t=a1pb1h&amp;q=XNAS%3aCBRL&amp;form=skydnc</v>
    <v>Learn more on Bing</v>
  </rv>
  <rv s="1">
    <v>en-US</v>
    <v>a1pb1h</v>
    <v>268435456</v>
    <v>1</v>
    <v>Powered by Refinitiv</v>
    <v>0</v>
    <v>Cracker Barrel Old Country Store, Inc. (XNAS:CBRL)</v>
    <v>2</v>
    <v>3</v>
    <v>Finance</v>
    <v>4</v>
    <v>149.875</v>
    <v>81.87</v>
    <v>1.321</v>
    <v>-1.7</v>
    <v>0</v>
    <v>-1.7193E-2</v>
    <v>0</v>
    <v>USD</v>
    <v>Cracker Barrel Old Country Store, Inc. is engaged in the operation and development of the Cracker Barrel Old Country Store concept (Cracker Barrel). The format of its stores consists of a rustic old country-store design offering a restaurant menu that features home-style country food and a range of decorative and functional items such as rocking chairs, holiday and seasonal gifts, toys, apparel, cookware and foods. Its restaurants offer home-style country cooking featuring of its own recipes. Its restaurants serve breakfast, lunch and dinner daily and offer dine-in, pick-up and delivery services. Its breakfast items include juices, eggs, pancakes, grits, and a range of biscuit specialties. Its lunch and dinner items include southern fried chicken, chicken and dumplings, chicken pot pie, chicken fried chicken, meatloaf, country fried steak and many others. It also offers multi-serving takeout family meal baskets. The Company operates approximately 664 Cracker Barrel stores in 45 states.</v>
    <v>70000</v>
    <v>Nasdaq Stock Market</v>
    <v>XNAS</v>
    <v>XNAS</v>
    <v>Po Box 787, LEBANON, TN, 37088-0787 US</v>
    <v>99.16</v>
    <v>Hotels &amp; Entertainment Services</v>
    <v>Stock</v>
    <v>44777.871587117967</v>
    <v>21</v>
    <v>96.98</v>
    <v>2214596148</v>
    <v>Cracker Barrel Old Country Store, Inc.</v>
    <v>Cracker Barrel Old Country Store, Inc.</v>
    <v>98.48</v>
    <v>17.227599999999999</v>
    <v>98.88</v>
    <v>97.18</v>
    <v>97.18</v>
    <v>22788600</v>
    <v>CBRL</v>
    <v>Cracker Barrel Old Country Store, Inc. (XNAS:CBRL)</v>
    <v>358314</v>
    <v>432447</v>
    <v>1969</v>
  </rv>
  <rv s="2">
    <v>22</v>
  </rv>
  <rv s="0">
    <v>https://www.bing.com/financeapi/forcetrigger?t=a1qwlh&amp;q=XNAS%3aDENN&amp;form=skydnc</v>
    <v>Learn more on Bing</v>
  </rv>
  <rv s="1">
    <v>en-US</v>
    <v>a1qwlh</v>
    <v>268435456</v>
    <v>1</v>
    <v>Powered by Refinitiv</v>
    <v>0</v>
    <v>DENNY'S CORPORATION (XNAS:DENN)</v>
    <v>2</v>
    <v>3</v>
    <v>Finance</v>
    <v>4</v>
    <v>17.399999999999999</v>
    <v>8.4600000000000009</v>
    <v>1.6147</v>
    <v>-0.33</v>
    <v>-2.5562000000000001E-2</v>
    <v>-3.2641000000000003E-2</v>
    <v>-0.25</v>
    <v>USD</v>
    <v>Denny's Corporation (Denny's) is a franchisor and operator of franchised full-service restaurant chains, based on the number of restaurants. The Company has approximately 1,640 franchised, licensed and company restaurants around the world, including 153 restaurants in Canada, Puerto Rico, Mexico, the Philippines, New Zealand, Honduras, the United Arab Emirates, Costa Rica, Guam, Guatemala, El Salvador, Indonesia, and the United Kingdom. It opens 24/7 in various locations. It offers breakfast fare, which is available the entire day. The Company's The Build Your Own Grand Slam is one of its popular menu items. In addition to its breakfast-all-day items, it offers various lunch and dinner items, including burgers, sandwiches, salads, and knife and fork entrees, along with an assortment of beverages, appetizers and desserts. It has four-day parts, breakfast, lunch, dinner and late night. The Keke's Breakfast Cafe offers handmade breakfast and lunch entrees with fresh fruits and vegetables.</v>
    <v>3300</v>
    <v>Nasdaq Stock Market</v>
    <v>XNAS</v>
    <v>XNAS</v>
    <v>203 E MAIN ST, SPARTANBURG, SC, 29319 US</v>
    <v>10.085000000000001</v>
    <v>Hotels &amp; Entertainment Services</v>
    <v>Stock</v>
    <v>44777.906211978909</v>
    <v>24</v>
    <v>9.74</v>
    <v>566551781</v>
    <v>DENNY'S CORPORATION</v>
    <v>DENNY'S CORPORATION</v>
    <v>10.050000000000001</v>
    <v>6.4686000000000003</v>
    <v>10.11</v>
    <v>9.7799999999999994</v>
    <v>9.5299999999999994</v>
    <v>57929630</v>
    <v>DENN</v>
    <v>DENNY'S CORPORATION (XNAS:DENN)</v>
    <v>727328</v>
    <v>825658</v>
    <v>1988</v>
  </rv>
  <rv s="2">
    <v>25</v>
  </rv>
  <rv s="0">
    <v>https://www.bing.com/financeapi/forcetrigger?t=bq36qh&amp;q=OTCM%3aLKNCY&amp;form=skydnc</v>
    <v>Learn more on Bing</v>
  </rv>
  <rv s="4">
    <v>en-US</v>
    <v>bq36qh</v>
    <v>268435456</v>
    <v>1</v>
    <v>Powered by Refinitiv</v>
    <v>9</v>
    <v>LUCKIN COFFEE INC. (OTCM:LKNCY)</v>
    <v>2</v>
    <v>10</v>
    <v>Finance</v>
    <v>11</v>
    <v>17.79</v>
    <v>5.16</v>
    <v>0.41</v>
    <v>7.2569999999999991E-4</v>
    <v>3.0666000000000002E-2</v>
    <v>0.01</v>
    <v>USD</v>
    <v>LUCKIN COFFEE INC. is a China-based holding company mainly engaged in coffee retail business. The Company applies new retail models for coffee sales and services. The Company operates primarily through mobile apps and pick-up stores. The Company's products mainly include freshly brewed drinks, juices and light meals. The Company's main brand is Luckin Coffee.</v>
    <v>10555</v>
    <v>OTC Markets</v>
    <v>OTCM</v>
    <v>OTCM</v>
    <v>17F Block A, Tefang Portman Tower, No. 81 Zhanhong Road, Siming District, XIAMEN, FUJIAN, 361008 CN</v>
    <v>14.53</v>
    <v>Food &amp; Drug Retailing</v>
    <v>Stock</v>
    <v>44777.888865740744</v>
    <v>27</v>
    <v>13.56</v>
    <v>3359663216</v>
    <v>LUCKIN COFFEE INC.</v>
    <v>LUCKIN COFFEE INC.</v>
    <v>13.75</v>
    <v>33.0396</v>
    <v>13.37</v>
    <v>13.78</v>
    <v>13.79</v>
    <v>243807200</v>
    <v>LKNCY</v>
    <v>LUCKIN COFFEE INC. (OTCM:LKNCY)</v>
    <v>2318105</v>
    <v>1681890</v>
    <v>2017</v>
  </rv>
  <rv s="2">
    <v>28</v>
  </rv>
  <rv s="0">
    <v>http://en.wikipedia.org/wiki/Public_domain</v>
    <v>Public domain</v>
  </rv>
  <rv s="0">
    <v>http://en.wikipedia.org/wiki/Shake_Shack</v>
    <v>Wikipedia</v>
  </rv>
  <rv s="5">
    <v>30</v>
    <v>31</v>
  </rv>
  <rv s="6">
    <v>16</v>
    <v>https://www.bing.com/th?id=AMMS_e7926709713a70d0ca1ce8199dbe50b0&amp;qlt=95</v>
    <v>32</v>
    <v>0</v>
    <v>https://www.bing.com/images/search?form=xlimg&amp;q=shake+shack</v>
    <v>Image of SHAKE SHACK INC.</v>
  </rv>
  <rv s="0">
    <v>https://www.bing.com/financeapi/forcetrigger?t=a22voc&amp;q=XNYS%3aSHAK&amp;form=skydnc</v>
    <v>Learn more on Bing</v>
  </rv>
  <rv s="7">
    <v>en-US</v>
    <v>a22voc</v>
    <v>268435456</v>
    <v>1</v>
    <v>Powered by Refinitiv</v>
    <v>12</v>
    <v>SHAKE SHACK INC. (XNYS:SHAK)</v>
    <v>14</v>
    <v>15</v>
    <v>Finance</v>
    <v>5</v>
    <v>100.85</v>
    <v>37.717500000000001</v>
    <v>1.5962000000000001</v>
    <v>-3.46</v>
    <v>1.371E-3</v>
    <v>-6.3568E-2</v>
    <v>7.0000000000000007E-2</v>
    <v>USD</v>
    <v>Shake Shack Inc. is a roadside burger stand serving American menu of burgers, chicken sandwiches, hot dogs, crinkle cut fries, shakes, frozen custard, beer and wine. The Company's menu focuses on food and beverages, crafted from a range of American foods. Its burger category includes ShackBurger, SmokeShack, Shroom Burger (a vegetarian burger), Shack Stack, Avocado Bacon Burger and Hamburger. Its chicken products include Chicken Shack and Chicken Bites. It offers wines, including Shack Red, Shack White and Shack Rose. In addition, it serves Abita Root Beer, Shack-made lemonade, organic fresh brewed iced tea, Fifty/Fifty (half lemonade, half organic iced tea), Honest Kids organic apple juice, and Shack20 bottled water. It offers delivery services through its Shack app as well as Shake Shack Website. The Company operates approximately 369 Shacks, of which 218 are domestic Company-operated Shacks, 25 are domestic licensed Shacks, and 126 are international licensed Shacks.</v>
    <v>9695</v>
    <v>New York Stock Exchange</v>
    <v>XNYS</v>
    <v>XNYS</v>
    <v>225 Varick St Rm 301, NEW YORK, NY, 10014-5816 US</v>
    <v>51.24</v>
    <v>33</v>
    <v>Hotels &amp; Entertainment Services</v>
    <v>Stock</v>
    <v>44777.911573517966</v>
    <v>34</v>
    <v>46</v>
    <v>2147385468</v>
    <v>SHAKE SHACK INC.</v>
    <v>SHAKE SHACK INC.</v>
    <v>46.8</v>
    <v>0</v>
    <v>54.43</v>
    <v>50.97</v>
    <v>51.11</v>
    <v>42130380</v>
    <v>SHAK</v>
    <v>SHAKE SHACK INC. (XNYS:SHAK)</v>
    <v>3168293</v>
    <v>914757</v>
    <v>2014</v>
  </rv>
  <rv s="2">
    <v>35</v>
  </rv>
  <rv s="0">
    <v>https://www.bing.com/financeapi/forcetrigger?t=a1ya2w&amp;q=XNAS%3aNATH&amp;form=skydnc</v>
    <v>Learn more on Bing</v>
  </rv>
  <rv s="1">
    <v>en-US</v>
    <v>a1ya2w</v>
    <v>268435456</v>
    <v>1</v>
    <v>Powered by Refinitiv</v>
    <v>0</v>
    <v>NATHAN'S FAMOUS, INC. (XNAS:NATH)</v>
    <v>2</v>
    <v>3</v>
    <v>Finance</v>
    <v>5</v>
    <v>72.3</v>
    <v>45.5</v>
    <v>0.27600000000000002</v>
    <v>0.01</v>
    <v>-1.2E-2</v>
    <v>1.841E-4</v>
    <v>-0.66</v>
    <v>USD</v>
    <v>Nathan's Famous, Inc. is a licensor, wholesaler and retailer of products marketed under its Nathans brand, including its Nathans Beef Hot Dogs. The Company's segments include Branded Product Program, Product licensing, and Restaurant operations. The Branded Product Program segment is engaged in the sale of hot dog products either directly to foodservice operators or to various foodservice distributors who resell the products to foodservice operators. The Product licensing segment includes royalties, from licensing a range of its branded products, including its hot dogs, sausage and corned beef products, frozen French fries and additional products, through retail grocery channels and club stores throughout the United States. The Restaurant operations segment is engaged in the sale of its products at Company-owned restaurants and earns fees and royalties from its franchised restaurants, including its virtual kitchens. Its products are marketed for sale in approximately 79,000 locations.</v>
    <v>131</v>
    <v>Nasdaq Stock Market</v>
    <v>XNAS</v>
    <v>XNAS</v>
    <v>One Jericho Plaza, JERICHO, NY, 11753 US</v>
    <v>55.38</v>
    <v>Hotels &amp; Entertainment Services</v>
    <v>Stock</v>
    <v>44777.833385115628</v>
    <v>37</v>
    <v>53.38</v>
    <v>221861700</v>
    <v>NATHAN'S FAMOUS, INC.</v>
    <v>NATHAN'S FAMOUS, INC.</v>
    <v>54.5</v>
    <v>16.4437</v>
    <v>54.33</v>
    <v>54.34</v>
    <v>54.34</v>
    <v>4083590</v>
    <v>NATH</v>
    <v>NATHAN'S FAMOUS, INC. (XNAS:NATH)</v>
    <v>4389</v>
    <v>7009</v>
    <v>1992</v>
  </rv>
  <rv s="2">
    <v>38</v>
  </rv>
  <rv s="0">
    <v>https://www.bing.com/financeapi/forcetrigger?t=a1sl7w&amp;q=XNAS%3aFAT&amp;form=skydnc</v>
    <v>Learn more on Bing</v>
  </rv>
  <rv s="1">
    <v>en-US</v>
    <v>a1sl7w</v>
    <v>268435456</v>
    <v>1</v>
    <v>Powered by Refinitiv</v>
    <v>0</v>
    <v>FAT BRANDS INC. (XNAS:FAT)</v>
    <v>2</v>
    <v>3</v>
    <v>Finance</v>
    <v>4</v>
    <v>13.13</v>
    <v>5.4702000000000002</v>
    <v>2.1522999999999999</v>
    <v>3.1800000000000002E-2</v>
    <v>1.2373E-2</v>
    <v>3.5899999999999999E-3</v>
    <v>0.11</v>
    <v>USD</v>
    <v>FAT Brands Inc. is a multi-brand restaurant franchising company. The Company develops, markets, acquires and manages quick service, fast-casual, casual dining and polished casual dining restaurant concepts around the world. It owns approximately 17 restaurant brands: Round Table Pizza, Fatburger, Marble Slab Creamery, Johnny Rockets, Fazolis, Twin Peaks, Great American Cookies, Hot Dog on a Stick, Buffalos Cafe &amp; Express, Hurricane Grill &amp; Wings, Pretzelmaker, Elevation Burger, Native Grill &amp; Wings, Yalla Mediterranean and Ponderosa and Bonanza Steakhouses. Johnny Rockets is a restaurant franchise that offers menu items, including Certified Angus Beef cooked-to-order hamburgers, Boca Burger, chicken sandwiches, crispy fries and hand-spun shakes and malts. Fatburger is a hamburger restaurant, which offers a variety of made-to-order, customizable Fatburgers, Turkeyburgers, Chicken Sandwiches, Impossible Burgers and others. The Company also franchises over 2,200 units worldwide.</v>
    <v>5200</v>
    <v>Nasdaq Stock Market</v>
    <v>XNAS</v>
    <v>XNAS</v>
    <v>9720 Wilshire Blvd Ste 500, BEVERLY HILLS, CA, 90212-2014 US</v>
    <v>8.91</v>
    <v>Hotels &amp; Entertainment Services</v>
    <v>Stock</v>
    <v>44777.852631758593</v>
    <v>40</v>
    <v>8.7200000000000006</v>
    <v>134562773</v>
    <v>FAT BRANDS INC.</v>
    <v>FAT BRANDS INC.</v>
    <v>8.91</v>
    <v>69.865399999999994</v>
    <v>8.8582000000000001</v>
    <v>8.89</v>
    <v>9</v>
    <v>15136420</v>
    <v>FAT</v>
    <v>FAT BRANDS INC. (XNAS:FAT)</v>
    <v>8021</v>
    <v>11972</v>
    <v>2017</v>
  </rv>
  <rv s="2">
    <v>41</v>
  </rv>
  <rv s="0">
    <v>https://www.bing.com/financeapi/forcetrigger?t=a1w127&amp;q=XNAS%3aJACK&amp;form=skydnc</v>
    <v>Learn more on Bing</v>
  </rv>
  <rv s="1">
    <v>en-US</v>
    <v>a1w127</v>
    <v>268435456</v>
    <v>1</v>
    <v>Powered by Refinitiv</v>
    <v>0</v>
    <v>JACK IN THE BOX INC. (XNAS:JACK)</v>
    <v>2</v>
    <v>3</v>
    <v>Finance</v>
    <v>4</v>
    <v>107.99</v>
    <v>54.8</v>
    <v>1.7758</v>
    <v>0.03</v>
    <v>0</v>
    <v>4.0660000000000002E-4</v>
    <v>0</v>
    <v>USD</v>
    <v>Jack in the Box Inc. is a restaurant company that operates and franchises Jack in the Box quick-service restaurants (QSRs). The Company operates approximately 2,200 Jack in the Box quick-service restaurants, primarily in the western and southern United States, including one in Guam. Jack in the Box is a hamburger chain, which offers a selection of products, including classic burgers such as, Jumbo Jack burgers, and product lines, such as Buttery Jack burgers. It also offers breakfast sandwiches with freshly cracked eggs, tacos, curly fries, egg rolls, specialty sandwiches and real ice cream shakes, among other items. The Company allow its guests to customize meals to their tastes and order any product on the menu when they want it, including breakfast at night, or burgers and chicken in the morning. It also involves the concept of drive-thru restaurants. Its Jack in the Box restaurants have seating capacities, ranging from 20 to 100 people.</v>
    <v>5300</v>
    <v>Nasdaq Stock Market</v>
    <v>XNAS</v>
    <v>XNAS</v>
    <v>9357 Spectrum Center Blvd, SAN DIEGO, CA, 92123-1516 US</v>
    <v>74.489999999999995</v>
    <v>Hotels &amp; Entertainment Services</v>
    <v>Stock</v>
    <v>44777.861568495311</v>
    <v>43</v>
    <v>72.540000000000006</v>
    <v>1553402307</v>
    <v>JACK IN THE BOX INC.</v>
    <v>JACK IN THE BOX INC.</v>
    <v>73.72</v>
    <v>12.7133</v>
    <v>73.78</v>
    <v>73.81</v>
    <v>73.81</v>
    <v>21045960</v>
    <v>JACK</v>
    <v>JACK IN THE BOX INC. (XNAS:JACK)</v>
    <v>292189</v>
    <v>372816</v>
    <v>1999</v>
  </rv>
  <rv s="2">
    <v>44</v>
  </rv>
  <rv s="0">
    <v>https://www.bing.com/financeapi/forcetrigger?t=a25spr&amp;q=XNAS%3aWEN&amp;form=skydnc</v>
    <v>Learn more on Bing</v>
  </rv>
  <rv s="1">
    <v>en-US</v>
    <v>a25spr</v>
    <v>268435456</v>
    <v>1</v>
    <v>Powered by Refinitiv</v>
    <v>0</v>
    <v>THE WENDY'S COMPANY (XNAS:WEN)</v>
    <v>2</v>
    <v>3</v>
    <v>Finance</v>
    <v>4</v>
    <v>24.48</v>
    <v>15.765000000000001</v>
    <v>0.90500000000000003</v>
    <v>-0.16</v>
    <v>-1.4099999999999998E-3</v>
    <v>-7.463E-3</v>
    <v>-0.03</v>
    <v>USD</v>
    <v>The Wendy's Company is engaged in the business of operating, developing and franchising a system of quick-service restaurants. The Company operates through three segments: Wendy’s U.S., Wendy’s International and Global Real Estate &amp; Development. The Wendy’s U.S. segment includes the operation and franchising of Wendy’s restaurants in the United States. The Wendy’s International segment includes the operation and franchising of Wendy’s restaurants in countries and territories other than the United States. The Global Real Estate &amp; Development segment includes real estate activity for owned sites and sites leased from third parties, which are leased and/or subleased to franchisees, and also includes its share of the income of its TimWen real estate joint venture. The Company operates approximately 5,938 Wendy’s restaurants in the United States. Of these restaurants, over 403 were operated by the Company and 5,535 were operated by approximately 228 franchisees.</v>
    <v>14500</v>
    <v>Nasdaq Stock Market</v>
    <v>XNAS</v>
    <v>XNAS</v>
    <v>One Dave Thomas Blvd, DUBLIN, OH, 43017 US</v>
    <v>21.475000000000001</v>
    <v>Hotels &amp; Entertainment Services</v>
    <v>Stock</v>
    <v>44777.896009374999</v>
    <v>46</v>
    <v>21.22</v>
    <v>4559171904</v>
    <v>THE WENDY'S COMPANY</v>
    <v>THE WENDY'S COMPANY</v>
    <v>21.38</v>
    <v>24.2957</v>
    <v>21.44</v>
    <v>21.28</v>
    <v>21.25</v>
    <v>214246800</v>
    <v>WEN</v>
    <v>THE WENDY'S COMPANY (XNAS:WEN)</v>
    <v>2172085</v>
    <v>1738946</v>
    <v>1994</v>
  </rv>
  <rv s="2">
    <v>47</v>
  </rv>
  <rv s="0">
    <v>https://www.bing.com/financeapi/forcetrigger?t=azh5ww&amp;q=XNAS%3aBFI&amp;form=skydnc</v>
    <v>Learn more on Bing</v>
  </rv>
  <rv s="1">
    <v>en-US</v>
    <v>azh5ww</v>
    <v>268435456</v>
    <v>1</v>
    <v>Powered by Refinitiv</v>
    <v>0</v>
    <v>BURGERFI INTERNATIONAL, INC. (XNAS:BFI)</v>
    <v>2</v>
    <v>3</v>
    <v>Finance</v>
    <v>4</v>
    <v>11.69</v>
    <v>2.79</v>
    <v>0.28620000000000001</v>
    <v>-5.5E-2</v>
    <v>1.4975E-2</v>
    <v>-1.7974E-2</v>
    <v>4.4999999999999998E-2</v>
    <v>USD</v>
    <v>BurgerFi International, Inc., through its subsidiary, BurgerFi International, LLC, and additional subsidiaries collectively, BurgerFi is the franchisor of the BurgerFi concept. Its BurgerFi is a burger concept with approximately 118 BurgerFi restaurants (93 franchised and 25 corporate-owned) for delivering a premium burger. BurgerFi uses American angus beef. Its menu includes burgers, chicken + hot dogs, fries + onion rings, shakes + frozen custard, kid's meals and sauces. Its burger products include BurgerFi Burger, BurgerFi Cheeseburger, Ultimate Bacon Cheeseburger and Beyond Burger. Chicken + hot dogs menu includes Fi'ed Chicken Sandwich, Spicy Fi'ed Chicken Sandwich, and Texas Style Dog. Fries + onion rings menu includes fresh-cut fries, onion rings and Cry + Fry. Its Shakes + frozen custard offerings include custard cups, shakes and concretes. Its sauces include FI Sauce, Ghost Pepper Honey, Garlic Aioli, Bacon Jalapeno Ranch, Memphis Sweet BBQ and cheese sauce.</v>
    <v>834</v>
    <v>Nasdaq Stock Market</v>
    <v>XNAS</v>
    <v>XNAS</v>
    <v>200 West Cypress Creek Road, Suite 220, FORT LAUDERDALE, FL, 33309 US</v>
    <v>3.13</v>
    <v>Hotels &amp; Entertainment Services</v>
    <v>Stock</v>
    <v>44777.865824617969</v>
    <v>49</v>
    <v>3.0049999999999999</v>
    <v>66818278</v>
    <v>BURGERFI INTERNATIONAL, INC.</v>
    <v>BURGERFI INTERNATIONAL, INC.</v>
    <v>3.1000999999999999</v>
    <v>32.9544</v>
    <v>3.06</v>
    <v>3.0049999999999999</v>
    <v>3.05</v>
    <v>22235700</v>
    <v>BFI</v>
    <v>BURGERFI INTERNATIONAL, INC. (XNAS:BFI)</v>
    <v>21590</v>
    <v>27357</v>
    <v>2017</v>
  </rv>
  <rv s="2">
    <v>50</v>
  </rv>
  <rv s="0">
    <v>https://www.bing.com/financeapi/forcetrigger?t=a26em7&amp;q=XNYS%3aYUM&amp;form=skydnc</v>
    <v>Learn more on Bing</v>
  </rv>
  <rv s="1">
    <v>en-US</v>
    <v>a26em7</v>
    <v>268435456</v>
    <v>1</v>
    <v>Powered by Refinitiv</v>
    <v>0</v>
    <v>YUM! BRANDS, INC. (XNYS:YUM)</v>
    <v>2</v>
    <v>3</v>
    <v>Finance</v>
    <v>5</v>
    <v>139.85</v>
    <v>108.37</v>
    <v>1.0118</v>
    <v>0.16</v>
    <v>2.4829E-2</v>
    <v>1.335E-3</v>
    <v>2.98</v>
    <v>USD</v>
    <v>YUM! Brands, Inc. franchises or operates a system of approximately 53,000 restaurants in 157 countries and territories under the concepts of KFC, Taco Bell, Pizza Hut and The Habit Burger Grill. Its segments include The KFC Division, which includes its worldwide operations of the KFC concept; The Taco Bell Division, which includes its worldwide operations of the Taco Bell concept; The Pizza Hut Division, which includes its worldwide operations of the Pizza Hut concept, and The Habit Burger Grill Division, which includes its worldwide operations of the Habit Burger Grill concept. It develops, operates or franchises a system of both traditional and non-traditional restaurants. KFC offer fried and non-fried chicken products. Taco Bell specializes in Mexican-style food products. Pizza Hut specializes in the sale of ready-to-eat pizza products. The Habit Burger Grill specializes in chargrilled burgers and sandwiches made-to-order over an open flame and topped with fresh ingredients.</v>
    <v>36000</v>
    <v>New York Stock Exchange</v>
    <v>XNYS</v>
    <v>XNYS</v>
    <v>1441 Gardiner Ln, LOUISVILLE, KY, 40213 US</v>
    <v>120.39</v>
    <v>Hotels &amp; Entertainment Services</v>
    <v>Stock</v>
    <v>44777.918504675785</v>
    <v>52</v>
    <v>119.185</v>
    <v>34211101086</v>
    <v>YUM! BRANDS, INC.</v>
    <v>YUM! BRANDS, INC.</v>
    <v>119.79</v>
    <v>23.9968</v>
    <v>119.81</v>
    <v>119.97</v>
    <v>123</v>
    <v>285163800</v>
    <v>YUM</v>
    <v>YUM! BRANDS, INC. (XNYS:YUM)</v>
    <v>1553468</v>
    <v>1448741</v>
    <v>1997</v>
  </rv>
  <rv s="2">
    <v>53</v>
  </rv>
</rvData>
</file>

<file path=xl/richData/rdrichvaluestructure.xml><?xml version="1.0" encoding="utf-8"?>
<rvStructures xmlns="http://schemas.microsoft.com/office/spreadsheetml/2017/richdata" count="8">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core">
    <k n="%EntityCulture" t="s"/>
    <k n="%EntityId" t="s"/>
    <k n="%EntityServiceId"/>
    <k n="%IsRefreshable" t="b"/>
    <k n="%ProviderInfo" t="s"/>
    <k n="_Display" t="spb"/>
    <k n="_DisplayString" t="s"/>
    <k n="_Flags" t="spb"/>
    <k n="_Format" t="spb"/>
    <k n="_Icon" t="s"/>
    <k n="_SubLabel" t="spb"/>
    <k n="52 week high"/>
    <k n="52 week low"/>
    <k n="Change"/>
    <k n="Change % (Extended hours)"/>
    <k n="Change (%)"/>
    <k n="Change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sourceattribution">
    <k n="License" t="r"/>
    <k n="Source" t="r"/>
  </s>
  <s t="_imageurl">
    <k n="_Provider" t="spb"/>
    <k n="Address" t="s"/>
    <k n="Attribution" t="r"/>
    <k n="ComputedImage" t="b"/>
    <k n="More Images Address" t="s"/>
    <k n="Text" t="s"/>
  </s>
  <s t="_linkedentitycore">
    <k n="%EntityCulture" t="s"/>
    <k n="%EntityId" t="s"/>
    <k n="%EntityServiceId"/>
    <k n="%IsRefreshable" t="b"/>
    <k n="%ProviderInfo" t="s"/>
    <k n="_Display" t="spb"/>
    <k n="_DisplayString" t="s"/>
    <k n="_Flags" t="spb"/>
    <k n="_Format" t="spb"/>
    <k n="_Icon" t="s"/>
    <k n="_SubLabel" t="spb"/>
    <k n="52 week high"/>
    <k n="52 week low"/>
    <k n="Beta"/>
    <k n="Change"/>
    <k n="Change % (Extended hours)"/>
    <k n="Change (%)"/>
    <k n="Change (Extended hours)"/>
    <k n="Currency" t="s"/>
    <k n="Description" t="s"/>
    <k n="Employees"/>
    <k n="Exchange" t="s"/>
    <k n="Exchange abbreviation" t="s"/>
    <k n="ExchangeID" t="s"/>
    <k n="Headquarters" t="s"/>
    <k n="High"/>
    <k n="Image" t="r"/>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4">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6">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Image</v>
      <v t="s">ExchangeID</v>
      <v t="s">%ProviderInfo</v>
    </a>
  </spbArrays>
  <spbData count="17">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 s="4">
      <v>at close</v>
      <v>from previous close</v>
      <v>from previous close</v>
      <v>Source: Nasdaq Last Sale</v>
      <v>GMT</v>
      <v>Real-Time Nasdaq Last Sale</v>
      <v>from close</v>
      <v>from close</v>
    </spb>
    <spb s="0">
      <v>1</v>
      <v>Name</v>
      <v>LearnMoreOnLink</v>
    </spb>
    <spb s="5">
      <v>10</v>
      <v>2</v>
      <v>2</v>
      <v>10</v>
      <v>3</v>
      <v>10</v>
      <v>10</v>
      <v>10</v>
      <v>4</v>
      <v>4</v>
      <v>5</v>
      <v>6</v>
      <v>10</v>
      <v>10</v>
      <v>10</v>
      <v>4</v>
      <v>7</v>
      <v>8</v>
      <v>9</v>
      <v>4</v>
    </spb>
    <spb s="6">
      <v>Delayed 15 minutes</v>
      <v>from previous close</v>
      <v>from previous close</v>
      <v>GMT</v>
    </spb>
    <spb s="0">
      <v>2</v>
      <v>Name</v>
      <v>LearnMoreOnLink</v>
    </spb>
    <spb s="7">
      <v>1</v>
      <v>2</v>
      <v>1</v>
      <v>3</v>
      <v>1</v>
      <v>1</v>
      <v>1</v>
      <v>4</v>
      <v>4</v>
      <v>5</v>
      <v>6</v>
      <v>1</v>
      <v>1</v>
      <v>1</v>
      <v>4</v>
      <v>7</v>
      <v>8</v>
      <v>9</v>
      <v>4</v>
      <v>1</v>
      <v>1</v>
      <v>5</v>
    </spb>
    <spb s="8">
      <v>at close</v>
      <v>from previous close</v>
      <v>from previous close</v>
      <v>GMT</v>
      <v>Delayed 15 minutes</v>
      <v>from close</v>
      <v>from close</v>
    </spb>
    <spb s="0">
      <v>3</v>
      <v>Name</v>
      <v>LearnMoreOnLink</v>
    </spb>
    <spb s="9">
      <v>0</v>
      <v>0</v>
    </spb>
    <spb s="10">
      <v>13</v>
      <v>1</v>
      <v>1</v>
      <v>1</v>
      <v>1</v>
    </spb>
    <spb s="11">
      <v>1</v>
      <v>2</v>
      <v>2</v>
      <v>1</v>
      <v>3</v>
      <v>1</v>
      <v>11</v>
      <v>1</v>
      <v>1</v>
      <v>4</v>
      <v>4</v>
      <v>5</v>
      <v>6</v>
      <v>1</v>
      <v>1</v>
      <v>1</v>
      <v>4</v>
      <v>7</v>
      <v>8</v>
      <v>9</v>
      <v>4</v>
      <v>1</v>
      <v>1</v>
      <v>5</v>
    </spb>
    <spb s="12">
      <v>Powered by Refinitiv</v>
    </spb>
  </spbData>
</supportingPropertyBags>
</file>

<file path=xl/richData/rdsupportingpropertybagstructure.xml><?xml version="1.0" encoding="utf-8"?>
<spbStructures xmlns="http://schemas.microsoft.com/office/spreadsheetml/2017/richdata2" count="13">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Last trade time" t="s"/>
    <k n="Price (Extended hours)" t="s"/>
    <k n="Change (Extended hours)" t="s"/>
    <k n="Change % (Extended hours)" t="s"/>
  </s>
  <s>
    <k n="ShowInDotNotation" t="b"/>
    <k n="ShowInAutoComplete" t="b"/>
  </s>
  <s>
    <k n="Image" t="spb"/>
    <k n="ExchangeID" t="spb"/>
    <k n="UniqueName" t="spb"/>
    <k n="`%ProviderInfo" t="spb"/>
    <k n="LearnMoreOnLink" t="spb"/>
  </s>
  <s>
    <k n="Low" t="i"/>
    <k n="P/E" t="i"/>
    <k n="Beta" t="i"/>
    <k n="High" t="i"/>
    <k n="Name" t="i"/>
    <k n="Open" t="i"/>
    <k n="Image"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name"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Pr n="IsHero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Sty dxfid="1">
      <rpv i="0">_([$€-x-euro2] * #,##0.00_);_([$€-x-euro2] * (#,##0.00);_([$€-x-euro2] * "-"??_);_(@_)</rpv>
    </rSty>
    <rSty>
      <rpv i="2">1</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Q42"/>
  <sheetViews>
    <sheetView showGridLines="0" tabSelected="1" zoomScaleNormal="100" workbookViewId="0">
      <selection activeCell="A11" sqref="A11"/>
    </sheetView>
  </sheetViews>
  <sheetFormatPr defaultRowHeight="15" x14ac:dyDescent="0.25"/>
  <cols>
    <col min="2" max="2" width="58.7109375" bestFit="1" customWidth="1"/>
    <col min="3" max="3" width="7" bestFit="1" customWidth="1"/>
    <col min="4" max="4" width="10.42578125" bestFit="1" customWidth="1"/>
    <col min="5" max="5" width="14" bestFit="1" customWidth="1"/>
    <col min="6" max="8" width="16.85546875" bestFit="1" customWidth="1"/>
    <col min="9" max="9" width="12.7109375" bestFit="1" customWidth="1"/>
    <col min="10" max="10" width="18.85546875" bestFit="1" customWidth="1"/>
    <col min="11" max="12" width="18.7109375" bestFit="1" customWidth="1"/>
    <col min="14" max="14" width="14" bestFit="1" customWidth="1"/>
    <col min="15" max="16" width="15.7109375" bestFit="1" customWidth="1"/>
  </cols>
  <sheetData>
    <row r="1" spans="2:17" ht="15.75" x14ac:dyDescent="0.25">
      <c r="B1" s="1"/>
      <c r="C1" s="1"/>
      <c r="D1" s="1"/>
      <c r="E1" s="1"/>
      <c r="F1" s="1"/>
      <c r="G1" s="1"/>
      <c r="H1" s="1"/>
      <c r="I1" s="1"/>
      <c r="J1" s="1"/>
      <c r="K1" s="1"/>
      <c r="L1" s="1"/>
      <c r="M1" s="1"/>
      <c r="N1" s="1"/>
      <c r="O1" s="1"/>
      <c r="P1" s="1"/>
    </row>
    <row r="2" spans="2:17" ht="23.25" x14ac:dyDescent="0.35">
      <c r="B2" s="3" t="s">
        <v>0</v>
      </c>
      <c r="C2" s="35" t="e" vm="1">
        <f>B7</f>
        <v>#VALUE!</v>
      </c>
      <c r="D2" s="4"/>
      <c r="E2" s="4"/>
      <c r="F2" s="4"/>
      <c r="G2" s="34"/>
      <c r="H2" s="4"/>
      <c r="I2" s="36">
        <f>AVERAGE(N37:P37)</f>
        <v>92.093672410750443</v>
      </c>
      <c r="J2" s="37">
        <f>I2/D7-1</f>
        <v>0.55853227975546527</v>
      </c>
      <c r="K2" s="4"/>
      <c r="L2" s="4"/>
      <c r="M2" s="4"/>
      <c r="N2" s="4"/>
      <c r="O2" s="4"/>
      <c r="P2" s="4"/>
    </row>
    <row r="3" spans="2:17" ht="15.75" x14ac:dyDescent="0.25">
      <c r="B3" s="1"/>
      <c r="C3" s="1"/>
      <c r="D3" s="1"/>
      <c r="E3" s="1"/>
      <c r="F3" s="1"/>
      <c r="G3" s="1"/>
      <c r="H3" s="1"/>
      <c r="I3" s="1"/>
      <c r="J3" s="1"/>
      <c r="K3" s="1"/>
      <c r="L3" s="1"/>
      <c r="M3" s="1"/>
      <c r="N3" s="1"/>
      <c r="O3" s="1"/>
      <c r="P3" s="1"/>
    </row>
    <row r="4" spans="2:17" ht="15.75" x14ac:dyDescent="0.25">
      <c r="B4" s="5"/>
      <c r="C4" s="5"/>
      <c r="D4" s="48" t="s">
        <v>1</v>
      </c>
      <c r="E4" s="49"/>
      <c r="F4" s="49"/>
      <c r="G4" s="49"/>
      <c r="H4" s="49"/>
      <c r="I4" s="5"/>
      <c r="J4" s="48" t="s">
        <v>2</v>
      </c>
      <c r="K4" s="49"/>
      <c r="L4" s="49"/>
      <c r="M4" s="5"/>
      <c r="N4" s="48" t="s">
        <v>3</v>
      </c>
      <c r="O4" s="49"/>
      <c r="P4" s="49"/>
    </row>
    <row r="5" spans="2:17" ht="47.25" x14ac:dyDescent="0.25">
      <c r="B5" s="6" t="s">
        <v>4</v>
      </c>
      <c r="C5" s="6" t="s">
        <v>5</v>
      </c>
      <c r="D5" s="7" t="s">
        <v>6</v>
      </c>
      <c r="E5" s="7" t="s">
        <v>7</v>
      </c>
      <c r="F5" s="7" t="s">
        <v>8</v>
      </c>
      <c r="G5" s="7" t="s">
        <v>9</v>
      </c>
      <c r="H5" s="7" t="s">
        <v>10</v>
      </c>
      <c r="I5" s="8"/>
      <c r="J5" s="8" t="s">
        <v>11</v>
      </c>
      <c r="K5" s="8" t="s">
        <v>12</v>
      </c>
      <c r="L5" s="8" t="s">
        <v>13</v>
      </c>
      <c r="M5" s="8"/>
      <c r="N5" s="8" t="s">
        <v>14</v>
      </c>
      <c r="O5" s="8" t="s">
        <v>15</v>
      </c>
      <c r="P5" s="8" t="s">
        <v>16</v>
      </c>
    </row>
    <row r="6" spans="2:17" ht="15.75" x14ac:dyDescent="0.25">
      <c r="B6" s="9"/>
      <c r="C6" s="9"/>
      <c r="D6" s="10"/>
      <c r="E6" s="10"/>
      <c r="F6" s="10"/>
      <c r="G6" s="10"/>
      <c r="H6" s="10"/>
      <c r="I6" s="11"/>
      <c r="J6" s="11"/>
      <c r="K6" s="11"/>
      <c r="L6" s="11"/>
      <c r="M6" s="11"/>
      <c r="N6" s="11"/>
      <c r="O6" s="11"/>
      <c r="P6" s="11"/>
    </row>
    <row r="7" spans="2:17" ht="15.75" x14ac:dyDescent="0.25">
      <c r="B7" s="38" t="e" vm="1">
        <v>#VALUE!</v>
      </c>
      <c r="C7" s="39" t="str" cm="1">
        <f t="array" ref="C7">_FV(B7,"Ticker symbol",TRUE)</f>
        <v>QSR</v>
      </c>
      <c r="D7" s="40" cm="1">
        <f t="array" ref="D7">_FV(B7,"Price")</f>
        <v>59.09</v>
      </c>
      <c r="E7" s="41" cm="1">
        <f t="array" ref="E7">_FV(B7,"Shares outstanding",TRUE)</f>
        <v>452237900</v>
      </c>
      <c r="F7" s="42" cm="1">
        <f t="array" ref="F7">_FV(B7,"Market cap",TRUE)</f>
        <v>26722737511</v>
      </c>
      <c r="G7" s="43">
        <f>VLOOKUP(C7,LOOKUP!$A$1:$E$18,2,FALSE)</f>
        <v>11891000000</v>
      </c>
      <c r="H7" s="42">
        <f>F7+G7</f>
        <v>38613737511</v>
      </c>
      <c r="I7" s="43"/>
      <c r="J7" s="44">
        <f>VLOOKUP(C7,LOOKUP!$A$1:$E$18,3,FALSE)</f>
        <v>5930000000</v>
      </c>
      <c r="K7" s="44">
        <f>VLOOKUP(C7,LOOKUP!$A$1:$E$18,4,FALSE)</f>
        <v>2052000000</v>
      </c>
      <c r="L7" s="44">
        <f>VLOOKUP(C7,LOOKUP!$A$1:$E$18,5,FALSE)</f>
        <v>842000000</v>
      </c>
      <c r="M7" s="45"/>
      <c r="N7" s="46">
        <f>$H7/J7</f>
        <v>6.5115914858347388</v>
      </c>
      <c r="O7" s="46">
        <f>$H7/K7</f>
        <v>18.817610872807016</v>
      </c>
      <c r="P7" s="47" cm="1">
        <f t="array" ref="P7">_FV(B7,"P/E",TRUE)</f>
        <v>21.0016</v>
      </c>
      <c r="Q7" s="31"/>
    </row>
    <row r="8" spans="2:17" ht="15.75" x14ac:dyDescent="0.25">
      <c r="B8" t="e" vm="2">
        <v>#VALUE!</v>
      </c>
      <c r="C8" s="13" t="str" cm="1">
        <f t="array" ref="C8">_FV(B8,"Ticker symbol",TRUE)</f>
        <v>BH</v>
      </c>
      <c r="D8" s="28" cm="1">
        <f t="array" ref="D8">_FV(B8,"Price")</f>
        <v>121.42</v>
      </c>
      <c r="E8" s="29" cm="1">
        <f t="array" ref="E8">_FV(B8,"Shares outstanding",TRUE)</f>
        <v>2275500</v>
      </c>
      <c r="F8" s="16" cm="1">
        <f t="array" ref="F8">_FV(B8,"Market cap",TRUE)</f>
        <v>374713400</v>
      </c>
      <c r="G8" s="15">
        <f>VLOOKUP(C8,LOOKUP!$A$1:$E$18,2,FALSE)</f>
        <v>0</v>
      </c>
      <c r="H8" s="16">
        <f t="shared" ref="H8:H23" si="0">F8+G8</f>
        <v>374713400</v>
      </c>
      <c r="I8" s="15"/>
      <c r="J8" s="14">
        <f>VLOOKUP(C8,LOOKUP!$A$1:$E$18,3,FALSE)</f>
        <v>357190000</v>
      </c>
      <c r="K8" s="14">
        <f>VLOOKUP(C8,LOOKUP!$A$1:$E$18,4,FALSE)</f>
        <v>-15351000</v>
      </c>
      <c r="L8" s="14">
        <f>VLOOKUP(C8,LOOKUP!$A$1:$E$18,5,FALSE)</f>
        <v>-36527000</v>
      </c>
      <c r="M8" s="30"/>
      <c r="N8" s="17">
        <f>$H8/J8</f>
        <v>1.0490590442061647</v>
      </c>
      <c r="O8" s="17">
        <f t="shared" ref="O8:O23" si="1">$H8/K8</f>
        <v>-24.40970620806462</v>
      </c>
      <c r="P8" s="17" cm="1">
        <f t="array" ref="P8">_FV(B8,"P/E",TRUE)</f>
        <v>6.3273000000000001</v>
      </c>
    </row>
    <row r="9" spans="2:17" ht="15.75" x14ac:dyDescent="0.25">
      <c r="B9" t="e" vm="3">
        <v>#VALUE!</v>
      </c>
      <c r="C9" s="13" t="str" cm="1">
        <f t="array" ref="C9">_FV(B9,"Ticker symbol",TRUE)</f>
        <v>WING</v>
      </c>
      <c r="D9" s="28" cm="1">
        <f t="array" ref="D9">_FV(B9,"Price")</f>
        <v>129.76</v>
      </c>
      <c r="E9" s="29" cm="1">
        <f t="array" ref="E9">_FV(B9,"Shares outstanding",TRUE)</f>
        <v>29914370</v>
      </c>
      <c r="F9" s="16" cm="1">
        <f t="array" ref="F9">_FV(B9,"Market cap",TRUE)</f>
        <v>3881688651</v>
      </c>
      <c r="G9" s="15">
        <f>VLOOKUP(C9,LOOKUP!$A$1:$E$18,2,FALSE)</f>
        <v>420811000</v>
      </c>
      <c r="H9" s="16">
        <f t="shared" si="0"/>
        <v>4302499651</v>
      </c>
      <c r="I9" s="15"/>
      <c r="J9" s="14">
        <f>VLOOKUP(C9,LOOKUP!$A$1:$E$18,3,FALSE)</f>
        <v>297794000</v>
      </c>
      <c r="K9" s="14">
        <f>VLOOKUP(C9,LOOKUP!$A$1:$E$18,4,FALSE)</f>
        <v>82660000</v>
      </c>
      <c r="L9" s="14">
        <f>VLOOKUP(C9,LOOKUP!$A$1:$E$18,5,FALSE)</f>
        <v>40169000</v>
      </c>
      <c r="M9" s="30"/>
      <c r="N9" s="17">
        <f t="shared" ref="N9:N23" si="2">$H9/J9</f>
        <v>14.447905770431909</v>
      </c>
      <c r="O9" s="17">
        <f t="shared" si="1"/>
        <v>52.050564372126786</v>
      </c>
      <c r="P9" s="17" cm="1">
        <f t="array" ref="P9">_FV(B9,"P/E",TRUE)</f>
        <v>96.861000000000004</v>
      </c>
    </row>
    <row r="10" spans="2:17" ht="15.75" x14ac:dyDescent="0.25">
      <c r="B10" t="e" vm="4">
        <v>#VALUE!</v>
      </c>
      <c r="C10" s="13" t="str" cm="1">
        <f t="array" ref="C10">_FV(B10,"Ticker symbol",TRUE)</f>
        <v>PZZA</v>
      </c>
      <c r="D10" s="28" cm="1">
        <f t="array" ref="D10">_FV(B10,"Price")</f>
        <v>93.89</v>
      </c>
      <c r="E10" s="29" cm="1">
        <f t="array" ref="E10">_FV(B10,"Shares outstanding",TRUE)</f>
        <v>35794910</v>
      </c>
      <c r="F10" s="16" cm="1">
        <f t="array" ref="F10">_FV(B10,"Market cap",TRUE)</f>
        <v>3360784099</v>
      </c>
      <c r="G10" s="15">
        <f>VLOOKUP(C10,LOOKUP!$A$1:$E$18,2,FALSE)</f>
        <v>410120000</v>
      </c>
      <c r="H10" s="16">
        <f t="shared" si="0"/>
        <v>3770904099</v>
      </c>
      <c r="I10" s="15"/>
      <c r="J10" s="14">
        <f>VLOOKUP(C10,LOOKUP!$A$1:$E$18,3,FALSE)</f>
        <v>2068421000</v>
      </c>
      <c r="K10" s="14">
        <f>VLOOKUP(C10,LOOKUP!$A$1:$E$18,4,FALSE)</f>
        <v>185606000</v>
      </c>
      <c r="L10" s="14">
        <f>VLOOKUP(C10,LOOKUP!$A$1:$E$18,5,FALSE)</f>
        <v>-19822000</v>
      </c>
      <c r="M10" s="30"/>
      <c r="N10" s="17">
        <f t="shared" si="2"/>
        <v>1.8230834530301132</v>
      </c>
      <c r="O10" s="17">
        <f t="shared" si="1"/>
        <v>20.316714432723082</v>
      </c>
      <c r="P10" s="17" cm="1">
        <f t="array" ref="P10">_FV(B10,"P/E",TRUE)</f>
        <v>3191.7759999999998</v>
      </c>
    </row>
    <row r="11" spans="2:17" ht="15.75" x14ac:dyDescent="0.25">
      <c r="B11" t="e" vm="5">
        <v>#VALUE!</v>
      </c>
      <c r="C11" s="13" t="str" cm="1">
        <f t="array" ref="C11">_FV(B11,"Ticker symbol",TRUE)</f>
        <v>CAKE</v>
      </c>
      <c r="D11" s="28" cm="1">
        <f t="array" ref="D11">_FV(B11,"Price")</f>
        <v>29.96</v>
      </c>
      <c r="E11" s="29" cm="1">
        <f t="array" ref="E11">_FV(B11,"Shares outstanding",TRUE)</f>
        <v>52228500</v>
      </c>
      <c r="F11" s="16" cm="1">
        <f t="array" ref="F11">_FV(B11,"Market cap",TRUE)</f>
        <v>1564765860</v>
      </c>
      <c r="G11" s="15">
        <f>VLOOKUP(C11,LOOKUP!$A$1:$E$18,2,FALSE)</f>
        <v>276390000</v>
      </c>
      <c r="H11" s="16">
        <f t="shared" si="0"/>
        <v>1841155860</v>
      </c>
      <c r="I11" s="15"/>
      <c r="J11" s="14">
        <f>VLOOKUP(C11,LOOKUP!$A$1:$E$18,3,FALSE)</f>
        <v>3157520000</v>
      </c>
      <c r="K11" s="14">
        <f>VLOOKUP(C11,LOOKUP!$A$1:$E$18,4,FALSE)</f>
        <v>178157000</v>
      </c>
      <c r="L11" s="14">
        <f>VLOOKUP(C11,LOOKUP!$A$1:$E$18,5,FALSE)</f>
        <v>82151000</v>
      </c>
      <c r="M11" s="30"/>
      <c r="N11" s="17">
        <f>$H11/J11</f>
        <v>0.58310188375687244</v>
      </c>
      <c r="O11" s="17">
        <f t="shared" si="1"/>
        <v>10.334457023860976</v>
      </c>
      <c r="P11" s="17" cm="1">
        <f t="array" ref="P11">_FV(B11,"P/E",TRUE)</f>
        <v>18.686</v>
      </c>
    </row>
    <row r="12" spans="2:17" ht="15.75" x14ac:dyDescent="0.25">
      <c r="B12" t="e" vm="6">
        <v>#VALUE!</v>
      </c>
      <c r="C12" s="13" t="str" cm="1">
        <f t="array" ref="C12">_FV(B12,"Ticker symbol",TRUE)</f>
        <v>C9F</v>
      </c>
      <c r="D12" s="28" cm="1">
        <f t="array" ref="D12">_FV(B12,"Price")</f>
        <v>1547.2</v>
      </c>
      <c r="E12" s="29" cm="1">
        <f t="array" ref="E12">_FV(B12,"Shares outstanding",TRUE)</f>
        <v>27764650</v>
      </c>
      <c r="F12" s="16" cm="1">
        <f t="array" ref="F12">_FV(B12,"Market cap",TRUE)</f>
        <v>44007800000</v>
      </c>
      <c r="G12" s="15">
        <f>VLOOKUP(C12,LOOKUP!$A$1:$E$18,2,FALSE)</f>
        <v>2443995000</v>
      </c>
      <c r="H12" s="16">
        <f t="shared" si="0"/>
        <v>46451795000</v>
      </c>
      <c r="I12" s="15"/>
      <c r="J12" s="14">
        <f>VLOOKUP(C12,LOOKUP!$A$1:$E$18,3,FALSE)</f>
        <v>8146826000</v>
      </c>
      <c r="K12" s="14">
        <f>VLOOKUP(C12,LOOKUP!$A$1:$E$18,4,FALSE)</f>
        <v>1214994000</v>
      </c>
      <c r="L12" s="14">
        <f>VLOOKUP(C12,LOOKUP!$A$1:$E$18,5,FALSE)</f>
        <v>756145000</v>
      </c>
      <c r="M12" s="30"/>
      <c r="N12" s="17">
        <f t="shared" si="2"/>
        <v>5.7018273128700674</v>
      </c>
      <c r="O12" s="17">
        <f t="shared" si="1"/>
        <v>38.232118841739137</v>
      </c>
      <c r="P12" s="17" cm="1">
        <f t="array" ref="P12">_FV(B12,"P/E",TRUE)</f>
        <v>60.6</v>
      </c>
    </row>
    <row r="13" spans="2:17" ht="15.75" x14ac:dyDescent="0.25">
      <c r="B13" t="e" vm="7">
        <v>#VALUE!</v>
      </c>
      <c r="C13" s="13" t="str" cm="1">
        <f t="array" ref="C13">_FV(B13,"Ticker symbol",TRUE)</f>
        <v>DIN</v>
      </c>
      <c r="D13" s="28" cm="1">
        <f t="array" ref="D13">_FV(B13,"Price")</f>
        <v>72.05</v>
      </c>
      <c r="E13" s="29" cm="1">
        <f t="array" ref="E13">_FV(B13,"Shares outstanding",TRUE)</f>
        <v>16751010</v>
      </c>
      <c r="F13" s="16" cm="1">
        <f t="array" ref="F13">_FV(B13,"Market cap",TRUE)</f>
        <v>1206910270</v>
      </c>
      <c r="G13" s="15">
        <f>VLOOKUP(C13,LOOKUP!$A$1:$E$18,2,FALSE)</f>
        <v>918211000</v>
      </c>
      <c r="H13" s="16">
        <f t="shared" si="0"/>
        <v>2125121270</v>
      </c>
      <c r="I13" s="15"/>
      <c r="J13" s="14">
        <f>VLOOKUP(C13,LOOKUP!$A$1:$E$18,3,FALSE)</f>
        <v>922391000</v>
      </c>
      <c r="K13" s="14">
        <f>VLOOKUP(C13,LOOKUP!$A$1:$E$18,4,FALSE)</f>
        <v>234262000</v>
      </c>
      <c r="L13" s="14">
        <f>VLOOKUP(C13,LOOKUP!$A$1:$E$18,5,FALSE)</f>
        <v>94766000</v>
      </c>
      <c r="M13" s="30"/>
      <c r="N13" s="17">
        <f t="shared" si="2"/>
        <v>2.3039267187125634</v>
      </c>
      <c r="O13" s="17">
        <f t="shared" si="1"/>
        <v>9.0715577857270926</v>
      </c>
      <c r="P13" s="17" cm="1">
        <f t="array" ref="P13">_FV(B13,"P/E",TRUE)</f>
        <v>13.366899999999999</v>
      </c>
    </row>
    <row r="14" spans="2:17" ht="15.75" x14ac:dyDescent="0.25">
      <c r="B14" t="e" vm="8">
        <v>#VALUE!</v>
      </c>
      <c r="C14" s="13" t="str" cm="1">
        <f t="array" ref="C14">_FV(B14,"Ticker symbol",TRUE)</f>
        <v>CBRL</v>
      </c>
      <c r="D14" s="28" cm="1">
        <f t="array" ref="D14">_FV(B14,"Price")</f>
        <v>97.18</v>
      </c>
      <c r="E14" s="29" cm="1">
        <f t="array" ref="E14">_FV(B14,"Shares outstanding",TRUE)</f>
        <v>22788600</v>
      </c>
      <c r="F14" s="16" cm="1">
        <f t="array" ref="F14">_FV(B14,"Market cap",TRUE)</f>
        <v>2214596148</v>
      </c>
      <c r="G14" s="15">
        <f>VLOOKUP(C14,LOOKUP!$A$1:$E$18,2,FALSE)</f>
        <v>182784000</v>
      </c>
      <c r="H14" s="16">
        <f t="shared" si="0"/>
        <v>2397380148</v>
      </c>
      <c r="I14" s="15"/>
      <c r="J14" s="14">
        <f>VLOOKUP(C14,LOOKUP!$A$1:$E$18,3,FALSE)</f>
        <v>3221791000</v>
      </c>
      <c r="K14" s="14">
        <f>VLOOKUP(C14,LOOKUP!$A$1:$E$18,4,FALSE)</f>
        <v>300394000</v>
      </c>
      <c r="L14" s="14">
        <f>VLOOKUP(C14,LOOKUP!$A$1:$E$18,5,FALSE)</f>
        <v>134879000</v>
      </c>
      <c r="M14" s="30"/>
      <c r="N14" s="17">
        <f t="shared" si="2"/>
        <v>0.74411411168508446</v>
      </c>
      <c r="O14" s="17">
        <f t="shared" si="1"/>
        <v>7.9807857280771257</v>
      </c>
      <c r="P14" s="17" cm="1">
        <f t="array" ref="P14">_FV(B14,"P/E",TRUE)</f>
        <v>17.227599999999999</v>
      </c>
    </row>
    <row r="15" spans="2:17" ht="15.75" x14ac:dyDescent="0.25">
      <c r="B15" t="e" vm="9">
        <v>#VALUE!</v>
      </c>
      <c r="C15" s="13" t="str" cm="1">
        <f t="array" ref="C15">_FV(B15,"Ticker symbol",TRUE)</f>
        <v>DENN</v>
      </c>
      <c r="D15" s="28" cm="1">
        <f t="array" ref="D15">_FV(B15,"Price")</f>
        <v>9.7799999999999994</v>
      </c>
      <c r="E15" s="29" cm="1">
        <f t="array" ref="E15">_FV(B15,"Shares outstanding",TRUE)</f>
        <v>57929630</v>
      </c>
      <c r="F15" s="16" cm="1">
        <f t="array" ref="F15">_FV(B15,"Market cap",TRUE)</f>
        <v>566551781</v>
      </c>
      <c r="G15" s="15">
        <f>VLOOKUP(C15,LOOKUP!$A$1:$E$18,2,FALSE)</f>
        <v>139376000</v>
      </c>
      <c r="H15" s="16">
        <f t="shared" si="0"/>
        <v>705927781</v>
      </c>
      <c r="I15" s="15"/>
      <c r="J15" s="14">
        <f>VLOOKUP(C15,LOOKUP!$A$1:$E$18,3,FALSE)</f>
        <v>420705000</v>
      </c>
      <c r="K15" s="14">
        <f>VLOOKUP(C15,LOOKUP!$A$1:$E$18,4,FALSE)</f>
        <v>129608000</v>
      </c>
      <c r="L15" s="14">
        <f>VLOOKUP(C15,LOOKUP!$A$1:$E$18,5,FALSE)</f>
        <v>76747000</v>
      </c>
      <c r="M15" s="30"/>
      <c r="N15" s="17">
        <f t="shared" si="2"/>
        <v>1.6779638487776471</v>
      </c>
      <c r="O15" s="17">
        <f>$H15/K15</f>
        <v>5.4466374066415657</v>
      </c>
      <c r="P15" s="17" cm="1">
        <f t="array" ref="P15">_FV(B15,"P/E",TRUE)</f>
        <v>6.4686000000000003</v>
      </c>
    </row>
    <row r="16" spans="2:17" ht="15.75" x14ac:dyDescent="0.25">
      <c r="B16" t="e" vm="10">
        <v>#VALUE!</v>
      </c>
      <c r="C16" s="13" t="str" cm="1">
        <f t="array" ref="C16">_FV(B16,"Ticker symbol",TRUE)</f>
        <v>LKNCY</v>
      </c>
      <c r="D16" s="28" cm="1">
        <f t="array" ref="D16">_FV(B16,"Price")</f>
        <v>13.78</v>
      </c>
      <c r="E16" s="29" cm="1">
        <f t="array" ref="E16">_FV(B16,"Shares outstanding",TRUE)</f>
        <v>243807200</v>
      </c>
      <c r="F16" s="16" cm="1">
        <f t="array" ref="F16">_FV(B16,"Market cap",TRUE)</f>
        <v>3359663216</v>
      </c>
      <c r="G16" s="15">
        <f>VLOOKUP(C16,LOOKUP!$A$1:$E$18,2,FALSE)</f>
        <v>-2373118000</v>
      </c>
      <c r="H16" s="16">
        <f t="shared" si="0"/>
        <v>986545216</v>
      </c>
      <c r="I16" s="15"/>
      <c r="J16" s="14">
        <f>VLOOKUP(C16,LOOKUP!$A$1:$E$18,3,FALSE)</f>
        <v>9101218000</v>
      </c>
      <c r="K16" s="14">
        <f>VLOOKUP(C16,LOOKUP!$A$1:$E$18,4,FALSE)</f>
        <v>1487650000</v>
      </c>
      <c r="L16" s="14">
        <f>VLOOKUP(C16,LOOKUP!$A$1:$E$18,5,FALSE)</f>
        <v>938687000</v>
      </c>
      <c r="M16" s="30"/>
      <c r="N16" s="17">
        <f t="shared" si="2"/>
        <v>0.10839705366908034</v>
      </c>
      <c r="O16" s="17">
        <f t="shared" si="1"/>
        <v>0.66315680166705882</v>
      </c>
      <c r="P16" s="17" cm="1">
        <f t="array" ref="P16">_FV(B16,"P/E",TRUE)</f>
        <v>33.0396</v>
      </c>
    </row>
    <row r="17" spans="2:16" ht="15.75" x14ac:dyDescent="0.25">
      <c r="B17" t="e" vm="11">
        <v>#VALUE!</v>
      </c>
      <c r="C17" s="13" t="str" cm="1">
        <f t="array" ref="C17">_FV(B17,"Ticker symbol",TRUE)</f>
        <v>SHAK</v>
      </c>
      <c r="D17" s="28" cm="1">
        <f t="array" ref="D17">_FV(B17,"Price")</f>
        <v>50.97</v>
      </c>
      <c r="E17" s="29" cm="1">
        <f t="array" ref="E17">_FV(B17,"Shares outstanding",TRUE)</f>
        <v>42130380</v>
      </c>
      <c r="F17" s="16" cm="1">
        <f t="array" ref="F17">_FV(B17,"Market cap",TRUE)</f>
        <v>2147385468</v>
      </c>
      <c r="G17" s="15">
        <f>VLOOKUP(C17,LOOKUP!$A$1:$E$18,2,FALSE)</f>
        <v>303782000</v>
      </c>
      <c r="H17" s="16">
        <f t="shared" si="0"/>
        <v>2451167468</v>
      </c>
      <c r="I17" s="15"/>
      <c r="J17" s="14">
        <f>VLOOKUP(C17,LOOKUP!$A$1:$E$18,3,FALSE)</f>
        <v>788002000</v>
      </c>
      <c r="K17" s="14">
        <f>VLOOKUP(C17,LOOKUP!$A$1:$E$18,4,FALSE)</f>
        <v>42392000</v>
      </c>
      <c r="L17" s="14">
        <f>VLOOKUP(C17,LOOKUP!$A$1:$E$18,5,FALSE)</f>
        <v>-20126000</v>
      </c>
      <c r="M17" s="30"/>
      <c r="N17" s="17">
        <f t="shared" si="2"/>
        <v>3.1106107192621337</v>
      </c>
      <c r="O17" s="17">
        <f t="shared" si="1"/>
        <v>57.821463200603887</v>
      </c>
      <c r="P17" s="17" cm="1">
        <f t="array" ref="P17">_FV(B17,"P/E",TRUE)</f>
        <v>0</v>
      </c>
    </row>
    <row r="18" spans="2:16" ht="15.75" x14ac:dyDescent="0.25">
      <c r="B18" t="e" vm="12">
        <v>#VALUE!</v>
      </c>
      <c r="C18" s="13" t="str" cm="1">
        <f t="array" ref="C18">_FV(B18,"Ticker symbol",TRUE)</f>
        <v>NATH</v>
      </c>
      <c r="D18" s="28" cm="1">
        <f t="array" ref="D18">_FV(B18,"Price")</f>
        <v>54.34</v>
      </c>
      <c r="E18" s="29" cm="1">
        <f t="array" ref="E18">_FV(B18,"Shares outstanding",TRUE)</f>
        <v>4083590</v>
      </c>
      <c r="F18" s="16" cm="1">
        <f t="array" ref="F18">_FV(B18,"Market cap",TRUE)</f>
        <v>221861700</v>
      </c>
      <c r="G18" s="15">
        <f>VLOOKUP(C18,LOOKUP!$A$1:$E$18,2,FALSE)</f>
        <v>58120000</v>
      </c>
      <c r="H18" s="16">
        <f t="shared" si="0"/>
        <v>279981700</v>
      </c>
      <c r="I18" s="15"/>
      <c r="J18" s="14">
        <f>VLOOKUP(C18,LOOKUP!$A$1:$E$18,3,FALSE)</f>
        <v>114882000</v>
      </c>
      <c r="K18" s="14">
        <f>VLOOKUP(C18,LOOKUP!$A$1:$E$18,4,FALSE)</f>
        <v>29725000</v>
      </c>
      <c r="L18" s="14">
        <f>VLOOKUP(C18,LOOKUP!$A$1:$E$18,5,FALSE)</f>
        <v>13596000</v>
      </c>
      <c r="M18" s="30"/>
      <c r="N18" s="17">
        <f t="shared" si="2"/>
        <v>2.4371241795929737</v>
      </c>
      <c r="O18" s="17">
        <f t="shared" si="1"/>
        <v>9.419064760302776</v>
      </c>
      <c r="P18" s="27">
        <v>29.13</v>
      </c>
    </row>
    <row r="19" spans="2:16" ht="15.75" x14ac:dyDescent="0.25">
      <c r="B19" t="e" vm="13">
        <v>#VALUE!</v>
      </c>
      <c r="C19" s="13" t="str" cm="1">
        <f t="array" ref="C19">_FV(B19,"Ticker symbol",TRUE)</f>
        <v>FAT</v>
      </c>
      <c r="D19" s="28" cm="1">
        <f t="array" ref="D19">_FV(B19,"Price")</f>
        <v>8.89</v>
      </c>
      <c r="E19" s="29" cm="1">
        <f t="array" ref="E19">_FV(B19,"Shares outstanding",TRUE)</f>
        <v>15136420</v>
      </c>
      <c r="F19" s="16" cm="1">
        <f t="array" ref="F19">_FV(B19,"Market cap",TRUE)</f>
        <v>134562773</v>
      </c>
      <c r="G19" s="15">
        <f>VLOOKUP(C19,LOOKUP!$A$1:$E$18,2,FALSE)</f>
        <v>848240000</v>
      </c>
      <c r="H19" s="16">
        <f t="shared" si="0"/>
        <v>982802773</v>
      </c>
      <c r="I19" s="15"/>
      <c r="J19" s="14">
        <f>VLOOKUP(C19,LOOKUP!$A$1:$E$18,3,FALSE)</f>
        <v>304138000</v>
      </c>
      <c r="K19" s="14">
        <f>VLOOKUP(C19,LOOKUP!$A$1:$E$18,4,FALSE)</f>
        <v>34502000</v>
      </c>
      <c r="L19" s="14">
        <f>VLOOKUP(C19,LOOKUP!$A$1:$E$18,5,FALSE)</f>
        <v>-55168000</v>
      </c>
      <c r="M19" s="30"/>
      <c r="N19" s="17">
        <f t="shared" si="2"/>
        <v>3.2314369562501235</v>
      </c>
      <c r="O19" s="17">
        <f t="shared" si="1"/>
        <v>28.485385571850909</v>
      </c>
      <c r="P19" s="17" cm="1">
        <f t="array" ref="P19">_FV(B19,"P/E",TRUE)</f>
        <v>69.865399999999994</v>
      </c>
    </row>
    <row r="20" spans="2:16" ht="15.75" x14ac:dyDescent="0.25">
      <c r="B20" t="e" vm="14">
        <v>#VALUE!</v>
      </c>
      <c r="C20" s="13" t="str" cm="1">
        <f t="array" ref="C20">_FV(B20,"Ticker symbol",TRUE)</f>
        <v>JACK</v>
      </c>
      <c r="D20" s="28" cm="1">
        <f t="array" ref="D20">_FV(B20,"Price")</f>
        <v>73.81</v>
      </c>
      <c r="E20" s="29" cm="1">
        <f t="array" ref="E20">_FV(B20,"Shares outstanding",TRUE)</f>
        <v>21045960</v>
      </c>
      <c r="F20" s="16" cm="1">
        <f t="array" ref="F20">_FV(B20,"Market cap",TRUE)</f>
        <v>1553402307</v>
      </c>
      <c r="G20" s="15">
        <f>VLOOKUP(C20,LOOKUP!$A$1:$E$18,2,FALSE)</f>
        <v>1218968000</v>
      </c>
      <c r="H20" s="16">
        <f>F20+G20</f>
        <v>2772370307</v>
      </c>
      <c r="I20" s="15"/>
      <c r="J20" s="14">
        <f>VLOOKUP(C20,LOOKUP!$A$1:$E$18,3,FALSE)</f>
        <v>1214917000</v>
      </c>
      <c r="K20" s="14">
        <f>VLOOKUP(C20,LOOKUP!$A$1:$E$18,4,FALSE)</f>
        <v>294127000</v>
      </c>
      <c r="L20" s="14">
        <f>VLOOKUP(C20,LOOKUP!$A$1:$E$18,5,FALSE)</f>
        <v>126028000</v>
      </c>
      <c r="M20" s="30"/>
      <c r="N20" s="17">
        <f t="shared" si="2"/>
        <v>2.281942146665163</v>
      </c>
      <c r="O20" s="17">
        <f t="shared" si="1"/>
        <v>9.4257593046541128</v>
      </c>
      <c r="P20" s="17" cm="1">
        <f t="array" ref="P20">_FV(B20,"P/E",TRUE)</f>
        <v>12.7133</v>
      </c>
    </row>
    <row r="21" spans="2:16" ht="15.75" x14ac:dyDescent="0.25">
      <c r="B21" t="e" vm="15">
        <v>#VALUE!</v>
      </c>
      <c r="C21" s="13" t="str" cm="1">
        <f t="array" ref="C21">_FV(B21,"Ticker symbol",TRUE)</f>
        <v>WEN</v>
      </c>
      <c r="D21" s="28" cm="1">
        <f t="array" ref="D21">_FV(B21,"Price")</f>
        <v>21.28</v>
      </c>
      <c r="E21" s="29" cm="1">
        <f t="array" ref="E21">_FV(B21,"Shares outstanding",TRUE)</f>
        <v>214246800</v>
      </c>
      <c r="F21" s="16" cm="1">
        <f t="array" ref="F21">_FV(B21,"Market cap",TRUE)</f>
        <v>4559171904</v>
      </c>
      <c r="G21" s="15">
        <f>VLOOKUP(C21,LOOKUP!$A$1:$E$18,2,FALSE)</f>
        <v>2131228000</v>
      </c>
      <c r="H21" s="16">
        <f t="shared" si="0"/>
        <v>6690399904</v>
      </c>
      <c r="I21" s="15"/>
      <c r="J21" s="14">
        <f>VLOOKUP(C21,LOOKUP!$A$1:$E$18,3,FALSE)</f>
        <v>1925438000</v>
      </c>
      <c r="K21" s="14">
        <f>VLOOKUP(C21,LOOKUP!$A$1:$E$18,4,FALSE)</f>
        <v>470940000</v>
      </c>
      <c r="L21" s="14">
        <f>VLOOKUP(C21,LOOKUP!$A$1:$E$18,5,FALSE)</f>
        <v>196428000</v>
      </c>
      <c r="M21" s="30"/>
      <c r="N21" s="17">
        <f t="shared" si="2"/>
        <v>3.4747418010862985</v>
      </c>
      <c r="O21" s="17">
        <f t="shared" si="1"/>
        <v>14.206480451862234</v>
      </c>
      <c r="P21" s="17" cm="1">
        <f t="array" ref="P21">_FV(B21,"P/E",TRUE)</f>
        <v>24.2957</v>
      </c>
    </row>
    <row r="22" spans="2:16" ht="15.75" x14ac:dyDescent="0.25">
      <c r="B22" t="e" vm="16">
        <v>#VALUE!</v>
      </c>
      <c r="C22" s="13" t="str" cm="1">
        <f t="array" ref="C22">_FV(B22,"Ticker symbol",TRUE)</f>
        <v>BFI</v>
      </c>
      <c r="D22" s="28" cm="1">
        <f t="array" ref="D22">_FV(B22,"Price")</f>
        <v>3.0049999999999999</v>
      </c>
      <c r="E22" s="29" cm="1">
        <f t="array" ref="E22">_FV(B22,"Shares outstanding",TRUE)</f>
        <v>22235700</v>
      </c>
      <c r="F22" s="16" cm="1">
        <f t="array" ref="F22">_FV(B22,"Market cap",TRUE)</f>
        <v>66818278</v>
      </c>
      <c r="G22" s="15">
        <f>VLOOKUP(C22,LOOKUP!$A$1:$E$18,2,FALSE)</f>
        <v>53963000</v>
      </c>
      <c r="H22" s="16">
        <f t="shared" si="0"/>
        <v>120781278</v>
      </c>
      <c r="I22" s="15"/>
      <c r="J22" s="14">
        <f>VLOOKUP(C22,LOOKUP!$A$1:$E$18,3,FALSE)</f>
        <v>102870000</v>
      </c>
      <c r="K22" s="14">
        <f>VLOOKUP(C22,LOOKUP!$A$1:$E$18,4,FALSE)</f>
        <v>-111692000</v>
      </c>
      <c r="L22" s="14">
        <f>VLOOKUP(C22,LOOKUP!$A$1:$E$18,5,FALSE)</f>
        <v>-126844000</v>
      </c>
      <c r="M22" s="30"/>
      <c r="N22" s="17">
        <f>$H22/J22</f>
        <v>1.1741156605424321</v>
      </c>
      <c r="O22" s="17">
        <f t="shared" si="1"/>
        <v>-1.08137805751531</v>
      </c>
      <c r="P22" s="17" cm="1">
        <f t="array" ref="P22">_FV(B22,"P/E",TRUE)</f>
        <v>32.9544</v>
      </c>
    </row>
    <row r="23" spans="2:16" ht="15.75" x14ac:dyDescent="0.25">
      <c r="B23" t="e" vm="17">
        <v>#VALUE!</v>
      </c>
      <c r="C23" s="13" t="str" cm="1">
        <f t="array" ref="C23">_FV(B23,"Ticker symbol",TRUE)</f>
        <v>YUM</v>
      </c>
      <c r="D23" s="28" cm="1">
        <f t="array" ref="D23">_FV(B23,"Price")</f>
        <v>119.97</v>
      </c>
      <c r="E23" s="29" cm="1">
        <f t="array" ref="E23">_FV(B23,"Shares outstanding",TRUE)</f>
        <v>285163800</v>
      </c>
      <c r="F23" s="16" cm="1">
        <f t="array" ref="F23">_FV(B23,"Market cap",TRUE)</f>
        <v>34211101086</v>
      </c>
      <c r="G23" s="15">
        <f>VLOOKUP(C23,LOOKUP!$A$1:$E$18,2,FALSE)</f>
        <v>10760000000</v>
      </c>
      <c r="H23" s="16">
        <f t="shared" si="0"/>
        <v>44971101086</v>
      </c>
      <c r="I23" s="15"/>
      <c r="J23" s="14">
        <f>VLOOKUP(C23,LOOKUP!$A$1:$E$18,3,FALSE)</f>
        <v>6645000000</v>
      </c>
      <c r="K23" s="14">
        <f>VLOOKUP(C23,LOOKUP!$A$1:$E$18,4,FALSE)</f>
        <v>2356000000</v>
      </c>
      <c r="L23" s="14">
        <f>VLOOKUP(C23,LOOKUP!$A$1:$E$18,5,FALSE)</f>
        <v>1648000000</v>
      </c>
      <c r="M23" s="30"/>
      <c r="N23" s="17">
        <f t="shared" si="2"/>
        <v>6.7676600580887882</v>
      </c>
      <c r="O23" s="17">
        <f t="shared" si="1"/>
        <v>19.087903686757215</v>
      </c>
      <c r="P23" s="17" cm="1">
        <f t="array" ref="P23">_FV(B23,"P/E",TRUE)</f>
        <v>23.9968</v>
      </c>
    </row>
    <row r="24" spans="2:16" ht="15.75" x14ac:dyDescent="0.25">
      <c r="B24" s="1"/>
      <c r="C24" s="1"/>
      <c r="D24" s="1"/>
      <c r="E24" s="16"/>
      <c r="F24" s="1"/>
      <c r="G24" s="1"/>
      <c r="H24" s="1"/>
      <c r="I24" s="1"/>
      <c r="J24" s="1"/>
      <c r="K24" s="1"/>
      <c r="L24" s="1"/>
      <c r="M24" s="1"/>
      <c r="N24" s="1"/>
      <c r="O24" s="1"/>
      <c r="P24" s="1"/>
    </row>
    <row r="25" spans="2:16" ht="15.75" x14ac:dyDescent="0.25">
      <c r="B25" s="2" t="s">
        <v>17</v>
      </c>
      <c r="C25" s="2"/>
      <c r="D25" s="2"/>
      <c r="E25" s="2"/>
      <c r="F25" s="2"/>
      <c r="G25" s="2"/>
      <c r="H25" s="2"/>
      <c r="I25" s="2"/>
      <c r="J25" s="2"/>
      <c r="K25" s="2"/>
      <c r="L25" s="2"/>
      <c r="M25" s="2"/>
      <c r="N25" s="18">
        <f t="shared" ref="N25:O25" si="3">MAX(N8:N23)</f>
        <v>14.447905770431909</v>
      </c>
      <c r="O25" s="18">
        <f t="shared" si="3"/>
        <v>57.821463200603887</v>
      </c>
      <c r="P25" s="18">
        <f>MAX(P8:P23)</f>
        <v>3191.7759999999998</v>
      </c>
    </row>
    <row r="26" spans="2:16" ht="15.75" x14ac:dyDescent="0.25">
      <c r="B26" s="2" t="s">
        <v>18</v>
      </c>
      <c r="C26" s="19"/>
      <c r="D26" s="19"/>
      <c r="E26" s="19"/>
      <c r="F26" s="19"/>
      <c r="G26" s="19"/>
      <c r="H26" s="19"/>
      <c r="I26" s="19"/>
      <c r="J26" s="19"/>
      <c r="K26" s="19"/>
      <c r="L26" s="19"/>
      <c r="M26" s="19"/>
      <c r="N26" s="18">
        <f t="shared" ref="N26:O26" si="4">QUARTILE(N8:N23,3)</f>
        <v>3.2922631674591671</v>
      </c>
      <c r="O26" s="18">
        <f t="shared" si="4"/>
        <v>22.358882217505037</v>
      </c>
      <c r="P26" s="18">
        <f>QUARTILE(P8:P23,3)</f>
        <v>39.929699999999997</v>
      </c>
    </row>
    <row r="27" spans="2:16" ht="15.75" x14ac:dyDescent="0.25">
      <c r="B27" s="19" t="s">
        <v>19</v>
      </c>
      <c r="C27" s="19"/>
      <c r="D27" s="19"/>
      <c r="E27" s="19"/>
      <c r="F27" s="19"/>
      <c r="G27" s="19"/>
      <c r="H27" s="19"/>
      <c r="I27" s="19"/>
      <c r="J27" s="19"/>
      <c r="K27" s="19"/>
      <c r="L27" s="19"/>
      <c r="M27" s="19"/>
      <c r="N27" s="20">
        <f t="shared" ref="N27" si="5">AVERAGE(N8:N23)</f>
        <v>3.1823131699142131</v>
      </c>
      <c r="O27" s="20">
        <f>AVERAGE(O8:O23)</f>
        <v>16.065685318938378</v>
      </c>
      <c r="P27" s="20">
        <f>AVERAGE(P8:P23)</f>
        <v>227.33178750000002</v>
      </c>
    </row>
    <row r="28" spans="2:16" ht="15.75" x14ac:dyDescent="0.25">
      <c r="B28" s="19" t="s">
        <v>20</v>
      </c>
      <c r="C28" s="19"/>
      <c r="D28" s="19"/>
      <c r="E28" s="19"/>
      <c r="F28" s="19"/>
      <c r="G28" s="19"/>
      <c r="H28" s="19"/>
      <c r="I28" s="19"/>
      <c r="J28" s="19"/>
      <c r="K28" s="19"/>
      <c r="L28" s="19"/>
      <c r="M28" s="19"/>
      <c r="N28" s="20">
        <f t="shared" ref="N28:O28" si="6">MEDIAN(N8:N23)</f>
        <v>2.2929344326888632</v>
      </c>
      <c r="O28" s="20">
        <f t="shared" si="6"/>
        <v>9.8801081642575443</v>
      </c>
      <c r="P28" s="20">
        <f>MEDIAN(P8:P23)</f>
        <v>24.146250000000002</v>
      </c>
    </row>
    <row r="29" spans="2:16" ht="15.75" x14ac:dyDescent="0.25">
      <c r="B29" s="2" t="s">
        <v>21</v>
      </c>
      <c r="C29" s="19"/>
      <c r="D29" s="19"/>
      <c r="E29" s="19"/>
      <c r="F29" s="19"/>
      <c r="G29" s="19"/>
      <c r="H29" s="19"/>
      <c r="I29" s="19"/>
      <c r="J29" s="19"/>
      <c r="K29" s="19"/>
      <c r="L29" s="19"/>
      <c r="M29" s="19"/>
      <c r="N29" s="18">
        <f t="shared" ref="N29:O29" si="7">QUARTILE(N8:N23,1)</f>
        <v>1.1428515064583653</v>
      </c>
      <c r="O29" s="18">
        <f t="shared" si="7"/>
        <v>7.3472486477182359</v>
      </c>
      <c r="P29" s="18">
        <f>QUARTILE(P8:P23,1)</f>
        <v>13.2035</v>
      </c>
    </row>
    <row r="30" spans="2:16" ht="15.75" x14ac:dyDescent="0.25">
      <c r="B30" s="2" t="s">
        <v>22</v>
      </c>
      <c r="C30" s="2"/>
      <c r="D30" s="2"/>
      <c r="E30" s="2"/>
      <c r="F30" s="2"/>
      <c r="G30" s="2"/>
      <c r="H30" s="2"/>
      <c r="I30" s="2"/>
      <c r="J30" s="2"/>
      <c r="K30" s="2"/>
      <c r="L30" s="2"/>
      <c r="M30" s="2"/>
      <c r="N30" s="18">
        <f t="shared" ref="N30:O30" si="8">MIN(N8:N23)</f>
        <v>0.10839705366908034</v>
      </c>
      <c r="O30" s="18">
        <f t="shared" si="8"/>
        <v>-24.40970620806462</v>
      </c>
      <c r="P30" s="18">
        <f>MIN(P8:P23)</f>
        <v>0</v>
      </c>
    </row>
    <row r="31" spans="2:16" ht="15.75" x14ac:dyDescent="0.25">
      <c r="B31" s="1"/>
      <c r="C31" s="1"/>
      <c r="D31" s="1"/>
      <c r="E31" s="1"/>
      <c r="F31" s="1"/>
      <c r="G31" s="1"/>
      <c r="H31" s="1"/>
      <c r="I31" s="1"/>
      <c r="J31" s="1"/>
      <c r="K31" s="1"/>
      <c r="L31" s="1"/>
      <c r="M31" s="1"/>
      <c r="N31" s="1"/>
      <c r="O31" s="1"/>
      <c r="P31" s="1"/>
    </row>
    <row r="32" spans="2:16" ht="15.75" x14ac:dyDescent="0.25">
      <c r="B32" s="5" t="s">
        <v>23</v>
      </c>
      <c r="C32" s="21"/>
      <c r="D32" s="21"/>
      <c r="E32" s="21"/>
      <c r="F32" s="21"/>
      <c r="G32" s="21"/>
      <c r="H32" s="21"/>
      <c r="I32" s="21"/>
      <c r="J32" s="21"/>
      <c r="K32" s="21"/>
      <c r="L32" s="21"/>
      <c r="M32" s="21"/>
      <c r="N32" s="8" t="s">
        <v>14</v>
      </c>
      <c r="O32" s="8" t="s">
        <v>15</v>
      </c>
      <c r="P32" s="8" t="s">
        <v>16</v>
      </c>
    </row>
    <row r="33" spans="2:16" ht="15.75" x14ac:dyDescent="0.25">
      <c r="B33" s="12" t="s">
        <v>24</v>
      </c>
      <c r="C33" s="1"/>
      <c r="D33" s="1"/>
      <c r="E33" s="1"/>
      <c r="F33" s="1"/>
      <c r="G33" s="1"/>
      <c r="H33" s="1"/>
      <c r="I33" s="1"/>
      <c r="J33" s="22"/>
      <c r="K33" s="1"/>
      <c r="L33" s="1"/>
      <c r="M33" s="1"/>
      <c r="N33" s="16">
        <f>AVERAGE(N27:N28)*$J$7</f>
        <v>16234109141.718121</v>
      </c>
      <c r="O33" s="16">
        <f>AVERAGE(O27:O28)*$K$7</f>
        <v>26620384113.759014</v>
      </c>
      <c r="P33" s="16">
        <f>P35+P34</f>
        <v>117763253787.50002</v>
      </c>
    </row>
    <row r="34" spans="2:16" ht="15.75" x14ac:dyDescent="0.25">
      <c r="B34" s="12" t="s">
        <v>9</v>
      </c>
      <c r="C34" s="1"/>
      <c r="D34" s="1"/>
      <c r="E34" s="1"/>
      <c r="F34" s="1"/>
      <c r="G34" s="15"/>
      <c r="H34" s="1"/>
      <c r="I34" s="1"/>
      <c r="J34" s="22"/>
      <c r="K34" s="1"/>
      <c r="L34" s="1"/>
      <c r="M34" s="1"/>
      <c r="N34" s="16">
        <f>$G$7</f>
        <v>11891000000</v>
      </c>
      <c r="O34" s="16">
        <f>$G$7</f>
        <v>11891000000</v>
      </c>
      <c r="P34" s="16">
        <f>$G$7</f>
        <v>11891000000</v>
      </c>
    </row>
    <row r="35" spans="2:16" ht="15.75" x14ac:dyDescent="0.25">
      <c r="B35" s="12" t="s">
        <v>25</v>
      </c>
      <c r="C35" s="1"/>
      <c r="D35" s="1"/>
      <c r="E35" s="1"/>
      <c r="F35" s="1"/>
      <c r="G35" s="15"/>
      <c r="H35" s="1"/>
      <c r="I35" s="1"/>
      <c r="J35" s="22"/>
      <c r="K35" s="1"/>
      <c r="L35" s="1"/>
      <c r="M35" s="1"/>
      <c r="N35" s="16">
        <f>N33-N34</f>
        <v>4343109141.7181206</v>
      </c>
      <c r="O35" s="16">
        <f>O33-O34</f>
        <v>14729384113.759014</v>
      </c>
      <c r="P35" s="16">
        <f>AVERAGE(P27:P28)*$L$7</f>
        <v>105872253787.50002</v>
      </c>
    </row>
    <row r="36" spans="2:16" ht="15.75" x14ac:dyDescent="0.25">
      <c r="B36" s="12" t="s">
        <v>7</v>
      </c>
      <c r="C36" s="1"/>
      <c r="D36" s="1"/>
      <c r="E36" s="1"/>
      <c r="F36" s="1"/>
      <c r="G36" s="15"/>
      <c r="H36" s="1"/>
      <c r="I36" s="1"/>
      <c r="J36" s="1"/>
      <c r="K36" s="1"/>
      <c r="L36" s="1"/>
      <c r="M36" s="1"/>
      <c r="N36" s="16">
        <f>$E$7</f>
        <v>452237900</v>
      </c>
      <c r="O36" s="16">
        <f t="shared" ref="O36:P36" si="9">$E$7</f>
        <v>452237900</v>
      </c>
      <c r="P36" s="16">
        <f t="shared" si="9"/>
        <v>452237900</v>
      </c>
    </row>
    <row r="37" spans="2:16" ht="15.75" x14ac:dyDescent="0.25">
      <c r="B37" s="23" t="s">
        <v>26</v>
      </c>
      <c r="C37" s="23"/>
      <c r="D37" s="24"/>
      <c r="E37" s="24"/>
      <c r="F37" s="23"/>
      <c r="G37" s="25"/>
      <c r="H37" s="23"/>
      <c r="I37" s="23"/>
      <c r="J37" s="23"/>
      <c r="K37" s="23"/>
      <c r="L37" s="23"/>
      <c r="M37" s="23"/>
      <c r="N37" s="26">
        <f>IF(N35&lt;0,0,N35/N36)</f>
        <v>9.6035939086885911</v>
      </c>
      <c r="O37" s="26">
        <f t="shared" ref="O37:P37" si="10">IF(O35&lt;0,0,O35/O36)</f>
        <v>32.569990515520736</v>
      </c>
      <c r="P37" s="26">
        <f t="shared" si="10"/>
        <v>234.10743280804201</v>
      </c>
    </row>
    <row r="38" spans="2:16" ht="15.75" x14ac:dyDescent="0.25">
      <c r="B38" s="1"/>
      <c r="C38" s="1"/>
      <c r="D38" s="22"/>
      <c r="E38" s="22"/>
      <c r="F38" s="1"/>
      <c r="G38" s="15"/>
      <c r="H38" s="1"/>
      <c r="I38" s="1"/>
      <c r="J38" s="1"/>
      <c r="K38" s="1"/>
      <c r="L38" s="1"/>
      <c r="M38" s="1"/>
      <c r="N38" s="1"/>
      <c r="O38" s="1"/>
      <c r="P38" s="1"/>
    </row>
    <row r="39" spans="2:16" ht="15.75" x14ac:dyDescent="0.25">
      <c r="B39" s="1"/>
      <c r="C39" s="1"/>
      <c r="D39" s="22"/>
      <c r="E39" s="22"/>
      <c r="F39" s="1"/>
      <c r="G39" s="15"/>
      <c r="H39" s="1"/>
      <c r="I39" s="1"/>
      <c r="J39" s="1"/>
      <c r="K39" s="1"/>
      <c r="L39" s="1"/>
      <c r="M39" s="1"/>
      <c r="N39" s="1"/>
      <c r="O39" s="1"/>
      <c r="P39" s="1"/>
    </row>
    <row r="40" spans="2:16" ht="15.75" x14ac:dyDescent="0.25">
      <c r="B40" s="1"/>
      <c r="C40" s="1"/>
      <c r="D40" s="22"/>
      <c r="E40" s="22"/>
      <c r="F40" s="1"/>
      <c r="G40" s="1"/>
      <c r="H40" s="1"/>
      <c r="I40" s="1"/>
      <c r="J40" s="1"/>
      <c r="K40" s="1"/>
      <c r="L40" s="1"/>
      <c r="M40" s="1"/>
      <c r="N40" s="1"/>
      <c r="O40" s="1"/>
      <c r="P40" s="1"/>
    </row>
    <row r="41" spans="2:16" ht="15.75" x14ac:dyDescent="0.25">
      <c r="B41" s="1"/>
      <c r="C41" s="1"/>
      <c r="D41" s="22"/>
      <c r="E41" s="22"/>
      <c r="F41" s="1"/>
      <c r="G41" s="1"/>
      <c r="H41" s="1"/>
      <c r="I41" s="1"/>
      <c r="J41" s="1"/>
      <c r="K41" s="1"/>
      <c r="L41" s="1"/>
      <c r="M41" s="1"/>
      <c r="N41" s="1"/>
      <c r="O41" s="1"/>
      <c r="P41" s="1"/>
    </row>
    <row r="42" spans="2:16" x14ac:dyDescent="0.25">
      <c r="N42" s="32"/>
    </row>
  </sheetData>
  <mergeCells count="3">
    <mergeCell ref="D4:H4"/>
    <mergeCell ref="J4:L4"/>
    <mergeCell ref="N4:P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5533C70-0282-436B-B5D8-6445683F654E}">
  <dimension ref="A1:E21"/>
  <sheetViews>
    <sheetView workbookViewId="0">
      <selection activeCell="A2" sqref="A2:A18"/>
    </sheetView>
  </sheetViews>
  <sheetFormatPr defaultRowHeight="15" x14ac:dyDescent="0.25"/>
  <cols>
    <col min="1" max="1" width="6.5703125" bestFit="1" customWidth="1"/>
    <col min="2" max="2" width="12" bestFit="1" customWidth="1"/>
    <col min="3" max="4" width="11" bestFit="1" customWidth="1"/>
    <col min="5" max="5" width="11.28515625" bestFit="1" customWidth="1"/>
  </cols>
  <sheetData>
    <row r="1" spans="1:5" x14ac:dyDescent="0.25">
      <c r="A1" t="s">
        <v>5</v>
      </c>
      <c r="B1" t="s">
        <v>9</v>
      </c>
      <c r="C1" t="s">
        <v>11</v>
      </c>
      <c r="D1" t="s">
        <v>12</v>
      </c>
      <c r="E1" t="s">
        <v>13</v>
      </c>
    </row>
    <row r="2" spans="1:5" x14ac:dyDescent="0.25">
      <c r="A2" t="s">
        <v>27</v>
      </c>
      <c r="B2">
        <v>53963000</v>
      </c>
      <c r="C2">
        <v>102870000</v>
      </c>
      <c r="D2">
        <v>-111692000</v>
      </c>
      <c r="E2">
        <v>-126844000</v>
      </c>
    </row>
    <row r="3" spans="1:5" x14ac:dyDescent="0.25">
      <c r="A3" t="s">
        <v>42</v>
      </c>
      <c r="B3">
        <v>0</v>
      </c>
      <c r="C3">
        <v>357190000</v>
      </c>
      <c r="D3">
        <v>-15351000</v>
      </c>
      <c r="E3">
        <v>-36527000</v>
      </c>
    </row>
    <row r="4" spans="1:5" x14ac:dyDescent="0.25">
      <c r="A4" t="s">
        <v>28</v>
      </c>
      <c r="B4">
        <v>276390000</v>
      </c>
      <c r="C4">
        <v>3157520000</v>
      </c>
      <c r="D4">
        <v>178157000</v>
      </c>
      <c r="E4">
        <v>82151000</v>
      </c>
    </row>
    <row r="5" spans="1:5" x14ac:dyDescent="0.25">
      <c r="A5" t="s">
        <v>29</v>
      </c>
      <c r="B5">
        <v>182784000</v>
      </c>
      <c r="C5">
        <v>3221791000</v>
      </c>
      <c r="D5">
        <v>300394000</v>
      </c>
      <c r="E5">
        <v>134879000</v>
      </c>
    </row>
    <row r="6" spans="1:5" x14ac:dyDescent="0.25">
      <c r="A6" t="s">
        <v>43</v>
      </c>
      <c r="B6">
        <f>3520314000-1076319000</f>
        <v>2443995000</v>
      </c>
      <c r="C6">
        <v>8146826000</v>
      </c>
      <c r="D6">
        <v>1214994000</v>
      </c>
      <c r="E6">
        <v>756145000</v>
      </c>
    </row>
    <row r="7" spans="1:5" x14ac:dyDescent="0.25">
      <c r="A7" t="s">
        <v>30</v>
      </c>
      <c r="B7">
        <v>139376000</v>
      </c>
      <c r="C7">
        <v>420705000</v>
      </c>
      <c r="D7">
        <v>129608000</v>
      </c>
      <c r="E7">
        <v>76747000</v>
      </c>
    </row>
    <row r="8" spans="1:5" x14ac:dyDescent="0.25">
      <c r="A8" t="s">
        <v>31</v>
      </c>
      <c r="B8">
        <v>918211000</v>
      </c>
      <c r="C8">
        <v>922391000</v>
      </c>
      <c r="D8">
        <v>234262000</v>
      </c>
      <c r="E8">
        <v>94766000</v>
      </c>
    </row>
    <row r="9" spans="1:5" x14ac:dyDescent="0.25">
      <c r="A9" t="s">
        <v>32</v>
      </c>
      <c r="B9">
        <v>848240000</v>
      </c>
      <c r="C9">
        <v>304138000</v>
      </c>
      <c r="D9">
        <v>34502000</v>
      </c>
      <c r="E9">
        <v>-55168000</v>
      </c>
    </row>
    <row r="10" spans="1:5" x14ac:dyDescent="0.25">
      <c r="A10" t="s">
        <v>33</v>
      </c>
      <c r="B10">
        <v>1218968000</v>
      </c>
      <c r="C10">
        <v>1214917000</v>
      </c>
      <c r="D10">
        <v>294127000</v>
      </c>
      <c r="E10">
        <v>126028000</v>
      </c>
    </row>
    <row r="11" spans="1:5" x14ac:dyDescent="0.25">
      <c r="A11" t="s">
        <v>34</v>
      </c>
      <c r="B11">
        <f>4104518000-6477636000</f>
        <v>-2373118000</v>
      </c>
      <c r="C11">
        <v>9101218000</v>
      </c>
      <c r="D11">
        <v>1487650000</v>
      </c>
      <c r="E11">
        <v>938687000</v>
      </c>
    </row>
    <row r="12" spans="1:5" x14ac:dyDescent="0.25">
      <c r="A12" t="s">
        <v>35</v>
      </c>
      <c r="B12">
        <v>58120000</v>
      </c>
      <c r="C12">
        <v>114882000</v>
      </c>
      <c r="D12">
        <v>29725000</v>
      </c>
      <c r="E12">
        <v>13596000</v>
      </c>
    </row>
    <row r="13" spans="1:5" x14ac:dyDescent="0.25">
      <c r="A13" t="s">
        <v>36</v>
      </c>
      <c r="B13">
        <v>410120000</v>
      </c>
      <c r="C13">
        <v>2068421000</v>
      </c>
      <c r="D13">
        <v>185606000</v>
      </c>
      <c r="E13">
        <v>-19822000</v>
      </c>
    </row>
    <row r="14" spans="1:5" x14ac:dyDescent="0.25">
      <c r="A14" t="s">
        <v>37</v>
      </c>
      <c r="B14">
        <v>11891000000</v>
      </c>
      <c r="C14">
        <v>5930000000</v>
      </c>
      <c r="D14">
        <v>2052000000</v>
      </c>
      <c r="E14">
        <v>842000000</v>
      </c>
    </row>
    <row r="15" spans="1:5" x14ac:dyDescent="0.25">
      <c r="A15" t="s">
        <v>38</v>
      </c>
      <c r="B15">
        <v>303782000</v>
      </c>
      <c r="C15">
        <v>788002000</v>
      </c>
      <c r="D15">
        <v>42392000</v>
      </c>
      <c r="E15">
        <v>-20126000</v>
      </c>
    </row>
    <row r="16" spans="1:5" x14ac:dyDescent="0.25">
      <c r="A16" t="s">
        <v>39</v>
      </c>
      <c r="B16">
        <v>2131228000</v>
      </c>
      <c r="C16">
        <v>1925438000</v>
      </c>
      <c r="D16">
        <v>470940000</v>
      </c>
      <c r="E16">
        <v>196428000</v>
      </c>
    </row>
    <row r="17" spans="1:5" x14ac:dyDescent="0.25">
      <c r="A17" t="s">
        <v>40</v>
      </c>
      <c r="B17">
        <v>420811000</v>
      </c>
      <c r="C17">
        <v>297794000</v>
      </c>
      <c r="D17">
        <v>82660000</v>
      </c>
      <c r="E17">
        <v>40169000</v>
      </c>
    </row>
    <row r="18" spans="1:5" x14ac:dyDescent="0.25">
      <c r="A18" t="s">
        <v>41</v>
      </c>
      <c r="B18">
        <v>10760000000</v>
      </c>
      <c r="C18">
        <v>6645000000</v>
      </c>
      <c r="D18">
        <v>2356000000</v>
      </c>
      <c r="E18">
        <v>1648000000</v>
      </c>
    </row>
    <row r="21" spans="1:5" x14ac:dyDescent="0.25">
      <c r="A21" t="s">
        <v>44</v>
      </c>
      <c r="B21" s="33">
        <v>44777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Valuations</vt:lpstr>
      <vt:lpstr>LOOKUP</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Salguero</dc:creator>
  <cp:lastModifiedBy>Andrew Salguero</cp:lastModifiedBy>
  <dcterms:created xsi:type="dcterms:W3CDTF">2015-06-05T18:17:20Z</dcterms:created>
  <dcterms:modified xsi:type="dcterms:W3CDTF">2022-08-04T22:04:43Z</dcterms:modified>
</cp:coreProperties>
</file>